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bookViews>
  <sheets>
    <sheet name="Title Page" sheetId="1" state="visible" r:id="rId1"/>
    <sheet name="Assumptions" sheetId="2" state="visible" r:id="rId2"/>
    <sheet name="Base Case" sheetId="3" state="visible" r:id="rId3"/>
    <sheet name="Upside Case" sheetId="4" state="visible" r:id="rId4"/>
    <sheet name="Downside Case" sheetId="5" state="visible" r:id="rId5"/>
    <sheet name="WACC Calculations" sheetId="6" state="visible" r:id="rId6"/>
    <sheet name="Cash Flow Calculations" sheetId="7" state="visible" r:id="rId7"/>
    <sheet name="DCF Output" sheetId="8" state="visible" r:id="rId8"/>
  </sheets>
  <definedNames/>
  <calcPr calcId="124519" fullCalcOnLoad="1"/>
</workbook>
</file>

<file path=xl/sharedStrings.xml><?xml version="1.0" encoding="utf-8"?>
<sst xmlns="http://schemas.openxmlformats.org/spreadsheetml/2006/main" uniqueCount="105">
  <si>
    <t xml:space="preserve">WHITWORTH STUDENT INVESTMENT GROUP </t>
  </si>
  <si>
    <t>Company Name</t>
  </si>
  <si>
    <t>Stock Symbol</t>
  </si>
  <si>
    <t>Sector</t>
  </si>
  <si>
    <t>Industry</t>
  </si>
  <si>
    <t>Analyst</t>
  </si>
  <si>
    <t>Date of Pitch</t>
  </si>
  <si>
    <t>Period Ending Date of Last 10Q</t>
  </si>
  <si>
    <t>Period Ending Date of Last 10K</t>
  </si>
  <si>
    <t>DCF Last Updated</t>
  </si>
  <si>
    <t>ASSUMPTIONS</t>
  </si>
  <si>
    <t>HISTORICAL FINANCIAL DATA</t>
  </si>
  <si>
    <t>5 Yr. Avg.</t>
  </si>
  <si>
    <t>Revenue Growth Rate</t>
  </si>
  <si>
    <t>%</t>
  </si>
  <si>
    <t>NA</t>
  </si>
  <si>
    <t>Operating Margin</t>
  </si>
  <si>
    <t>Effective Tax Rate</t>
  </si>
  <si>
    <t>Depreciation &amp; Ammortization as % of Revenue</t>
  </si>
  <si>
    <t>Capital Expenditures as % of Revenue</t>
  </si>
  <si>
    <t>NWC as % of Revenue</t>
  </si>
  <si>
    <t>GLOBAL ASSUMPTIONS</t>
  </si>
  <si>
    <t>Shares Outstanding (Millions)</t>
  </si>
  <si>
    <t>Risk Free Rate</t>
  </si>
  <si>
    <t>Current Price per Share</t>
  </si>
  <si>
    <t>Beta</t>
  </si>
  <si>
    <t>52 Week Low</t>
  </si>
  <si>
    <t>Credit Rating</t>
  </si>
  <si>
    <t>52 Week High</t>
  </si>
  <si>
    <t>Cost of Debt</t>
  </si>
  <si>
    <t>Analyst Low</t>
  </si>
  <si>
    <t>Terminal Shares Out (Millions)</t>
  </si>
  <si>
    <t>Analyst High</t>
  </si>
  <si>
    <t>Market Rate</t>
  </si>
  <si>
    <t>BASE CASE ASSUMPTIONS</t>
  </si>
  <si>
    <t>Terminal Growth Rate</t>
  </si>
  <si>
    <t>UPSIDE CASE ASSUMPTIONS</t>
  </si>
  <si>
    <t>DOWNSIDE CASE ASSUMPTIONS</t>
  </si>
  <si>
    <t>FINANCIAL STATEMENTS</t>
  </si>
  <si>
    <t>Historical Period</t>
  </si>
  <si>
    <t>Forecast Period</t>
  </si>
  <si>
    <t>Income Statement Data ($Millions)</t>
  </si>
  <si>
    <t>LTM</t>
  </si>
  <si>
    <t>Revenue</t>
  </si>
  <si>
    <t xml:space="preserve">Cost of Goods Sold </t>
  </si>
  <si>
    <t>Gross Income</t>
  </si>
  <si>
    <t>SG&amp;A + Other Operating Expenses</t>
  </si>
  <si>
    <t>Operating Income</t>
  </si>
  <si>
    <t>Income (Loss) Before Income Taxes</t>
  </si>
  <si>
    <t>Provision for Tax Expense (Income)</t>
  </si>
  <si>
    <t>Other Income (Loss)</t>
  </si>
  <si>
    <t>Net Income</t>
  </si>
  <si>
    <t>Cash Flow Statement Data ($Millions)</t>
  </si>
  <si>
    <t>Capital Expenditures</t>
  </si>
  <si>
    <t>Depreciation &amp; Ammortization</t>
  </si>
  <si>
    <t>Balance Sheet Statement Data ($Millions)</t>
  </si>
  <si>
    <t>Inventory</t>
  </si>
  <si>
    <t>Cash + Short Term Investments</t>
  </si>
  <si>
    <t>Current Assets</t>
  </si>
  <si>
    <t>Total Assets</t>
  </si>
  <si>
    <t>Short Term Debt &amp; Current Portion of Long Term Debt</t>
  </si>
  <si>
    <t>Current Liabilities</t>
  </si>
  <si>
    <t>Total Long Term Debt</t>
  </si>
  <si>
    <t>Total Liabilities</t>
  </si>
  <si>
    <t>Shareholders' Equity</t>
  </si>
  <si>
    <t>Assets - Liabilities - Shareholders' Equity</t>
  </si>
  <si>
    <t>Operating Working Capital</t>
  </si>
  <si>
    <t>Change in Working Capital</t>
  </si>
  <si>
    <t>WACC CALCULATIONS</t>
  </si>
  <si>
    <t>CAPM</t>
  </si>
  <si>
    <t>Cost of Equity (CAPM)</t>
  </si>
  <si>
    <t>Using Credit Rating</t>
  </si>
  <si>
    <t>Cost of Debt used in WACC</t>
  </si>
  <si>
    <t>Tax Rate</t>
  </si>
  <si>
    <t>Shares Outstanding</t>
  </si>
  <si>
    <t>Price per Share</t>
  </si>
  <si>
    <t>Market Capitalization</t>
  </si>
  <si>
    <t>Book Value of Long Term Debt</t>
  </si>
  <si>
    <t>WACC</t>
  </si>
  <si>
    <t>FREE CASH FLOWS CALCULATIONS</t>
  </si>
  <si>
    <t xml:space="preserve">BASE CASE FREE CASH FLOWS </t>
  </si>
  <si>
    <t>Sum of Forecast</t>
  </si>
  <si>
    <t xml:space="preserve">Terminal </t>
  </si>
  <si>
    <t>Sum of Total</t>
  </si>
  <si>
    <t>Taxes</t>
  </si>
  <si>
    <t>Decrease (Increase) in Working Capital</t>
  </si>
  <si>
    <t>Free Cash Flows</t>
  </si>
  <si>
    <t>Discounted Free Cash Flows</t>
  </si>
  <si>
    <t>UPSIDE CASE FREE CASH FLOWS</t>
  </si>
  <si>
    <t>DOWNSIDE CASE FREE CASH FLOWS</t>
  </si>
  <si>
    <t>DCF OUTPUT</t>
  </si>
  <si>
    <t>Scenario</t>
  </si>
  <si>
    <t>Base</t>
  </si>
  <si>
    <t>Upside</t>
  </si>
  <si>
    <t>Downside</t>
  </si>
  <si>
    <t>Terminal Shares Outstanding</t>
  </si>
  <si>
    <t>PV of Total Cash Flow</t>
  </si>
  <si>
    <t>Value of Debt</t>
  </si>
  <si>
    <t>Value of Cash</t>
  </si>
  <si>
    <t>Value of Equity</t>
  </si>
  <si>
    <t>Value of Equity per Share</t>
  </si>
  <si>
    <t>Potential Upside</t>
  </si>
  <si>
    <t>Weight</t>
  </si>
  <si>
    <t xml:space="preserve">Target Price </t>
  </si>
  <si>
    <t>Upside/Downside</t>
  </si>
</sst>
</file>

<file path=xl/styles.xml><?xml version="1.0" encoding="utf-8"?>
<styleSheet xmlns="http://schemas.openxmlformats.org/spreadsheetml/2006/main">
  <numFmts count="4">
    <numFmt formatCode="_(&quot;$&quot;* #,##0.00_);_(&quot;$&quot;* \(#,##0.00\);_(&quot;$&quot;* &quot;-&quot;??_);_(@_)" numFmtId="164"/>
    <numFmt formatCode="_(* #,##0.00_);_(* \(#,##0.00\);_(* &quot;-&quot;??_);_(@_)" numFmtId="165"/>
    <numFmt formatCode="0.0%" numFmtId="166"/>
    <numFmt formatCode="_(* #,##0_);_(* \(#,##0\);_(* &quot;-&quot;??_);_(@_)" numFmtId="167"/>
  </numFmts>
  <fonts count="5">
    <font>
      <name val="Calibri"/>
      <family val="2"/>
      <color theme="1"/>
      <sz val="11"/>
      <scheme val="minor"/>
    </font>
    <font>
      <name val="Calibri"/>
      <family val="2"/>
      <color theme="1"/>
      <sz val="11"/>
      <scheme val="minor"/>
    </font>
    <font>
      <name val="Calibri"/>
      <family val="2"/>
      <b val="1"/>
      <color theme="1"/>
      <sz val="11"/>
      <scheme val="minor"/>
    </font>
    <font>
      <name val="Calibri"/>
      <family val="2"/>
      <i val="1"/>
      <color theme="1"/>
      <sz val="11"/>
      <scheme val="minor"/>
    </font>
    <font>
      <name val="Tahoma"/>
      <family val="2"/>
      <color indexed="81"/>
      <sz val="9"/>
    </font>
  </fonts>
  <fills count="4">
    <fill>
      <patternFill/>
    </fill>
    <fill>
      <patternFill patternType="gray125"/>
    </fill>
    <fill>
      <patternFill patternType="solid">
        <fgColor theme="5" tint="0.7999816888943144"/>
        <bgColor indexed="64"/>
      </patternFill>
    </fill>
    <fill>
      <patternFill patternType="solid">
        <fgColor theme="9" tint="0.7999816888943144"/>
        <bgColor indexed="64"/>
      </patternFill>
    </fill>
  </fills>
  <borders count="5">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s>
  <cellStyleXfs count="4">
    <xf borderId="0" fillId="0" fontId="0" numFmtId="0"/>
    <xf borderId="0" fillId="0" fontId="0" numFmtId="0"/>
    <xf borderId="0" fillId="0" fontId="0" numFmtId="0"/>
    <xf borderId="0" fillId="0" fontId="0" numFmtId="0"/>
  </cellStyleXfs>
  <cellXfs count="123">
    <xf borderId="0" fillId="0" fontId="0" numFmtId="0" pivotButton="0" quotePrefix="0" xfId="0"/>
    <xf applyAlignment="1" borderId="0" fillId="0" fontId="0" numFmtId="0" pivotButton="0" quotePrefix="0" xfId="0">
      <alignment horizontal="left" indent="1"/>
    </xf>
    <xf borderId="0" fillId="0" fontId="0" numFmtId="2" pivotButton="0" quotePrefix="0" xfId="0"/>
    <xf applyAlignment="1" borderId="0" fillId="0" fontId="0" numFmtId="166" pivotButton="0" quotePrefix="0" xfId="2">
      <alignment horizontal="center"/>
    </xf>
    <xf applyAlignment="1" borderId="0" fillId="0" fontId="0" numFmtId="166" pivotButton="0" quotePrefix="0" xfId="2">
      <alignment horizontal="left"/>
    </xf>
    <xf borderId="0" fillId="0" fontId="0" numFmtId="166" pivotButton="0" quotePrefix="0" xfId="2"/>
    <xf borderId="0" fillId="0" fontId="0" numFmtId="10" pivotButton="0" quotePrefix="0" xfId="2"/>
    <xf applyAlignment="1" borderId="0" fillId="0" fontId="0" numFmtId="10" pivotButton="0" quotePrefix="0" xfId="2">
      <alignment horizontal="right"/>
    </xf>
    <xf borderId="0" fillId="0" fontId="0" numFmtId="165" pivotButton="0" quotePrefix="0" xfId="1"/>
    <xf borderId="0" fillId="0" fontId="0" numFmtId="167" pivotButton="0" quotePrefix="0" xfId="1"/>
    <xf borderId="0" fillId="0" fontId="0" numFmtId="165" pivotButton="0" quotePrefix="0" xfId="1"/>
    <xf borderId="0" fillId="0" fontId="0" numFmtId="167" pivotButton="0" quotePrefix="0" xfId="0"/>
    <xf applyAlignment="1" borderId="0" fillId="0" fontId="0" numFmtId="167" pivotButton="0" quotePrefix="0" xfId="1">
      <alignment horizontal="center"/>
    </xf>
    <xf borderId="0" fillId="0" fontId="2" numFmtId="0" pivotButton="0" quotePrefix="0" xfId="0"/>
    <xf borderId="1" fillId="0" fontId="0" numFmtId="0" pivotButton="0" quotePrefix="0" xfId="0"/>
    <xf applyAlignment="1" borderId="1" fillId="0" fontId="3" numFmtId="0" pivotButton="0" quotePrefix="0" xfId="0">
      <alignment horizontal="left" indent="1"/>
    </xf>
    <xf applyAlignment="1" borderId="1" fillId="0" fontId="0" numFmtId="0" pivotButton="0" quotePrefix="0" xfId="0">
      <alignment horizontal="left"/>
    </xf>
    <xf applyAlignment="1" borderId="1" fillId="0" fontId="0" numFmtId="0" pivotButton="0" quotePrefix="0" xfId="0">
      <alignment horizontal="left" indent="1"/>
    </xf>
    <xf borderId="1" fillId="0" fontId="3" numFmtId="0" pivotButton="0" quotePrefix="0" xfId="0"/>
    <xf applyAlignment="1" borderId="1" fillId="0" fontId="3" numFmtId="167" pivotButton="0" quotePrefix="0" xfId="1">
      <alignment horizontal="center"/>
    </xf>
    <xf applyAlignment="1" borderId="1" fillId="0" fontId="0" numFmtId="167" pivotButton="0" quotePrefix="0" xfId="1">
      <alignment horizontal="center"/>
    </xf>
    <xf borderId="0" fillId="0" fontId="0" numFmtId="0" pivotButton="0" quotePrefix="0" xfId="0"/>
    <xf borderId="0" fillId="0" fontId="2" numFmtId="0" pivotButton="0" quotePrefix="0" xfId="0"/>
    <xf borderId="2" fillId="0" fontId="2" numFmtId="0" pivotButton="0" quotePrefix="0" xfId="0"/>
    <xf applyAlignment="1" borderId="2" fillId="0" fontId="2" numFmtId="0" pivotButton="0" quotePrefix="0" xfId="0">
      <alignment horizontal="center"/>
    </xf>
    <xf borderId="3" fillId="0" fontId="2" numFmtId="0" pivotButton="0" quotePrefix="0" xfId="0"/>
    <xf borderId="2" fillId="0" fontId="0" numFmtId="0" pivotButton="0" quotePrefix="0" xfId="0"/>
    <xf borderId="1" fillId="0" fontId="0" numFmtId="0" pivotButton="0" quotePrefix="0" xfId="0"/>
    <xf borderId="0" fillId="0" fontId="0" numFmtId="10" pivotButton="0" quotePrefix="0" xfId="0"/>
    <xf borderId="1" fillId="0" fontId="3" numFmtId="0" pivotButton="0" quotePrefix="0" xfId="0"/>
    <xf applyAlignment="1" borderId="2" fillId="0" fontId="0" numFmtId="166" pivotButton="0" quotePrefix="0" xfId="2">
      <alignment horizontal="center"/>
    </xf>
    <xf applyAlignment="1" borderId="1" fillId="0" fontId="2" numFmtId="0" pivotButton="0" quotePrefix="0" xfId="0">
      <alignment horizontal="left" indent="1"/>
    </xf>
    <xf borderId="0" fillId="0" fontId="2" numFmtId="167" pivotButton="0" quotePrefix="0" xfId="1"/>
    <xf applyAlignment="1" borderId="0" fillId="0" fontId="2" numFmtId="167" pivotButton="0" quotePrefix="0" xfId="1">
      <alignment horizontal="center"/>
    </xf>
    <xf borderId="3" fillId="0" fontId="0" numFmtId="0" pivotButton="0" quotePrefix="0" xfId="0"/>
    <xf applyAlignment="1" borderId="2" fillId="0" fontId="0" numFmtId="167" pivotButton="0" quotePrefix="0" xfId="1">
      <alignment horizontal="center"/>
    </xf>
    <xf applyAlignment="1" borderId="2" fillId="0" fontId="0" numFmtId="0" pivotButton="0" quotePrefix="0" xfId="0">
      <alignment horizontal="center"/>
    </xf>
    <xf borderId="0" fillId="0" fontId="1" numFmtId="167" pivotButton="0" quotePrefix="0" xfId="1"/>
    <xf applyAlignment="1" borderId="1" fillId="0" fontId="3" numFmtId="0" pivotButton="0" quotePrefix="0" xfId="0">
      <alignment horizontal="center"/>
    </xf>
    <xf applyAlignment="1" borderId="1" fillId="0" fontId="3" numFmtId="167" pivotButton="0" quotePrefix="0" xfId="0">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2" numFmtId="0" pivotButton="0" quotePrefix="0" xfId="0">
      <alignment horizontal="centerContinuous"/>
    </xf>
    <xf applyAlignment="1" borderId="0" fillId="0" fontId="0" numFmtId="167" pivotButton="0" quotePrefix="0" xfId="1">
      <alignment horizontal="center"/>
    </xf>
    <xf applyAlignment="1" borderId="0" fillId="0" fontId="3" numFmtId="167" pivotButton="0" quotePrefix="0" xfId="1">
      <alignment horizontal="center"/>
    </xf>
    <xf applyAlignment="1" borderId="0" fillId="0" fontId="3" numFmtId="9" pivotButton="0" quotePrefix="0" xfId="2">
      <alignment horizontal="center"/>
    </xf>
    <xf applyAlignment="1" borderId="0" fillId="0" fontId="3" numFmtId="167" pivotButton="0" quotePrefix="0" xfId="0">
      <alignment horizontal="center"/>
    </xf>
    <xf applyAlignment="1" borderId="0" fillId="0" fontId="3" numFmtId="0" pivotButton="0" quotePrefix="0" xfId="0">
      <alignment horizontal="center"/>
    </xf>
    <xf borderId="0" fillId="0" fontId="0" numFmtId="167" pivotButton="0" quotePrefix="0" xfId="1"/>
    <xf borderId="1" fillId="0" fontId="0" numFmtId="167" pivotButton="0" quotePrefix="0" xfId="1"/>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0" fillId="0" fontId="3" numFmtId="9" pivotButton="0" quotePrefix="0" xfId="2">
      <alignment horizontal="center"/>
    </xf>
    <xf applyAlignment="1" borderId="2" fillId="0" fontId="2" numFmtId="0" pivotButton="0" quotePrefix="0" xfId="0">
      <alignment horizontal="center"/>
    </xf>
    <xf applyAlignment="1" borderId="3" fillId="0" fontId="2" numFmtId="0" pivotButton="0" quotePrefix="0" xfId="0">
      <alignment horizontal="center"/>
    </xf>
    <xf applyAlignment="1" borderId="2" fillId="0" fontId="0" numFmtId="0" pivotButton="0" quotePrefix="0" xfId="0">
      <alignment horizontal="center"/>
    </xf>
    <xf applyAlignment="1" borderId="2" fillId="0" fontId="2" numFmtId="167" pivotButton="0" quotePrefix="0" xfId="1">
      <alignment horizontal="center"/>
    </xf>
    <xf applyAlignment="1" borderId="0" fillId="0" fontId="3" numFmtId="167" pivotButton="0" quotePrefix="0" xfId="0">
      <alignment horizontal="center"/>
    </xf>
    <xf applyAlignment="1" borderId="1" fillId="0" fontId="3" numFmtId="0" pivotButton="0" quotePrefix="0" xfId="0">
      <alignment horizontal="center"/>
    </xf>
    <xf applyAlignment="1" borderId="1" fillId="0" fontId="3" numFmtId="167" pivotButton="0" quotePrefix="0" xfId="0">
      <alignment horizontal="center"/>
    </xf>
    <xf applyAlignment="1" borderId="0" fillId="0" fontId="3" numFmtId="0" pivotButton="0" quotePrefix="0" xfId="0">
      <alignment horizontal="center"/>
    </xf>
    <xf applyAlignment="1" borderId="4" fillId="0" fontId="0" numFmtId="167" pivotButton="0" quotePrefix="0" xfId="1">
      <alignment horizontal="center"/>
    </xf>
    <xf borderId="2" fillId="0" fontId="0" numFmtId="167" pivotButton="0" quotePrefix="0" xfId="1"/>
    <xf borderId="1" fillId="0" fontId="2" numFmtId="0" pivotButton="0" quotePrefix="0" xfId="0"/>
    <xf applyAlignment="1" borderId="0" fillId="0" fontId="0" numFmtId="167" pivotButton="0" quotePrefix="0" xfId="1">
      <alignment horizontal="right"/>
    </xf>
    <xf applyAlignment="1" borderId="0" fillId="0" fontId="0" numFmtId="0" pivotButton="0" quotePrefix="0" xfId="0">
      <alignment horizontal="right"/>
    </xf>
    <xf applyAlignment="1" borderId="0" fillId="0" fontId="2" numFmtId="0" pivotButton="0" quotePrefix="0" xfId="0">
      <alignment horizontal="right"/>
    </xf>
    <xf applyAlignment="1" borderId="0" fillId="0" fontId="3" numFmtId="0" pivotButton="0" quotePrefix="0" xfId="0">
      <alignment horizontal="right"/>
    </xf>
    <xf applyAlignment="1" borderId="0" fillId="0" fontId="2" numFmtId="164" pivotButton="0" quotePrefix="0" xfId="3">
      <alignment horizontal="right"/>
    </xf>
    <xf applyAlignment="1" borderId="0" fillId="0" fontId="3" numFmtId="10" pivotButton="0" quotePrefix="0" xfId="2">
      <alignment horizontal="right"/>
    </xf>
    <xf borderId="0" fillId="0" fontId="2" numFmtId="164" pivotButton="0" quotePrefix="0" xfId="0"/>
    <xf applyAlignment="1" borderId="1" fillId="0" fontId="3" numFmtId="0" pivotButton="0" quotePrefix="0" xfId="0">
      <alignment horizontal="left" indent="1"/>
    </xf>
    <xf borderId="0" fillId="0" fontId="0" numFmtId="164" pivotButton="0" quotePrefix="0" xfId="3"/>
    <xf applyProtection="1" borderId="0" fillId="2" fontId="0" numFmtId="0" pivotButton="0" quotePrefix="0" xfId="0">
      <protection hidden="0" locked="0"/>
    </xf>
    <xf applyAlignment="1" applyProtection="1" borderId="0" fillId="2" fontId="0" numFmtId="14" pivotButton="0" quotePrefix="0" xfId="0">
      <alignment horizontal="left"/>
      <protection hidden="0" locked="0"/>
    </xf>
    <xf applyAlignment="1" applyProtection="1" borderId="0" fillId="3" fontId="0" numFmtId="166" pivotButton="0" quotePrefix="0" xfId="2">
      <alignment horizontal="center"/>
      <protection hidden="0" locked="0"/>
    </xf>
    <xf applyProtection="1" borderId="0" fillId="2" fontId="0" numFmtId="167" pivotButton="0" quotePrefix="0" xfId="1">
      <protection hidden="0" locked="0"/>
    </xf>
    <xf applyProtection="1" borderId="0" fillId="2" fontId="0" numFmtId="164" pivotButton="0" quotePrefix="0" xfId="3">
      <protection hidden="0" locked="0"/>
    </xf>
    <xf applyProtection="1" borderId="0" fillId="2" fontId="0" numFmtId="10" pivotButton="0" quotePrefix="0" xfId="2">
      <protection hidden="0" locked="0"/>
    </xf>
    <xf applyProtection="1" borderId="0" fillId="2" fontId="0" numFmtId="165" pivotButton="0" quotePrefix="0" xfId="1">
      <protection hidden="0" locked="0"/>
    </xf>
    <xf applyProtection="1" borderId="0" fillId="3" fontId="0" numFmtId="0" pivotButton="0" quotePrefix="0" xfId="0">
      <protection hidden="0" locked="0"/>
    </xf>
    <xf applyProtection="1" borderId="0" fillId="2" fontId="0" numFmtId="166" pivotButton="0" quotePrefix="0" xfId="2">
      <protection hidden="0" locked="0"/>
    </xf>
    <xf applyProtection="1" borderId="0" fillId="2" fontId="0" numFmtId="167" pivotButton="0" quotePrefix="0" xfId="1">
      <protection hidden="0" locked="0"/>
    </xf>
    <xf applyProtection="1" borderId="1" fillId="2" fontId="0" numFmtId="167" pivotButton="0" quotePrefix="0" xfId="1">
      <protection hidden="0" locked="0"/>
    </xf>
    <xf applyAlignment="1" applyProtection="1" borderId="0" fillId="3" fontId="3" numFmtId="167" pivotButton="0" quotePrefix="0" xfId="0">
      <alignment horizontal="center"/>
      <protection hidden="0" locked="0"/>
    </xf>
    <xf applyAlignment="1" applyProtection="1" borderId="0" fillId="2" fontId="3" numFmtId="9" pivotButton="0" quotePrefix="0" xfId="2">
      <alignment horizontal="right"/>
      <protection hidden="0" locked="0"/>
    </xf>
    <xf applyAlignment="1" applyProtection="1" borderId="0" fillId="3" fontId="0" numFmtId="166" pivotButton="0" quotePrefix="0" xfId="2">
      <alignment horizontal="center"/>
      <protection hidden="0" locked="0"/>
    </xf>
    <xf applyAlignment="1" borderId="0" fillId="0" fontId="0" numFmtId="166" pivotButton="0" quotePrefix="0" xfId="2">
      <alignment horizontal="center"/>
    </xf>
    <xf applyAlignment="1" borderId="2" fillId="0" fontId="0" numFmtId="166" pivotButton="0" quotePrefix="0" xfId="2">
      <alignment horizontal="center"/>
    </xf>
    <xf applyProtection="1" borderId="0" fillId="2" fontId="0" numFmtId="167" pivotButton="0" quotePrefix="0" xfId="1">
      <protection hidden="0" locked="0"/>
    </xf>
    <xf applyAlignment="1" borderId="0" fillId="0" fontId="0" numFmtId="166" pivotButton="0" quotePrefix="0" xfId="2">
      <alignment horizontal="left"/>
    </xf>
    <xf applyProtection="1" borderId="0" fillId="2" fontId="0" numFmtId="164" pivotButton="0" quotePrefix="0" xfId="3">
      <protection hidden="0" locked="0"/>
    </xf>
    <xf applyProtection="1" borderId="0" fillId="2" fontId="0" numFmtId="165" pivotButton="0" quotePrefix="0" xfId="1">
      <protection hidden="0" locked="0"/>
    </xf>
    <xf applyProtection="1" borderId="0" fillId="2" fontId="0" numFmtId="166" pivotButton="0" quotePrefix="0" xfId="2">
      <protection hidden="0" locked="0"/>
    </xf>
    <xf borderId="0" fillId="0" fontId="0" numFmtId="166" pivotButton="0" quotePrefix="0" xfId="2"/>
    <xf applyProtection="1" borderId="1" fillId="2" fontId="0" numFmtId="167" pivotButton="0" quotePrefix="0" xfId="1">
      <protection hidden="0" locked="0"/>
    </xf>
    <xf applyAlignment="1" borderId="0" fillId="0" fontId="0" numFmtId="167" pivotButton="0" quotePrefix="0" xfId="1">
      <alignment horizontal="center"/>
    </xf>
    <xf applyAlignment="1" borderId="1" fillId="0" fontId="0" numFmtId="167" pivotButton="0" quotePrefix="0" xfId="1">
      <alignment horizontal="center"/>
    </xf>
    <xf applyAlignment="1" borderId="0" fillId="0" fontId="3" numFmtId="167" pivotButton="0" quotePrefix="0" xfId="1">
      <alignment horizontal="center"/>
    </xf>
    <xf applyAlignment="1" borderId="1" fillId="0" fontId="3" numFmtId="167" pivotButton="0" quotePrefix="0" xfId="1">
      <alignment horizontal="center"/>
    </xf>
    <xf applyAlignment="1" borderId="2" fillId="0" fontId="2" numFmtId="167" pivotButton="0" quotePrefix="0" xfId="1">
      <alignment horizontal="center"/>
    </xf>
    <xf applyAlignment="1" applyProtection="1" borderId="0" fillId="3" fontId="3" numFmtId="167" pivotButton="0" quotePrefix="0" xfId="0">
      <alignment horizontal="center"/>
      <protection hidden="0" locked="0"/>
    </xf>
    <xf applyAlignment="1" borderId="0" fillId="0" fontId="3" numFmtId="167" pivotButton="0" quotePrefix="0" xfId="0">
      <alignment horizontal="center"/>
    </xf>
    <xf applyAlignment="1" borderId="1" fillId="0" fontId="3" numFmtId="167" pivotButton="0" quotePrefix="0" xfId="0">
      <alignment horizontal="center"/>
    </xf>
    <xf borderId="0" fillId="0" fontId="0" numFmtId="167" pivotButton="0" quotePrefix="0" xfId="1"/>
    <xf borderId="1" fillId="0" fontId="0" numFmtId="167" pivotButton="0" quotePrefix="0" xfId="1"/>
    <xf applyAlignment="1" borderId="4" fillId="0" fontId="0" numFmtId="167" pivotButton="0" quotePrefix="0" xfId="1">
      <alignment horizontal="center"/>
    </xf>
    <xf borderId="0" fillId="0" fontId="0" numFmtId="165" pivotButton="0" quotePrefix="0" xfId="1"/>
    <xf applyAlignment="1" borderId="2" fillId="0" fontId="0" numFmtId="167" pivotButton="0" quotePrefix="0" xfId="1">
      <alignment horizontal="center"/>
    </xf>
    <xf borderId="0" fillId="0" fontId="0" numFmtId="167" pivotButton="0" quotePrefix="0" xfId="0"/>
    <xf borderId="0" fillId="0" fontId="1" numFmtId="167" pivotButton="0" quotePrefix="0" xfId="1"/>
    <xf borderId="0" fillId="0" fontId="2" numFmtId="167" pivotButton="0" quotePrefix="0" xfId="1"/>
    <xf applyAlignment="1" borderId="0" fillId="0" fontId="2" numFmtId="167" pivotButton="0" quotePrefix="0" xfId="1">
      <alignment horizontal="center"/>
    </xf>
    <xf borderId="2" fillId="0" fontId="0" numFmtId="167" pivotButton="0" quotePrefix="0" xfId="1"/>
    <xf applyAlignment="1" borderId="0" fillId="0" fontId="0" numFmtId="167" pivotButton="0" quotePrefix="0" xfId="1">
      <alignment horizontal="right"/>
    </xf>
    <xf borderId="0" fillId="0" fontId="0" numFmtId="164" pivotButton="0" quotePrefix="0" xfId="3"/>
    <xf applyAlignment="1" borderId="0" fillId="0" fontId="2" numFmtId="164" pivotButton="0" quotePrefix="0" xfId="3">
      <alignment horizontal="right"/>
    </xf>
    <xf borderId="0" fillId="0" fontId="2" numFmtId="164" pivotButton="0" quotePrefix="0" xfId="0"/>
  </cellXfs>
  <cellStyles count="4">
    <cellStyle builtinId="0" name="Normal" xfId="0"/>
    <cellStyle builtinId="3" name="Comma" xfId="1"/>
    <cellStyle builtinId="5" name="Percent" xfId="2"/>
    <cellStyle builtinId="4" name="Currency" xfId="3"/>
  </cellStyles>
  <dxfs count="26">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bgColor auto="1"/>
        </patternFill>
      </fill>
    </dxf>
    <dxf>
      <fill>
        <patternFill>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haredStrings.xml" Type="http://schemas.openxmlformats.org/officeDocument/2006/relationships/sharedStrings"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NT2</author>
  </authors>
  <commentList>
    <comment authorId="0" ref="B10" shapeId="0">
      <text>
        <t>Use the most recent 10Q and enter the ending date for the performance period, NOT the date the document was filed.</t>
      </text>
    </comment>
    <comment authorId="0" ref="B11" shapeId="0">
      <text>
        <t>Use the most recent 10K and enter the ending date for the performance period, NOT the date the document was filed.</t>
      </text>
    </comment>
  </commentList>
</comments>
</file>

<file path=xl/comments/comment2.xml><?xml version="1.0" encoding="utf-8"?>
<comments xmlns="http://schemas.openxmlformats.org/spreadsheetml/2006/main">
  <authors>
    <author>NT2</author>
  </authors>
  <commentList>
    <comment authorId="0" ref="B4" shapeId="0">
      <text>
        <t>This cell is optional. If desired, calculate the revenue growth rate by looking at the previous year's revenue. </t>
      </text>
    </comment>
    <comment authorId="0" ref="F12" shapeId="0">
      <text>
        <t>The yield on the U.S. 10 year treasury.</t>
      </text>
    </comment>
    <comment authorId="0" ref="F14" shapeId="0">
      <text>
        <t>This cell is optional.</t>
      </text>
    </comment>
    <comment authorId="0" ref="F15" shapeId="0">
      <text>
        <t>This is the cost of debt calculated by taking the weighted average coupon rate of all of the company's long term outstanding debt. </t>
      </text>
    </comment>
    <comment authorId="0" ref="F16" shapeId="0">
      <text>
        <t>This number should take into account any ongoing share repurchase programs or other factors which may alter share count from current shares outstanding. </t>
      </text>
    </comment>
    <comment authorId="0" ref="F17" shapeId="0">
      <text>
        <t>The rate used to calculate the market risk premium in the CAPM model for the cost of equity. Historically, around 9.00%. </t>
      </text>
    </comment>
    <comment authorId="0" ref="F24" shapeId="0">
      <text>
        <t>This number cannot be changed as depreciation should equal the rate of CapEx into perpetuity. </t>
      </text>
    </comment>
    <comment authorId="0" ref="B26" shapeId="0">
      <text>
        <t>The growth rate of the company's cash flows into perpetuity. The model is exteremely sensitive to this number.</t>
      </text>
    </comment>
  </commentList>
</comments>
</file>

<file path=xl/comments/comment3.xml><?xml version="1.0" encoding="utf-8"?>
<comments xmlns="http://schemas.openxmlformats.org/spreadsheetml/2006/main">
  <authors>
    <author>NT2</author>
  </authors>
  <commentList>
    <comment authorId="0" ref="G3" shapeId="0">
      <text>
        <t>If the latest financial statement released is a 10K, there is nothing to enter in this column. However, if Q1, Q2, or Q3 results are released then you must enter the partial year results in this column. 
That is, if the most recent financial statement is a 10Q, enter the financial data using the longest periord. (Greatest of 3 months / 6 months / 9 months ended).  </t>
      </text>
    </comment>
    <comment authorId="0" ref="N3" shapeId="0">
      <text>
        <t>This column is the same as column G. It represents the partial year data.</t>
      </text>
    </comment>
    <comment authorId="0" ref="O3" shapeId="0">
      <text>
        <t>This column is used to calculate LTM results. The data entered here is taken from the exact period, but one year prior, as that of column G.</t>
      </text>
    </comment>
    <comment authorId="0" ref="B30" shapeId="0">
      <text>
        <t>This cell is optional. To calculate, subtract the prior year's operating working capital from this year's operating working capital.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zoomScaleNormal="100">
      <selection activeCell="A1" sqref="A1"/>
    </sheetView>
  </sheetViews>
  <sheetFormatPr baseColWidth="8" defaultRowHeight="15" outlineLevelCol="0"/>
  <cols>
    <col bestFit="1" customWidth="1" max="1" min="1" style="21" width="28.42578125"/>
    <col bestFit="1" customWidth="1" max="2" min="2" style="21" width="22.5703125"/>
  </cols>
  <sheetData>
    <row r="1" spans="1:2">
      <c r="A1" s="22" t="s">
        <v>0</v>
      </c>
    </row>
    <row r="3" spans="1:2">
      <c r="A3" t="s">
        <v>1</v>
      </c>
      <c r="B3" s="78" t="n"/>
    </row>
    <row r="4" spans="1:2">
      <c r="A4" t="s">
        <v>2</v>
      </c>
      <c r="B4" s="78" t="n"/>
    </row>
    <row r="5" spans="1:2">
      <c r="A5" t="s">
        <v>3</v>
      </c>
      <c r="B5" s="78" t="n"/>
    </row>
    <row r="6" spans="1:2">
      <c r="A6" t="s">
        <v>4</v>
      </c>
      <c r="B6" s="78" t="n"/>
    </row>
    <row r="7" spans="1:2">
      <c r="A7" t="s">
        <v>5</v>
      </c>
      <c r="B7" s="78" t="n"/>
    </row>
    <row r="8" spans="1:2">
      <c r="A8" t="s">
        <v>6</v>
      </c>
      <c r="B8" s="79" t="n"/>
    </row>
    <row r="10" spans="1:2">
      <c r="A10" t="s">
        <v>7</v>
      </c>
      <c r="B10" s="79" t="n"/>
    </row>
    <row r="11" spans="1:2">
      <c r="A11" t="s">
        <v>8</v>
      </c>
      <c r="B11" s="79" t="n"/>
    </row>
    <row r="13" spans="1:2">
      <c r="A13" t="s">
        <v>9</v>
      </c>
      <c r="B13" s="79"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44"/>
  <sheetViews>
    <sheetView workbookViewId="0" zoomScaleNormal="100">
      <selection activeCell="A1" sqref="A1"/>
    </sheetView>
  </sheetViews>
  <sheetFormatPr baseColWidth="8" defaultRowHeight="15" outlineLevelCol="0"/>
  <cols>
    <col bestFit="1" customWidth="1" max="1" min="1" style="21" width="44"/>
    <col customWidth="1" max="9" min="2" style="21" width="13.7109375"/>
  </cols>
  <sheetData>
    <row r="1" spans="1:9">
      <c r="A1" s="22" t="s">
        <v>10</v>
      </c>
    </row>
    <row r="2" spans="1:9">
      <c r="A2" s="22" t="n"/>
    </row>
    <row customHeight="1" ht="15.75" r="3" s="21" spans="1:9" thickBot="1">
      <c r="A3" s="25" t="s">
        <v>11</v>
      </c>
      <c r="B3" s="58">
        <f>'Base Case'!B3</f>
        <v/>
      </c>
      <c r="C3" s="58">
        <f>'Base Case'!C3</f>
        <v/>
      </c>
      <c r="D3" s="58">
        <f>'Base Case'!D3</f>
        <v/>
      </c>
      <c r="E3" s="58">
        <f>'Base Case'!E3</f>
        <v/>
      </c>
      <c r="F3" s="58">
        <f>'Base Case'!F3</f>
        <v/>
      </c>
      <c r="G3" s="58">
        <f>'Base Case'!P3</f>
        <v/>
      </c>
      <c r="I3" s="58" t="s">
        <v>12</v>
      </c>
    </row>
    <row r="4" spans="1:9">
      <c r="A4" s="27" t="s">
        <v>13</v>
      </c>
      <c r="B4" s="91" t="s">
        <v>14</v>
      </c>
      <c r="C4" s="92">
        <f>IF(OR(ISERROR('Base Case'!C4/'Base Case'!B4),'Base Case'!B4&lt;0,'Base Case'!C4&lt;0),"NA",'Base Case'!C4/'Base Case'!B4-1)</f>
        <v/>
      </c>
      <c r="D4" s="92">
        <f>IF(OR(ISERROR('Base Case'!D4/'Base Case'!C4),'Base Case'!C4&lt;0,'Base Case'!D4&lt;0),"NA",'Base Case'!D4/'Base Case'!C4-1)</f>
        <v/>
      </c>
      <c r="E4" s="92">
        <f>IF(OR(ISERROR('Base Case'!E4/'Base Case'!D4),'Base Case'!D4&lt;0,'Base Case'!E4&lt;0),"NA",'Base Case'!E4/'Base Case'!D4-1)</f>
        <v/>
      </c>
      <c r="F4" s="92">
        <f>IF(OR(ISERROR('Base Case'!F4/'Base Case'!E4),'Base Case'!E4&lt;0,'Base Case'!F4&lt;0),"NA",'Base Case'!F4/'Base Case'!E4-1)</f>
        <v/>
      </c>
      <c r="G4" s="92" t="s">
        <v>15</v>
      </c>
      <c r="I4" s="92">
        <f>IF(ISERROR(AVERAGE(B4:F4)),"NA",AVERAGE(B4:F4))</f>
        <v/>
      </c>
    </row>
    <row r="5" spans="1:9">
      <c r="A5" s="27" t="s">
        <v>16</v>
      </c>
      <c r="B5" s="92">
        <f>IF(ISERROR('Base Case'!B8/'Base Case'!B4),"NA",'Base Case'!B8/'Base Case'!B4)</f>
        <v/>
      </c>
      <c r="C5" s="92">
        <f>IF(ISERROR('Base Case'!C8/'Base Case'!C4),"NA",'Base Case'!C8/'Base Case'!C4)</f>
        <v/>
      </c>
      <c r="D5" s="92">
        <f>IF(ISERROR('Base Case'!D8/'Base Case'!D4),"NA",'Base Case'!D8/'Base Case'!D4)</f>
        <v/>
      </c>
      <c r="E5" s="92">
        <f>IF(ISERROR('Base Case'!E8/'Base Case'!E4),"NA",'Base Case'!E8/'Base Case'!E4)</f>
        <v/>
      </c>
      <c r="F5" s="92">
        <f>IF(ISERROR('Base Case'!F8/'Base Case'!F4),"NA",'Base Case'!F8/'Base Case'!F4)</f>
        <v/>
      </c>
      <c r="G5" s="92">
        <f>IF(ISERROR('Base Case'!P8/'Base Case'!P4),"NA",'Base Case'!P8/'Base Case'!P4)</f>
        <v/>
      </c>
      <c r="I5" s="92">
        <f>IF(ISERROR(AVERAGE(B5:F5)),"NA",AVERAGE(B5:F5))</f>
        <v/>
      </c>
    </row>
    <row r="6" spans="1:9">
      <c r="A6" s="27" t="s">
        <v>17</v>
      </c>
      <c r="B6" s="92">
        <f>IF(ISERROR('Base Case'!B10/'Base Case'!B9),"NA",'Base Case'!B10/'Base Case'!B9)</f>
        <v/>
      </c>
      <c r="C6" s="92">
        <f>IF(ISERROR('Base Case'!C10/'Base Case'!C9),"NA",'Base Case'!C10/'Base Case'!C9)</f>
        <v/>
      </c>
      <c r="D6" s="92">
        <f>IF(ISERROR('Base Case'!D10/'Base Case'!D9),"NA",'Base Case'!D10/'Base Case'!D9)</f>
        <v/>
      </c>
      <c r="E6" s="92">
        <f>IF(ISERROR('Base Case'!E10/'Base Case'!E9),"NA",'Base Case'!E10/'Base Case'!E9)</f>
        <v/>
      </c>
      <c r="F6" s="92">
        <f>IF(ISERROR('Base Case'!F10/'Base Case'!F9),"NA",'Base Case'!F10/'Base Case'!F9)</f>
        <v/>
      </c>
      <c r="G6" s="92">
        <f>IF(ISERROR('Base Case'!P10/'Base Case'!P9),"NA",'Base Case'!P10/'Base Case'!P9)</f>
        <v/>
      </c>
      <c r="I6" s="92">
        <f>IF(ISERROR(AVERAGE(B6:F6)),"NA",AVERAGE(B6:F6))</f>
        <v/>
      </c>
    </row>
    <row r="7" spans="1:9">
      <c r="A7" s="27" t="s">
        <v>18</v>
      </c>
      <c r="B7" s="92">
        <f>IF(ISERROR('Base Case'!B16/'Base Case'!B4),"NA",'Base Case'!B16/'Base Case'!B4)</f>
        <v/>
      </c>
      <c r="C7" s="92">
        <f>IF(ISERROR('Base Case'!C16/'Base Case'!C4),"NA",'Base Case'!C16/'Base Case'!C4)</f>
        <v/>
      </c>
      <c r="D7" s="92">
        <f>IF(ISERROR('Base Case'!D16/'Base Case'!D4),"NA",'Base Case'!D16/'Base Case'!D4)</f>
        <v/>
      </c>
      <c r="E7" s="92">
        <f>IF(ISERROR('Base Case'!E16/'Base Case'!E4),"NA",'Base Case'!E16/'Base Case'!E4)</f>
        <v/>
      </c>
      <c r="F7" s="92">
        <f>IF(ISERROR('Base Case'!F16/'Base Case'!F4),"NA",'Base Case'!F16/'Base Case'!F4)</f>
        <v/>
      </c>
      <c r="G7" s="92">
        <f>IF(ISERROR('Base Case'!P16/'Base Case'!P4),"NA",'Base Case'!P16/'Base Case'!P4)</f>
        <v/>
      </c>
      <c r="I7" s="92">
        <f>IF(ISERROR(AVERAGE(B7:F7)),"NA",AVERAGE(B7:F7))</f>
        <v/>
      </c>
    </row>
    <row r="8" spans="1:9">
      <c r="A8" s="27" t="s">
        <v>19</v>
      </c>
      <c r="B8" s="92">
        <f>IF(ISERROR('Base Case'!B15/'Base Case'!B4),"NA",'Base Case'!B15/'Base Case'!B4)</f>
        <v/>
      </c>
      <c r="C8" s="92">
        <f>IF(ISERROR('Base Case'!C15/'Base Case'!C4),"NA",'Base Case'!C15/'Base Case'!C4)</f>
        <v/>
      </c>
      <c r="D8" s="92">
        <f>IF(ISERROR('Base Case'!D15/'Base Case'!D4),"NA",'Base Case'!D15/'Base Case'!D4)</f>
        <v/>
      </c>
      <c r="E8" s="92">
        <f>IF(ISERROR('Base Case'!E15/'Base Case'!E4),"NA",'Base Case'!E15/'Base Case'!E4)</f>
        <v/>
      </c>
      <c r="F8" s="92">
        <f>IF(ISERROR('Base Case'!F15/'Base Case'!F4),"NA",'Base Case'!F15/'Base Case'!F4)</f>
        <v/>
      </c>
      <c r="G8" s="92">
        <f>IF(ISERROR('Base Case'!P15/'Base Case'!P4),"NA",'Base Case'!P15/'Base Case'!P4)</f>
        <v/>
      </c>
      <c r="I8" s="92">
        <f>IF(ISERROR(AVERAGE(B8:F8)),"NA",AVERAGE(B8:F8))</f>
        <v/>
      </c>
    </row>
    <row r="9" spans="1:9">
      <c r="A9" s="27" t="s">
        <v>20</v>
      </c>
      <c r="B9" s="92">
        <f>IF(ISERROR('Base Case'!B29/'Base Case'!B4),"NA",'Base Case'!B29/'Base Case'!B4)</f>
        <v/>
      </c>
      <c r="C9" s="92">
        <f>IF(ISERROR('Base Case'!C29/'Base Case'!C4),"NA",'Base Case'!C29/'Base Case'!C4)</f>
        <v/>
      </c>
      <c r="D9" s="92">
        <f>IF(ISERROR('Base Case'!D29/'Base Case'!D4),"NA",'Base Case'!D29/'Base Case'!D4)</f>
        <v/>
      </c>
      <c r="E9" s="92">
        <f>IF(ISERROR('Base Case'!E29/'Base Case'!E4),"NA",'Base Case'!E29/'Base Case'!E4)</f>
        <v/>
      </c>
      <c r="F9" s="92">
        <f>IF(ISERROR('Base Case'!F29/'Base Case'!F4),"NA",'Base Case'!F29/'Base Case'!F4)</f>
        <v/>
      </c>
      <c r="G9" s="92">
        <f>IF(ISERROR('Base Case'!P29/'Base Case'!P4),"NA",'Base Case'!P29/'Base Case'!P4)</f>
        <v/>
      </c>
      <c r="I9" s="92">
        <f>IF(ISERROR(AVERAGE(B9:F9)),"NA",AVERAGE(B9:F9))</f>
        <v/>
      </c>
    </row>
    <row r="10" spans="1:9">
      <c r="B10" s="92" t="n"/>
      <c r="C10" s="92" t="n"/>
      <c r="D10" s="92" t="n"/>
      <c r="E10" s="92" t="n"/>
      <c r="F10" s="92" t="n"/>
      <c r="G10" s="92" t="n"/>
      <c r="I10" s="92" t="n"/>
    </row>
    <row customHeight="1" ht="15.75" r="11" s="21" spans="1:9" thickBot="1">
      <c r="A11" s="25" t="s">
        <v>21</v>
      </c>
      <c r="B11" s="93" t="n"/>
      <c r="C11" s="93" t="n"/>
      <c r="D11" s="93" t="n"/>
      <c r="E11" s="93" t="n"/>
      <c r="F11" s="93" t="n"/>
      <c r="G11" s="92" t="n"/>
      <c r="I11" s="92" t="n"/>
    </row>
    <row r="12" spans="1:9">
      <c r="A12" s="27" t="s">
        <v>22</v>
      </c>
      <c r="B12" s="94" t="n"/>
      <c r="D12" s="95" t="s">
        <v>23</v>
      </c>
      <c r="F12" s="83" t="n"/>
      <c r="G12" s="92" t="n"/>
      <c r="I12" s="92" t="n"/>
    </row>
    <row r="13" spans="1:9">
      <c r="A13" s="27" t="s">
        <v>24</v>
      </c>
      <c r="B13" s="96" t="n"/>
      <c r="D13" s="95" t="s">
        <v>25</v>
      </c>
      <c r="F13" s="97" t="n"/>
      <c r="G13" s="92" t="n"/>
      <c r="I13" s="92" t="n"/>
    </row>
    <row r="14" spans="1:9">
      <c r="A14" s="27" t="s">
        <v>26</v>
      </c>
      <c r="B14" s="96" t="n"/>
      <c r="D14" s="95" t="s">
        <v>27</v>
      </c>
      <c r="F14" s="85" t="n"/>
      <c r="G14" s="92" t="n"/>
      <c r="I14" s="92" t="n"/>
    </row>
    <row r="15" spans="1:9">
      <c r="A15" s="27" t="s">
        <v>28</v>
      </c>
      <c r="B15" s="96" t="n"/>
      <c r="D15" s="95" t="s">
        <v>29</v>
      </c>
      <c r="F15" s="83" t="n"/>
      <c r="G15" s="92" t="n"/>
      <c r="I15" s="92" t="n"/>
    </row>
    <row r="16" spans="1:9">
      <c r="A16" s="27" t="s">
        <v>30</v>
      </c>
      <c r="B16" s="96" t="n"/>
      <c r="D16" s="95" t="s">
        <v>31</v>
      </c>
      <c r="F16" s="94" t="n"/>
      <c r="G16" s="92" t="n"/>
      <c r="I16" s="92" t="n"/>
    </row>
    <row r="17" spans="1:9">
      <c r="A17" s="27" t="s">
        <v>32</v>
      </c>
      <c r="B17" s="96" t="n"/>
      <c r="D17" s="95" t="s">
        <v>33</v>
      </c>
      <c r="F17" s="83" t="n"/>
      <c r="G17" s="92" t="n"/>
      <c r="I17" s="92" t="n"/>
    </row>
    <row customHeight="1" ht="15.75" r="19" s="21" spans="1:9" thickBot="1">
      <c r="A19" s="25" t="s">
        <v>34</v>
      </c>
      <c r="B19" s="58">
        <f>'Base Case'!H3</f>
        <v/>
      </c>
      <c r="C19" s="58">
        <f>'Base Case'!I3</f>
        <v/>
      </c>
      <c r="D19" s="58">
        <f>'Base Case'!J3</f>
        <v/>
      </c>
      <c r="E19" s="58">
        <f>'Base Case'!K3</f>
        <v/>
      </c>
      <c r="F19" s="58">
        <f>'Base Case'!L3</f>
        <v/>
      </c>
    </row>
    <row r="20" spans="1:9">
      <c r="A20" s="27" t="s">
        <v>13</v>
      </c>
      <c r="B20" s="98" t="n"/>
      <c r="C20" s="98" t="n"/>
      <c r="D20" s="98" t="n"/>
      <c r="E20" s="98" t="n"/>
      <c r="F20" s="98" t="n"/>
    </row>
    <row r="21" spans="1:9">
      <c r="A21" s="27" t="s">
        <v>16</v>
      </c>
      <c r="B21" s="98" t="n"/>
      <c r="C21" s="98" t="n"/>
      <c r="D21" s="98" t="n"/>
      <c r="E21" s="98" t="n"/>
      <c r="F21" s="98" t="n"/>
    </row>
    <row r="22" spans="1:9">
      <c r="A22" s="27" t="s">
        <v>17</v>
      </c>
      <c r="B22" s="98" t="n"/>
      <c r="C22" s="98" t="n"/>
      <c r="D22" s="98" t="n"/>
      <c r="E22" s="98" t="n"/>
      <c r="F22" s="98" t="n"/>
    </row>
    <row r="23" spans="1:9">
      <c r="A23" s="27" t="s">
        <v>19</v>
      </c>
      <c r="B23" s="98" t="n"/>
      <c r="C23" s="98" t="n"/>
      <c r="D23" s="98" t="n"/>
      <c r="E23" s="98" t="n"/>
      <c r="F23" s="98" t="n"/>
    </row>
    <row r="24" spans="1:9">
      <c r="A24" s="27" t="s">
        <v>18</v>
      </c>
      <c r="B24" s="98" t="n"/>
      <c r="C24" s="98" t="n"/>
      <c r="D24" s="98" t="n"/>
      <c r="E24" s="98" t="n"/>
      <c r="F24" s="99">
        <f>F23</f>
        <v/>
      </c>
    </row>
    <row r="25" spans="1:9">
      <c r="A25" s="27" t="s">
        <v>20</v>
      </c>
      <c r="B25" s="98" t="n"/>
      <c r="C25" s="98" t="n"/>
      <c r="D25" s="98" t="n"/>
      <c r="E25" s="98" t="n"/>
      <c r="F25" s="98" t="n"/>
    </row>
    <row r="26" spans="1:9">
      <c r="A26" s="27" t="s">
        <v>35</v>
      </c>
      <c r="B26" s="98" t="n"/>
    </row>
    <row customHeight="1" ht="15.75" r="28" s="21" spans="1:9" thickBot="1">
      <c r="A28" s="25" t="s">
        <v>36</v>
      </c>
      <c r="B28" s="58">
        <f>B19</f>
        <v/>
      </c>
      <c r="C28" s="58">
        <f>C19</f>
        <v/>
      </c>
      <c r="D28" s="58">
        <f>D19</f>
        <v/>
      </c>
      <c r="E28" s="58">
        <f>E19</f>
        <v/>
      </c>
      <c r="F28" s="58">
        <f>F19</f>
        <v/>
      </c>
    </row>
    <row r="29" spans="1:9">
      <c r="A29" s="27" t="s">
        <v>13</v>
      </c>
      <c r="B29" s="98" t="n"/>
      <c r="C29" s="98" t="n"/>
      <c r="D29" s="98" t="n"/>
      <c r="E29" s="98" t="n"/>
      <c r="F29" s="98" t="n"/>
    </row>
    <row r="30" spans="1:9">
      <c r="A30" s="27" t="s">
        <v>16</v>
      </c>
      <c r="B30" s="98" t="n"/>
      <c r="C30" s="98" t="n"/>
      <c r="D30" s="98" t="n"/>
      <c r="E30" s="98" t="n"/>
      <c r="F30" s="98" t="n"/>
    </row>
    <row r="31" spans="1:9">
      <c r="A31" s="27" t="s">
        <v>17</v>
      </c>
      <c r="B31" s="98" t="n"/>
      <c r="C31" s="98" t="n"/>
      <c r="D31" s="98" t="n"/>
      <c r="E31" s="98" t="n"/>
      <c r="F31" s="98" t="n"/>
    </row>
    <row r="32" spans="1:9">
      <c r="A32" s="27" t="s">
        <v>19</v>
      </c>
      <c r="B32" s="98" t="n"/>
      <c r="C32" s="98" t="n"/>
      <c r="D32" s="98" t="n"/>
      <c r="E32" s="98" t="n"/>
      <c r="F32" s="98" t="n"/>
    </row>
    <row r="33" spans="1:9">
      <c r="A33" s="27" t="s">
        <v>18</v>
      </c>
      <c r="B33" s="98" t="n"/>
      <c r="C33" s="98" t="n"/>
      <c r="D33" s="98" t="n"/>
      <c r="E33" s="98" t="n"/>
      <c r="F33" s="99">
        <f>F32</f>
        <v/>
      </c>
    </row>
    <row r="34" spans="1:9">
      <c r="A34" s="27" t="s">
        <v>20</v>
      </c>
      <c r="B34" s="98" t="n"/>
      <c r="C34" s="98" t="n"/>
      <c r="D34" s="98" t="n"/>
      <c r="E34" s="98" t="n"/>
      <c r="F34" s="98" t="n"/>
    </row>
    <row r="35" spans="1:9">
      <c r="A35" s="27" t="s">
        <v>35</v>
      </c>
      <c r="B35" s="98" t="n"/>
    </row>
    <row customHeight="1" ht="15.75" r="37" s="21" spans="1:9" thickBot="1">
      <c r="A37" s="25" t="s">
        <v>37</v>
      </c>
      <c r="B37" s="58">
        <f>B19</f>
        <v/>
      </c>
      <c r="C37" s="58">
        <f>C19</f>
        <v/>
      </c>
      <c r="D37" s="58">
        <f>D19</f>
        <v/>
      </c>
      <c r="E37" s="58">
        <f>E19</f>
        <v/>
      </c>
      <c r="F37" s="58">
        <f>F19</f>
        <v/>
      </c>
    </row>
    <row r="38" spans="1:9">
      <c r="A38" s="27" t="s">
        <v>13</v>
      </c>
      <c r="B38" s="98" t="n"/>
      <c r="C38" s="98" t="n"/>
      <c r="D38" s="98" t="n"/>
      <c r="E38" s="98" t="n"/>
      <c r="F38" s="98" t="n"/>
    </row>
    <row r="39" spans="1:9">
      <c r="A39" s="27" t="s">
        <v>16</v>
      </c>
      <c r="B39" s="98" t="n"/>
      <c r="C39" s="98" t="n"/>
      <c r="D39" s="98" t="n"/>
      <c r="E39" s="98" t="n"/>
      <c r="F39" s="98" t="n"/>
    </row>
    <row r="40" spans="1:9">
      <c r="A40" s="27" t="s">
        <v>17</v>
      </c>
      <c r="B40" s="98" t="n"/>
      <c r="C40" s="98" t="n"/>
      <c r="D40" s="98" t="n"/>
      <c r="E40" s="98" t="n"/>
      <c r="F40" s="98" t="n"/>
    </row>
    <row r="41" spans="1:9">
      <c r="A41" s="27" t="s">
        <v>19</v>
      </c>
      <c r="B41" s="98" t="n"/>
      <c r="C41" s="98" t="n"/>
      <c r="D41" s="98" t="n"/>
      <c r="E41" s="98" t="n"/>
      <c r="F41" s="98" t="n"/>
    </row>
    <row r="42" spans="1:9">
      <c r="A42" s="27" t="s">
        <v>18</v>
      </c>
      <c r="B42" s="98" t="n"/>
      <c r="C42" s="98" t="n"/>
      <c r="D42" s="98" t="n"/>
      <c r="E42" s="98" t="n"/>
      <c r="F42" s="99">
        <f>F41</f>
        <v/>
      </c>
    </row>
    <row r="43" spans="1:9">
      <c r="A43" s="27" t="s">
        <v>20</v>
      </c>
      <c r="B43" s="98" t="n"/>
      <c r="C43" s="98" t="n"/>
      <c r="D43" s="98" t="n"/>
      <c r="E43" s="98" t="n"/>
      <c r="F43" s="98" t="n"/>
    </row>
    <row r="44" spans="1:9">
      <c r="A44" s="27" t="s">
        <v>35</v>
      </c>
      <c r="B44" s="98"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Q33"/>
  <sheetViews>
    <sheetView tabSelected="1" workbookViewId="0" zoomScaleNormal="100">
      <selection activeCell="F33" sqref="F33"/>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94" t="n">
        <v>156508</v>
      </c>
      <c r="C4" s="94" t="n">
        <v>170910</v>
      </c>
      <c r="D4" s="94" t="n">
        <v>182795</v>
      </c>
      <c r="E4" s="94" t="n">
        <v>233715</v>
      </c>
      <c r="F4" s="94" t="n">
        <v>215639</v>
      </c>
      <c r="G4" s="100" t="n"/>
      <c r="H4" s="101">
        <f>F4*(1+Assumptions!B20)</f>
        <v/>
      </c>
      <c r="I4" s="101">
        <f>H4*(1+Assumptions!C20)</f>
        <v/>
      </c>
      <c r="J4" s="101">
        <f>I4*(1+Assumptions!D20)</f>
        <v/>
      </c>
      <c r="K4" s="101">
        <f>J4*(1+Assumptions!E20)</f>
        <v/>
      </c>
      <c r="L4" s="102">
        <f>K4*(1+Assumptions!F20)</f>
        <v/>
      </c>
      <c r="M4" s="101" t="n"/>
      <c r="N4" s="101">
        <f>G4</f>
        <v/>
      </c>
      <c r="O4" s="94" t="n"/>
      <c r="P4" s="101">
        <f>IF($G$3="NA",F4,F4+N4-O4)</f>
        <v/>
      </c>
    </row>
    <row r="5" spans="1:17">
      <c r="A5" s="27" t="s">
        <v>44</v>
      </c>
      <c r="B5" s="94" t="n">
        <v>87846</v>
      </c>
      <c r="C5" s="94" t="n">
        <v>106606</v>
      </c>
      <c r="D5" s="94" t="n">
        <v>112258</v>
      </c>
      <c r="E5" s="94" t="n">
        <v>140089</v>
      </c>
      <c r="F5" s="94" t="n">
        <v>131376</v>
      </c>
      <c r="G5" s="100" t="n"/>
      <c r="H5" s="101" t="n"/>
      <c r="I5" s="101" t="n"/>
      <c r="J5" s="101" t="n"/>
      <c r="K5" s="101" t="n"/>
      <c r="L5" s="102" t="n"/>
      <c r="M5" s="101" t="n"/>
      <c r="N5" s="101">
        <f>G5</f>
        <v/>
      </c>
      <c r="O5" s="94" t="n"/>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94" t="n">
        <v>10040</v>
      </c>
      <c r="C7" s="94" t="n">
        <v>10830</v>
      </c>
      <c r="D7" s="94" t="n">
        <v>11993</v>
      </c>
      <c r="E7" s="94" t="n">
        <v>14329</v>
      </c>
      <c r="F7" s="94" t="n">
        <v>14194</v>
      </c>
      <c r="G7" s="100" t="n"/>
      <c r="H7" s="101" t="n"/>
      <c r="I7" s="101" t="n"/>
      <c r="J7" s="101" t="n"/>
      <c r="K7" s="101" t="n"/>
      <c r="L7" s="102" t="n"/>
      <c r="M7" s="101" t="n"/>
      <c r="N7" s="101">
        <f>G7</f>
        <v/>
      </c>
      <c r="O7" s="94" t="n"/>
      <c r="P7" s="101">
        <f>IF($G$3="NA",F7,F7+N7-O7)</f>
        <v/>
      </c>
    </row>
    <row r="8" spans="1:17">
      <c r="A8" s="76" t="s">
        <v>47</v>
      </c>
      <c r="B8" s="103">
        <f>B6-B7</f>
        <v/>
      </c>
      <c r="C8" s="103">
        <f>C6-C7</f>
        <v/>
      </c>
      <c r="D8" s="103">
        <f>D6-D7</f>
        <v/>
      </c>
      <c r="E8" s="103">
        <f>E6-E7</f>
        <v/>
      </c>
      <c r="F8" s="103">
        <f>F6-F7</f>
        <v/>
      </c>
      <c r="G8" s="104">
        <f>G6-G7</f>
        <v/>
      </c>
      <c r="H8" s="103">
        <f>H4*Assumptions!B21</f>
        <v/>
      </c>
      <c r="I8" s="103">
        <f>I4*Assumptions!C21</f>
        <v/>
      </c>
      <c r="J8" s="103">
        <f>J4*Assumptions!D21</f>
        <v/>
      </c>
      <c r="K8" s="103">
        <f>K4*Assumptions!E21</f>
        <v/>
      </c>
      <c r="L8" s="104">
        <f>L4*Assumptions!F21</f>
        <v/>
      </c>
      <c r="M8" s="103" t="n"/>
      <c r="N8" s="103">
        <f>N6-N7</f>
        <v/>
      </c>
      <c r="O8" s="103">
        <f>O6-O7</f>
        <v/>
      </c>
      <c r="P8" s="101">
        <f>IF($G$3="NA",F8,F8+N8-O8)</f>
        <v/>
      </c>
    </row>
    <row r="9" spans="1:17">
      <c r="A9" s="27" t="s">
        <v>48</v>
      </c>
      <c r="B9" s="94" t="n">
        <v>55763</v>
      </c>
      <c r="C9" s="94" t="n">
        <v>50155</v>
      </c>
      <c r="D9" s="94" t="n">
        <v>53483</v>
      </c>
      <c r="E9" s="94" t="n">
        <v>72515</v>
      </c>
      <c r="F9" s="94" t="n">
        <v>61372</v>
      </c>
      <c r="G9" s="100" t="n"/>
      <c r="H9" s="101">
        <f>IF(ISERROR(F9*(H8/F8)),"NA",F9*(H8/F8))</f>
        <v/>
      </c>
      <c r="I9" s="101">
        <f>IF(ISERROR(H9*(I8/H8)),"NA",H9*(I8/H8))</f>
        <v/>
      </c>
      <c r="J9" s="101">
        <f>IF(ISERROR(I9*(J8/I8)),"NA",I9*(J8/I8))</f>
        <v/>
      </c>
      <c r="K9" s="101">
        <f>IF(ISERROR(J9*(K8/J8)),"NA",J9*(K8/J8))</f>
        <v/>
      </c>
      <c r="L9" s="102">
        <f>IF(ISERROR(K9*(L8/K8)),"NA",K9*(L8/K8))</f>
        <v/>
      </c>
      <c r="M9" s="101" t="n"/>
      <c r="N9" s="101">
        <f>G9</f>
        <v/>
      </c>
      <c r="O9" s="94" t="n"/>
      <c r="P9" s="101">
        <f>IF($G$3="NA",F9,F9+N9-O9)</f>
        <v/>
      </c>
    </row>
    <row r="10" spans="1:17">
      <c r="A10" s="16" t="s">
        <v>49</v>
      </c>
      <c r="B10" s="94" t="n">
        <v>14030</v>
      </c>
      <c r="C10" s="94" t="n">
        <v>13118</v>
      </c>
      <c r="D10" s="94" t="n">
        <v>13973</v>
      </c>
      <c r="E10" s="94" t="n">
        <v>19121</v>
      </c>
      <c r="F10" s="94" t="n">
        <v>15685</v>
      </c>
      <c r="G10" s="100" t="n"/>
      <c r="H10" s="101">
        <f>IF(ISERROR(H9*Assumptions!B22),"NA",Assumptions!B22*'Base Case'!H9)</f>
        <v/>
      </c>
      <c r="I10" s="101">
        <f>IF(ISERROR(I9*Assumptions!C22),"NA",Assumptions!C22*'Base Case'!I9)</f>
        <v/>
      </c>
      <c r="J10" s="101">
        <f>IF(ISERROR(J9*Assumptions!D22),"NA",Assumptions!D22*'Base Case'!J9)</f>
        <v/>
      </c>
      <c r="K10" s="101">
        <f>IF(ISERROR(K9*Assumptions!E22),"NA",Assumptions!E22*'Base Case'!K9)</f>
        <v/>
      </c>
      <c r="L10" s="102">
        <f>IF(ISERROR(L9*Assumptions!F22),"NA",Assumptions!F22*'Base Case'!L9)</f>
        <v/>
      </c>
      <c r="M10" s="101" t="n"/>
      <c r="N10" s="101">
        <f>G10</f>
        <v/>
      </c>
      <c r="O10" s="94" t="n"/>
      <c r="P10" s="101">
        <f>IF($G$3="NA",F10,F10+N10-O10)</f>
        <v/>
      </c>
    </row>
    <row r="11" spans="1:17">
      <c r="A11" s="27" t="s">
        <v>50</v>
      </c>
      <c r="B11" s="94" t="n">
        <v>522</v>
      </c>
      <c r="C11" s="94" t="n">
        <v>1292</v>
      </c>
      <c r="D11" s="94" t="n">
        <v>1364</v>
      </c>
      <c r="E11" s="94" t="n">
        <v>2018</v>
      </c>
      <c r="F11" s="94" t="n">
        <v>2804</v>
      </c>
      <c r="G11" s="100" t="n"/>
      <c r="H11" s="101" t="n"/>
      <c r="I11" s="101" t="n"/>
      <c r="J11" s="101" t="n"/>
      <c r="K11" s="101" t="n"/>
      <c r="L11" s="102" t="n"/>
      <c r="M11" s="101" t="n"/>
      <c r="N11" s="101">
        <f>G11</f>
        <v/>
      </c>
      <c r="O11" s="94" t="n"/>
      <c r="P11" s="101">
        <f>IF($G$3="NA",F11,F11+N11-O11)</f>
        <v/>
      </c>
    </row>
    <row r="12" spans="1:17">
      <c r="A12" s="76" t="s">
        <v>51</v>
      </c>
      <c r="B12" s="103">
        <f>B9-B10+B11</f>
        <v/>
      </c>
      <c r="C12" s="103">
        <f>C9-C10+C11</f>
        <v/>
      </c>
      <c r="D12" s="103">
        <f>D9-D10+D11</f>
        <v/>
      </c>
      <c r="E12" s="103">
        <f>E9-E10+E11</f>
        <v/>
      </c>
      <c r="F12" s="103">
        <f>F9-F10+F11</f>
        <v/>
      </c>
      <c r="G12" s="103">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94" t="n"/>
      <c r="C15" s="94" t="n"/>
      <c r="D15" s="94" t="n"/>
      <c r="E15" s="94" t="n"/>
      <c r="F15" s="94" t="n"/>
      <c r="G15" s="100" t="n"/>
      <c r="H15" s="101">
        <f>H4*Assumptions!B23</f>
        <v/>
      </c>
      <c r="I15" s="101">
        <f>I4*Assumptions!C23</f>
        <v/>
      </c>
      <c r="J15" s="101">
        <f>J4*Assumptions!D23</f>
        <v/>
      </c>
      <c r="K15" s="101">
        <f>K4*Assumptions!E23</f>
        <v/>
      </c>
      <c r="L15" s="102">
        <f>L4*Assumptions!F23</f>
        <v/>
      </c>
      <c r="M15" s="101" t="n"/>
      <c r="N15" s="101">
        <f>G15</f>
        <v/>
      </c>
      <c r="O15" s="94" t="n"/>
      <c r="P15" s="101">
        <f>IF($G$3="NA",F15,F15+N15-O15)</f>
        <v/>
      </c>
    </row>
    <row r="16" spans="1:17">
      <c r="A16" s="27" t="s">
        <v>54</v>
      </c>
      <c r="B16" s="94" t="n"/>
      <c r="C16" s="94" t="n"/>
      <c r="D16" s="94" t="n"/>
      <c r="E16" s="94" t="n"/>
      <c r="F16" s="94" t="n"/>
      <c r="G16" s="100" t="n"/>
      <c r="H16" s="101">
        <f>Assumptions!B24*'Base Case'!H4</f>
        <v/>
      </c>
      <c r="I16" s="101">
        <f>Assumptions!C24*'Base Case'!I4</f>
        <v/>
      </c>
      <c r="J16" s="101">
        <f>Assumptions!D24*'Base Case'!J4</f>
        <v/>
      </c>
      <c r="K16" s="101">
        <f>Assumptions!E24*'Base Case'!K4</f>
        <v/>
      </c>
      <c r="L16" s="102">
        <f>Assumptions!F24*'Base Case'!L4</f>
        <v/>
      </c>
      <c r="M16" s="101" t="n"/>
      <c r="N16" s="101">
        <f>G16</f>
        <v/>
      </c>
      <c r="O16" s="94" t="n"/>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94" t="n"/>
      <c r="C19" s="94" t="n"/>
      <c r="D19" s="94" t="n"/>
      <c r="E19" s="94" t="n"/>
      <c r="F19" s="94" t="n"/>
      <c r="G19" s="100" t="n"/>
      <c r="H19" s="101" t="n"/>
      <c r="I19" s="101" t="n"/>
      <c r="J19" s="101" t="n"/>
      <c r="K19" s="101" t="n"/>
      <c r="L19" s="102" t="n"/>
      <c r="M19" s="101" t="n"/>
      <c r="N19" s="101">
        <f>G19</f>
        <v/>
      </c>
      <c r="O19" s="94" t="n"/>
      <c r="P19" s="101">
        <f>IF($G$3="NA",F19,F19+N19-O19)</f>
        <v/>
      </c>
    </row>
    <row r="20" spans="1:17">
      <c r="A20" s="27" t="s">
        <v>57</v>
      </c>
      <c r="B20" s="94" t="n"/>
      <c r="C20" s="94" t="n"/>
      <c r="D20" s="94" t="n"/>
      <c r="E20" s="94" t="n"/>
      <c r="F20" s="94" t="n"/>
      <c r="G20" s="100" t="n"/>
      <c r="H20" s="101" t="n"/>
      <c r="I20" s="101" t="n"/>
      <c r="J20" s="101" t="n"/>
      <c r="K20" s="101" t="n"/>
      <c r="L20" s="102" t="n"/>
      <c r="M20" s="101" t="n"/>
      <c r="N20" s="101">
        <f>G20</f>
        <v/>
      </c>
      <c r="O20" s="94" t="n"/>
      <c r="P20" s="101">
        <f>IF($G$3="NA",F20,F20+N20-O20)</f>
        <v/>
      </c>
    </row>
    <row r="21" spans="1:17">
      <c r="A21" s="27" t="s">
        <v>58</v>
      </c>
      <c r="B21" s="94" t="n"/>
      <c r="C21" s="94" t="n"/>
      <c r="D21" s="94" t="n"/>
      <c r="E21" s="94" t="n"/>
      <c r="F21" s="94" t="n"/>
      <c r="G21" s="100" t="n"/>
      <c r="H21" s="101" t="n"/>
      <c r="I21" s="101" t="n"/>
      <c r="J21" s="101" t="n"/>
      <c r="K21" s="101" t="n"/>
      <c r="L21" s="102" t="n"/>
      <c r="M21" s="101" t="n"/>
      <c r="N21" s="101">
        <f>G21</f>
        <v/>
      </c>
      <c r="O21" s="94" t="n"/>
      <c r="P21" s="101">
        <f>IF($G$3="NA",F21,F21+N21-O21)</f>
        <v/>
      </c>
    </row>
    <row r="22" spans="1:17">
      <c r="A22" s="27" t="s">
        <v>59</v>
      </c>
      <c r="B22" s="94" t="n"/>
      <c r="C22" s="94" t="n"/>
      <c r="D22" s="94" t="n"/>
      <c r="E22" s="94" t="n"/>
      <c r="F22" s="94" t="n"/>
      <c r="G22" s="100" t="n"/>
      <c r="H22" s="101" t="n"/>
      <c r="I22" s="101" t="n"/>
      <c r="J22" s="101" t="n"/>
      <c r="K22" s="101" t="n"/>
      <c r="L22" s="102" t="n"/>
      <c r="M22" s="101" t="n"/>
      <c r="N22" s="101">
        <f>G22</f>
        <v/>
      </c>
      <c r="O22" s="94" t="n"/>
      <c r="P22" s="101">
        <f>IF($G$3="NA",F22,F22+N22-O22)</f>
        <v/>
      </c>
    </row>
    <row r="23" spans="1:17">
      <c r="A23" s="27" t="s">
        <v>60</v>
      </c>
      <c r="B23" s="94" t="n"/>
      <c r="C23" s="94" t="n"/>
      <c r="D23" s="94" t="n"/>
      <c r="E23" s="94" t="n"/>
      <c r="F23" s="94" t="n"/>
      <c r="G23" s="100" t="n"/>
      <c r="H23" s="101" t="n"/>
      <c r="I23" s="101" t="n"/>
      <c r="J23" s="101" t="n"/>
      <c r="K23" s="101" t="n"/>
      <c r="L23" s="102" t="n"/>
      <c r="M23" s="101" t="n"/>
      <c r="N23" s="101">
        <f>G23</f>
        <v/>
      </c>
      <c r="O23" s="94" t="n"/>
      <c r="P23" s="101">
        <f>IF($G$3="NA",F23,F23+N23-O23)</f>
        <v/>
      </c>
    </row>
    <row r="24" spans="1:17">
      <c r="A24" s="27" t="s">
        <v>61</v>
      </c>
      <c r="B24" s="94" t="n"/>
      <c r="C24" s="94" t="n"/>
      <c r="D24" s="94" t="n"/>
      <c r="E24" s="94" t="n"/>
      <c r="F24" s="94" t="n"/>
      <c r="G24" s="100" t="n"/>
      <c r="H24" s="101" t="n"/>
      <c r="I24" s="101" t="n"/>
      <c r="J24" s="101" t="n"/>
      <c r="K24" s="101" t="n"/>
      <c r="L24" s="102" t="n"/>
      <c r="M24" s="101" t="n"/>
      <c r="N24" s="101">
        <f>G24</f>
        <v/>
      </c>
      <c r="O24" s="94" t="n"/>
      <c r="P24" s="101">
        <f>IF($G$3="NA",F24,F24+N24-O24)</f>
        <v/>
      </c>
    </row>
    <row r="25" spans="1:17">
      <c r="A25" s="27" t="s">
        <v>62</v>
      </c>
      <c r="B25" s="94" t="n"/>
      <c r="C25" s="94" t="n"/>
      <c r="D25" s="94" t="n"/>
      <c r="E25" s="94" t="n"/>
      <c r="F25" s="94" t="n"/>
      <c r="G25" s="100" t="n"/>
      <c r="H25" s="101" t="n"/>
      <c r="I25" s="101" t="n"/>
      <c r="J25" s="101" t="n"/>
      <c r="K25" s="101" t="n"/>
      <c r="L25" s="102" t="n"/>
      <c r="M25" s="101" t="n"/>
      <c r="N25" s="101">
        <f>G25</f>
        <v/>
      </c>
      <c r="O25" s="94" t="n"/>
      <c r="P25" s="101">
        <f>IF($G$3="NA",F25,F25+N25-O25)</f>
        <v/>
      </c>
    </row>
    <row r="26" spans="1:17">
      <c r="A26" s="27" t="s">
        <v>63</v>
      </c>
      <c r="B26" s="94" t="n"/>
      <c r="C26" s="94" t="n"/>
      <c r="D26" s="94" t="n"/>
      <c r="E26" s="94" t="n"/>
      <c r="F26" s="94" t="n"/>
      <c r="G26" s="100" t="n"/>
      <c r="H26" s="101" t="n"/>
      <c r="I26" s="101" t="n"/>
      <c r="J26" s="101" t="n"/>
      <c r="K26" s="101" t="n"/>
      <c r="L26" s="102" t="n"/>
      <c r="M26" s="101" t="n"/>
      <c r="N26" s="101">
        <f>G26</f>
        <v/>
      </c>
      <c r="O26" s="94" t="n"/>
      <c r="P26" s="101">
        <f>IF($G$3="NA",F26,F26+N26-O26)</f>
        <v/>
      </c>
    </row>
    <row r="27" spans="1:17">
      <c r="A27" s="27" t="s">
        <v>64</v>
      </c>
      <c r="B27" s="94" t="n"/>
      <c r="C27" s="94" t="n"/>
      <c r="D27" s="94" t="n"/>
      <c r="E27" s="94" t="n"/>
      <c r="F27" s="94" t="n"/>
      <c r="G27" s="100" t="n"/>
      <c r="H27" s="101" t="n"/>
      <c r="I27" s="101" t="n"/>
      <c r="J27" s="101" t="n"/>
      <c r="K27" s="101" t="n"/>
      <c r="L27" s="102" t="n"/>
      <c r="M27" s="101" t="n"/>
      <c r="N27" s="101">
        <f>G27</f>
        <v/>
      </c>
      <c r="O27" s="94"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H4*Assumptions!B25</f>
        <v/>
      </c>
      <c r="I29" s="103">
        <f>I4*Assumptions!C25</f>
        <v/>
      </c>
      <c r="J29" s="103">
        <f>J4*Assumptions!D25</f>
        <v/>
      </c>
      <c r="K29" s="103">
        <f>K4*Assumptions!E25</f>
        <v/>
      </c>
      <c r="L29" s="104">
        <f>L4*Assumptions!F25</f>
        <v/>
      </c>
      <c r="M29" s="103" t="n"/>
      <c r="N29" s="103">
        <f>N21-N24-N20+N23</f>
        <v/>
      </c>
      <c r="O29" s="103" t="n"/>
      <c r="P29" s="103">
        <f>IF($G$3="NA",F29,F29+N29-O29)</f>
        <v/>
      </c>
    </row>
    <row r="30" spans="1:17">
      <c r="A30" s="29" t="s">
        <v>67</v>
      </c>
      <c r="B30" s="106" t="n"/>
      <c r="C30" s="107">
        <f>C29-B29</f>
        <v/>
      </c>
      <c r="D30" s="107">
        <f>D29-C29</f>
        <v/>
      </c>
      <c r="E30" s="107">
        <f>E29-D29</f>
        <v/>
      </c>
      <c r="F30" s="107">
        <f>F29-E29</f>
        <v/>
      </c>
      <c r="G30" s="63" t="n"/>
      <c r="H30" s="107">
        <f>H29-F29</f>
        <v/>
      </c>
      <c r="I30" s="107">
        <f>I29-H29</f>
        <v/>
      </c>
      <c r="J30" s="107">
        <f>J29-I29</f>
        <v/>
      </c>
      <c r="K30" s="107">
        <f>K29-J29</f>
        <v/>
      </c>
      <c r="L30" s="108">
        <f>L29-K29</f>
        <v/>
      </c>
      <c r="M30" s="65" t="n"/>
      <c r="N30" s="103"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
    <cfRule dxfId="0" priority="10" type="expression">
      <formula>$G$3="NA"</formula>
    </cfRule>
  </conditionalFormatting>
  <conditionalFormatting sqref="G5 G9:G11 G15:G16 G19:G27">
    <cfRule dxfId="1" priority="9" type="expression">
      <formula>$G$3="NA"</formula>
    </cfRule>
  </conditionalFormatting>
  <conditionalFormatting sqref="G7">
    <cfRule dxfId="2" priority="8" type="expression">
      <formula>$G$3="NA"</formula>
    </cfRule>
  </conditionalFormatting>
  <conditionalFormatting sqref="O4:O5">
    <cfRule dxfId="3" priority="6" type="expression">
      <formula>$G$3="NA"</formula>
    </cfRule>
  </conditionalFormatting>
  <conditionalFormatting sqref="O7">
    <cfRule dxfId="4" priority="5" type="expression">
      <formula>$G$3="NA"</formula>
    </cfRule>
  </conditionalFormatting>
  <conditionalFormatting sqref="O9:O11">
    <cfRule dxfId="5" priority="4" type="expression">
      <formula>$G$3="NA"</formula>
    </cfRule>
  </conditionalFormatting>
  <conditionalFormatting sqref="O15:O16">
    <cfRule dxfId="6" priority="3" type="expression">
      <formula>$G$3="NA"</formula>
    </cfRule>
  </conditionalFormatting>
  <conditionalFormatting sqref="O19:O27">
    <cfRule dxfId="7" priority="1" type="expression">
      <formula>$G$3="NA"</formula>
    </cfRule>
  </conditionalFormatting>
  <pageMargins bottom="0.75" footer="0.3" header="0.3" left="0.7" right="0.7" top="0.75"/>
  <pageSetup orientation="portrait"/>
  <legacyDrawing r:id="anysvml"/>
</worksheet>
</file>

<file path=xl/worksheets/sheet4.xml><?xml version="1.0" encoding="utf-8"?>
<worksheet xmlns="http://schemas.openxmlformats.org/spreadsheetml/2006/main">
  <sheetPr>
    <outlinePr summaryBelow="1" summaryRight="1"/>
    <pageSetUpPr/>
  </sheetPr>
  <dimension ref="A1:Q33"/>
  <sheetViews>
    <sheetView workbookViewId="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F4*(1+Assumptions!B29)</f>
        <v/>
      </c>
      <c r="I4" s="101">
        <f>H4*(1+Assumptions!C29)</f>
        <v/>
      </c>
      <c r="J4" s="101">
        <f>I4*(1+Assumptions!D29)</f>
        <v/>
      </c>
      <c r="K4" s="101">
        <f>J4*(1+Assumptions!E29)</f>
        <v/>
      </c>
      <c r="L4" s="111">
        <f>K4*(1+Assumptions!F29)</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H4*Assumptions!B30</f>
        <v/>
      </c>
      <c r="I8" s="103">
        <f>I4*Assumptions!C30</f>
        <v/>
      </c>
      <c r="J8" s="103">
        <f>J4*Assumptions!D30</f>
        <v/>
      </c>
      <c r="K8" s="103">
        <f>K4*Assumptions!E30</f>
        <v/>
      </c>
      <c r="L8" s="104">
        <f>L4*Assumptions!F30</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IF(ISERROR(H9*Assumptions!B31),"NA",Assumptions!B31*'Upside Case'!H9)</f>
        <v/>
      </c>
      <c r="I10" s="101">
        <f>IF(ISERROR(I9*Assumptions!C31),"NA",Assumptions!C31*'Upside Case'!I9)</f>
        <v/>
      </c>
      <c r="J10" s="101">
        <f>IF(ISERROR(J9*Assumptions!D31),"NA",Assumptions!D31*'Upside Case'!J9)</f>
        <v/>
      </c>
      <c r="K10" s="101">
        <f>IF(ISERROR(K9*Assumptions!E31),"NA",Assumptions!E31*'Upside Case'!K9)</f>
        <v/>
      </c>
      <c r="L10" s="102">
        <f>IF(ISERROR(L9*Assumptions!F31),"NA",Assumptions!F31*'Upside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H4*Assumptions!B32</f>
        <v/>
      </c>
      <c r="I15" s="101">
        <f>I4*Assumptions!C32</f>
        <v/>
      </c>
      <c r="J15" s="101">
        <f>J4*Assumptions!D32</f>
        <v/>
      </c>
      <c r="K15" s="101">
        <f>K4*Assumptions!E32</f>
        <v/>
      </c>
      <c r="L15" s="111">
        <f>L4*Assumptions!F32</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Assumptions!B33*'Upside Case'!H4</f>
        <v/>
      </c>
      <c r="I16" s="101">
        <f>Assumptions!C33*'Upside Case'!I4</f>
        <v/>
      </c>
      <c r="J16" s="101">
        <f>Assumptions!D33*'Upside Case'!J4</f>
        <v/>
      </c>
      <c r="K16" s="101">
        <f>Assumptions!E33*'Upside Case'!K4</f>
        <v/>
      </c>
      <c r="L16" s="102">
        <f>Assumptions!F33*'Upside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H4*Assumptions!B34</f>
        <v/>
      </c>
      <c r="I29" s="103">
        <f>I4*Assumptions!C34</f>
        <v/>
      </c>
      <c r="J29" s="103">
        <f>J4*Assumptions!D34</f>
        <v/>
      </c>
      <c r="K29" s="103">
        <f>K4*Assumptions!E34</f>
        <v/>
      </c>
      <c r="L29" s="104">
        <f>L4*Assumptions!F34</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8" priority="9" type="expression">
      <formula>$G$3="NA"</formula>
    </cfRule>
  </conditionalFormatting>
  <conditionalFormatting sqref="G9:G11 G15:G16 G19:G27">
    <cfRule dxfId="9" priority="8" type="expression">
      <formula>$G$3="NA"</formula>
    </cfRule>
  </conditionalFormatting>
  <conditionalFormatting sqref="G7">
    <cfRule dxfId="10" priority="7" type="expression">
      <formula>$G$3="NA"</formula>
    </cfRule>
  </conditionalFormatting>
  <conditionalFormatting sqref="N4:N5">
    <cfRule dxfId="11" priority="6" type="expression">
      <formula>$G$3="NA"</formula>
    </cfRule>
  </conditionalFormatting>
  <conditionalFormatting sqref="O4:O5">
    <cfRule dxfId="12" priority="5" type="expression">
      <formula>$G$3="NA"</formula>
    </cfRule>
  </conditionalFormatting>
  <conditionalFormatting sqref="N7:O7">
    <cfRule dxfId="13" priority="4" type="expression">
      <formula>$G$3="NA"</formula>
    </cfRule>
  </conditionalFormatting>
  <conditionalFormatting sqref="N9:O11">
    <cfRule dxfId="14" priority="3" type="expression">
      <formula>$G$3="NA"</formula>
    </cfRule>
  </conditionalFormatting>
  <conditionalFormatting sqref="N15:O16">
    <cfRule dxfId="15" priority="2" type="expression">
      <formula>$G$3="NA"</formula>
    </cfRule>
  </conditionalFormatting>
  <conditionalFormatting sqref="N19:N27">
    <cfRule dxfId="16" priority="1" type="expression">
      <formula>$G$3="NA"</formula>
    </cfRule>
  </conditionalFormatting>
  <pageMargins bottom="0.75" footer="0.3" header="0.3" left="0.7" right="0.7" top="0.75"/>
  <pageSetup orientation="portrait"/>
</worksheet>
</file>

<file path=xl/worksheets/sheet5.xml><?xml version="1.0" encoding="utf-8"?>
<worksheet xmlns="http://schemas.openxmlformats.org/spreadsheetml/2006/main">
  <sheetPr>
    <outlinePr summaryBelow="1" summaryRight="1"/>
    <pageSetUpPr/>
  </sheetPr>
  <dimension ref="A1:Q33"/>
  <sheetViews>
    <sheetView workbookViewId="0" zoomScaleNormal="100">
      <selection activeCell="A1" sqref="A1"/>
    </sheetView>
  </sheetViews>
  <sheetFormatPr baseColWidth="8" defaultRowHeight="15" outlineLevelCol="0"/>
  <cols>
    <col bestFit="1" customWidth="1" max="1" min="1" style="21" width="49.28515625"/>
    <col customWidth="1" max="6" min="2" style="21" width="10.7109375"/>
    <col bestFit="1" customWidth="1" max="7" min="7" style="21" width="12.140625"/>
    <col customWidth="1" max="13" min="8" style="21" width="10.7109375"/>
    <col bestFit="1" customWidth="1" max="14" min="14" style="21" width="12.140625"/>
    <col customWidth="1" max="16" min="15" style="21" width="10.7109375"/>
  </cols>
  <sheetData>
    <row r="1" spans="1:17">
      <c r="A1" s="22" t="s">
        <v>38</v>
      </c>
    </row>
    <row r="2" spans="1:17">
      <c r="B2" s="45" t="s">
        <v>39</v>
      </c>
      <c r="C2" s="45" t="n"/>
      <c r="D2" s="45" t="n"/>
      <c r="E2" s="45" t="n"/>
      <c r="F2" s="45" t="n"/>
      <c r="G2" s="45" t="n"/>
      <c r="H2" s="45" t="s">
        <v>40</v>
      </c>
      <c r="I2" s="45" t="n"/>
      <c r="J2" s="45" t="n"/>
      <c r="K2" s="45" t="n"/>
      <c r="L2" s="45" t="n"/>
    </row>
    <row customHeight="1" ht="15.75" r="3" s="21" spans="1:17" thickBot="1">
      <c r="A3" s="25" t="s">
        <v>41</v>
      </c>
      <c r="B3" s="58">
        <f>YEAR('Title Page'!B11)-4</f>
        <v/>
      </c>
      <c r="C3" s="58">
        <f>B3+1</f>
        <v/>
      </c>
      <c r="D3" s="58">
        <f>C3+1</f>
        <v/>
      </c>
      <c r="E3" s="58">
        <f>D3+1</f>
        <v/>
      </c>
      <c r="F3" s="58">
        <f>E3+1</f>
        <v/>
      </c>
      <c r="G3" s="59">
        <f>IF('Title Page'!B11&gt;'Title Page'!B10,"NA",CONCATENATE("Current ",YEAR('Title Page'!B10)))</f>
        <v/>
      </c>
      <c r="H3" s="58">
        <f>CONCATENATE(F3+1,"F")</f>
        <v/>
      </c>
      <c r="I3" s="58">
        <f>CONCATENATE(F3+2,"F")</f>
        <v/>
      </c>
      <c r="J3" s="58">
        <f>CONCATENATE(F3+3,"F")</f>
        <v/>
      </c>
      <c r="K3" s="58">
        <f>CONCATENATE(F3+4,"F")</f>
        <v/>
      </c>
      <c r="L3" s="59">
        <f>CONCATENATE(F3+5,"F")</f>
        <v/>
      </c>
      <c r="M3" s="60" t="n"/>
      <c r="N3" s="58">
        <f>G3</f>
        <v/>
      </c>
      <c r="O3" s="58">
        <f>IF(G3="NA","NA",CONCATENATE(F3," 10Q"))</f>
        <v/>
      </c>
      <c r="P3" s="58" t="s">
        <v>42</v>
      </c>
    </row>
    <row r="4" spans="1:17">
      <c r="A4" s="27" t="s">
        <v>43</v>
      </c>
      <c r="B4" s="109">
        <f>'Base Case'!B4</f>
        <v/>
      </c>
      <c r="C4" s="109">
        <f>'Base Case'!C4</f>
        <v/>
      </c>
      <c r="D4" s="109">
        <f>'Base Case'!D4</f>
        <v/>
      </c>
      <c r="E4" s="109">
        <f>'Base Case'!E4</f>
        <v/>
      </c>
      <c r="F4" s="109">
        <f>'Base Case'!F4</f>
        <v/>
      </c>
      <c r="G4" s="110">
        <f>'Base Case'!G4</f>
        <v/>
      </c>
      <c r="H4" s="101">
        <f>F4*(1+Assumptions!B38)</f>
        <v/>
      </c>
      <c r="I4" s="101">
        <f>H4*(1+Assumptions!C38)</f>
        <v/>
      </c>
      <c r="J4" s="101">
        <f>I4*(1+Assumptions!D38)</f>
        <v/>
      </c>
      <c r="K4" s="101">
        <f>J4*(1+Assumptions!E38)</f>
        <v/>
      </c>
      <c r="L4" s="111">
        <f>K4*(1+Assumptions!F38)</f>
        <v/>
      </c>
      <c r="M4" s="101" t="n"/>
      <c r="N4" s="109">
        <f>G4</f>
        <v/>
      </c>
      <c r="O4" s="109">
        <f>'Base Case'!O4</f>
        <v/>
      </c>
      <c r="P4" s="101">
        <f>IF($G$3="NA",F4,F4+N4-O4)</f>
        <v/>
      </c>
    </row>
    <row r="5" spans="1:17">
      <c r="A5" s="27" t="s">
        <v>44</v>
      </c>
      <c r="B5" s="109">
        <f>'Base Case'!B5</f>
        <v/>
      </c>
      <c r="C5" s="109">
        <f>'Base Case'!C5</f>
        <v/>
      </c>
      <c r="D5" s="109">
        <f>'Base Case'!D5</f>
        <v/>
      </c>
      <c r="E5" s="109">
        <f>'Base Case'!E5</f>
        <v/>
      </c>
      <c r="F5" s="109">
        <f>'Base Case'!F5</f>
        <v/>
      </c>
      <c r="G5" s="110">
        <f>'Base Case'!G5</f>
        <v/>
      </c>
      <c r="H5" s="101" t="n"/>
      <c r="I5" s="101" t="n"/>
      <c r="J5" s="101" t="n"/>
      <c r="K5" s="101" t="n"/>
      <c r="L5" s="102" t="n"/>
      <c r="M5" s="101" t="n"/>
      <c r="N5" s="109">
        <f>G5</f>
        <v/>
      </c>
      <c r="O5" s="109">
        <f>'Base Case'!O5</f>
        <v/>
      </c>
      <c r="P5" s="101">
        <f>IF($G$3="NA",F5,F5+N5-O5)</f>
        <v/>
      </c>
    </row>
    <row r="6" spans="1:17">
      <c r="A6" s="76" t="s">
        <v>45</v>
      </c>
      <c r="B6" s="103">
        <f>B4-B5</f>
        <v/>
      </c>
      <c r="C6" s="103">
        <f>C4-C5</f>
        <v/>
      </c>
      <c r="D6" s="103">
        <f>D4-D5</f>
        <v/>
      </c>
      <c r="E6" s="103">
        <f>E4-E5</f>
        <v/>
      </c>
      <c r="F6" s="103">
        <f>F4-F5</f>
        <v/>
      </c>
      <c r="G6" s="104">
        <f>G4-G5</f>
        <v/>
      </c>
      <c r="H6" s="103" t="n"/>
      <c r="I6" s="103" t="n"/>
      <c r="J6" s="103" t="n"/>
      <c r="K6" s="103" t="n"/>
      <c r="L6" s="104" t="n"/>
      <c r="M6" s="103" t="n"/>
      <c r="N6" s="103">
        <f>N4-N5</f>
        <v/>
      </c>
      <c r="O6" s="103">
        <f>O4-O5</f>
        <v/>
      </c>
      <c r="P6" s="101">
        <f>IF($G$3="NA",F6,F6+N6-O6)</f>
        <v/>
      </c>
    </row>
    <row r="7" spans="1:17">
      <c r="A7" s="27" t="s">
        <v>46</v>
      </c>
      <c r="B7" s="109">
        <f>'Base Case'!B7</f>
        <v/>
      </c>
      <c r="C7" s="109">
        <f>'Base Case'!C7</f>
        <v/>
      </c>
      <c r="D7" s="109">
        <f>'Base Case'!D7</f>
        <v/>
      </c>
      <c r="E7" s="109">
        <f>'Base Case'!E7</f>
        <v/>
      </c>
      <c r="F7" s="109">
        <f>'Base Case'!F7</f>
        <v/>
      </c>
      <c r="G7" s="110">
        <f>'Base Case'!G7</f>
        <v/>
      </c>
      <c r="H7" s="101" t="n"/>
      <c r="I7" s="101" t="n"/>
      <c r="J7" s="101" t="n"/>
      <c r="K7" s="101" t="n"/>
      <c r="L7" s="102" t="n"/>
      <c r="M7" s="101" t="n"/>
      <c r="N7" s="109">
        <f>G7</f>
        <v/>
      </c>
      <c r="O7" s="109">
        <f>'Base Case'!O7</f>
        <v/>
      </c>
      <c r="P7" s="101">
        <f>IF($G$3="NA",F7,F7+N7-O7)</f>
        <v/>
      </c>
    </row>
    <row r="8" spans="1:17">
      <c r="A8" s="76" t="s">
        <v>47</v>
      </c>
      <c r="B8" s="103">
        <f>B6-B7</f>
        <v/>
      </c>
      <c r="C8" s="103">
        <f>C6-C7</f>
        <v/>
      </c>
      <c r="D8" s="103">
        <f>D6-D7</f>
        <v/>
      </c>
      <c r="E8" s="103">
        <f>E6-E7</f>
        <v/>
      </c>
      <c r="F8" s="103">
        <f>F6-F7</f>
        <v/>
      </c>
      <c r="G8" s="104">
        <f>G6-G7</f>
        <v/>
      </c>
      <c r="H8" s="103">
        <f>H4*Assumptions!B39</f>
        <v/>
      </c>
      <c r="I8" s="103">
        <f>I4*Assumptions!C39</f>
        <v/>
      </c>
      <c r="J8" s="103">
        <f>J4*Assumptions!D39</f>
        <v/>
      </c>
      <c r="K8" s="103">
        <f>K4*Assumptions!E39</f>
        <v/>
      </c>
      <c r="L8" s="104">
        <f>L4*Assumptions!F39</f>
        <v/>
      </c>
      <c r="M8" s="103" t="n"/>
      <c r="N8" s="103">
        <f>N6-N7</f>
        <v/>
      </c>
      <c r="O8" s="103">
        <f>O6-O7</f>
        <v/>
      </c>
      <c r="P8" s="101">
        <f>IF($G$3="NA",F8,F8+N8-O8)</f>
        <v/>
      </c>
    </row>
    <row r="9" spans="1:17">
      <c r="A9" s="27" t="s">
        <v>48</v>
      </c>
      <c r="B9" s="109">
        <f>'Base Case'!B9</f>
        <v/>
      </c>
      <c r="C9" s="109">
        <f>'Base Case'!C9</f>
        <v/>
      </c>
      <c r="D9" s="109">
        <f>'Base Case'!D9</f>
        <v/>
      </c>
      <c r="E9" s="109">
        <f>'Base Case'!E9</f>
        <v/>
      </c>
      <c r="F9" s="109">
        <f>'Base Case'!F9</f>
        <v/>
      </c>
      <c r="G9" s="110">
        <f>'Base Case'!G9</f>
        <v/>
      </c>
      <c r="H9" s="101">
        <f>IF(ISERROR(F9*(H8/F8)),"NA",F9*(H8/F8))</f>
        <v/>
      </c>
      <c r="I9" s="101">
        <f>IF(ISERROR(H9*(I8/H8)),"NA",H9*(I8/H8))</f>
        <v/>
      </c>
      <c r="J9" s="101">
        <f>IF(ISERROR(I9*(J8/I8)),"NA",I9*(J8/I8))</f>
        <v/>
      </c>
      <c r="K9" s="101">
        <f>IF(ISERROR(J9*(K8/J8)),"NA",J9*(K8/J8))</f>
        <v/>
      </c>
      <c r="L9" s="102">
        <f>IF(ISERROR(K9*(L8/K8)),"NA",K9*(L8/K8))</f>
        <v/>
      </c>
      <c r="M9" s="101" t="n"/>
      <c r="N9" s="109">
        <f>G9</f>
        <v/>
      </c>
      <c r="O9" s="109">
        <f>'Base Case'!O9</f>
        <v/>
      </c>
      <c r="P9" s="101">
        <f>IF($G$3="NA",F9,F9+N9-O9)</f>
        <v/>
      </c>
    </row>
    <row r="10" spans="1:17">
      <c r="A10" s="16" t="s">
        <v>49</v>
      </c>
      <c r="B10" s="109">
        <f>'Base Case'!B10</f>
        <v/>
      </c>
      <c r="C10" s="109">
        <f>'Base Case'!C10</f>
        <v/>
      </c>
      <c r="D10" s="109">
        <f>'Base Case'!D10</f>
        <v/>
      </c>
      <c r="E10" s="109">
        <f>'Base Case'!E10</f>
        <v/>
      </c>
      <c r="F10" s="109">
        <f>'Base Case'!F10</f>
        <v/>
      </c>
      <c r="G10" s="110">
        <f>'Base Case'!G10</f>
        <v/>
      </c>
      <c r="H10" s="101">
        <f>IF(ISERROR(H9*Assumptions!B40),"NA",Assumptions!B40*'Downside Case'!H9)</f>
        <v/>
      </c>
      <c r="I10" s="101">
        <f>IF(ISERROR(I9*Assumptions!C40),"NA",Assumptions!C40*'Downside Case'!I9)</f>
        <v/>
      </c>
      <c r="J10" s="101">
        <f>IF(ISERROR(J9*Assumptions!D40),"NA",Assumptions!D40*'Downside Case'!J9)</f>
        <v/>
      </c>
      <c r="K10" s="101">
        <f>IF(ISERROR(K9*Assumptions!E40),"NA",Assumptions!E40*'Downside Case'!K9)</f>
        <v/>
      </c>
      <c r="L10" s="102">
        <f>IF(ISERROR(L9*Assumptions!F40),"NA",Assumptions!F40*'Downside Case'!L9)</f>
        <v/>
      </c>
      <c r="M10" s="101" t="n"/>
      <c r="N10" s="109">
        <f>G10</f>
        <v/>
      </c>
      <c r="O10" s="109">
        <f>'Base Case'!O10</f>
        <v/>
      </c>
      <c r="P10" s="101">
        <f>IF($G$3="NA",F10,F10+N10-O10)</f>
        <v/>
      </c>
    </row>
    <row r="11" spans="1:17">
      <c r="A11" s="27" t="s">
        <v>50</v>
      </c>
      <c r="B11" s="109">
        <f>'Base Case'!B11</f>
        <v/>
      </c>
      <c r="C11" s="109">
        <f>'Base Case'!C11</f>
        <v/>
      </c>
      <c r="D11" s="109">
        <f>'Base Case'!D11</f>
        <v/>
      </c>
      <c r="E11" s="109">
        <f>'Base Case'!E11</f>
        <v/>
      </c>
      <c r="F11" s="109">
        <f>'Base Case'!F11</f>
        <v/>
      </c>
      <c r="G11" s="110">
        <f>'Base Case'!G11</f>
        <v/>
      </c>
      <c r="H11" s="101" t="n"/>
      <c r="I11" s="101" t="n"/>
      <c r="J11" s="101" t="n"/>
      <c r="K11" s="101" t="n"/>
      <c r="L11" s="102" t="n"/>
      <c r="M11" s="101" t="n"/>
      <c r="N11" s="109">
        <f>G11</f>
        <v/>
      </c>
      <c r="O11" s="109">
        <f>'Base Case'!O11</f>
        <v/>
      </c>
      <c r="P11" s="101">
        <f>IF($G$3="NA",F11,F11+N11-O11)</f>
        <v/>
      </c>
    </row>
    <row r="12" spans="1:17">
      <c r="A12" s="76" t="s">
        <v>51</v>
      </c>
      <c r="B12" s="103">
        <f>B9-B10-B11</f>
        <v/>
      </c>
      <c r="C12" s="103">
        <f>C9-C10-C11</f>
        <v/>
      </c>
      <c r="D12" s="103">
        <f>D9-D10-D11</f>
        <v/>
      </c>
      <c r="E12" s="103">
        <f>E9-E10-E11</f>
        <v/>
      </c>
      <c r="F12" s="103">
        <f>F9-F10-F11</f>
        <v/>
      </c>
      <c r="G12" s="104">
        <f>G9-G10-G11</f>
        <v/>
      </c>
      <c r="H12" s="57" t="n"/>
      <c r="I12" s="103" t="n"/>
      <c r="J12" s="103" t="n"/>
      <c r="K12" s="103" t="n"/>
      <c r="L12" s="104" t="n"/>
      <c r="M12" s="103" t="n"/>
      <c r="N12" s="103">
        <f>N9-N10-N11</f>
        <v/>
      </c>
      <c r="O12" s="103">
        <f>O9-O10-O11</f>
        <v/>
      </c>
      <c r="P12" s="101">
        <f>IF($G$3="NA",F12,F12+N12-O12)</f>
        <v/>
      </c>
    </row>
    <row r="13" spans="1:17">
      <c r="B13" s="101" t="n"/>
      <c r="C13" s="101" t="n"/>
      <c r="D13" s="101" t="n"/>
      <c r="E13" s="101" t="n"/>
      <c r="F13" s="101" t="n"/>
      <c r="G13" s="101" t="n"/>
      <c r="H13" s="101" t="n"/>
      <c r="I13" s="101" t="n"/>
      <c r="J13" s="101" t="n"/>
      <c r="K13" s="101" t="n"/>
      <c r="L13" s="102" t="n"/>
      <c r="M13" s="101" t="n"/>
      <c r="N13" s="101" t="n"/>
      <c r="O13" s="101" t="n"/>
      <c r="P13" s="101" t="n"/>
    </row>
    <row customHeight="1" ht="15.75" r="14" s="21" spans="1:17" thickBot="1">
      <c r="A14" s="25" t="s">
        <v>52</v>
      </c>
      <c r="B14" s="58">
        <f>B3</f>
        <v/>
      </c>
      <c r="C14" s="58">
        <f>C3</f>
        <v/>
      </c>
      <c r="D14" s="58">
        <f>D3</f>
        <v/>
      </c>
      <c r="E14" s="58">
        <f>E3</f>
        <v/>
      </c>
      <c r="F14" s="58">
        <f>F3</f>
        <v/>
      </c>
      <c r="G14" s="59">
        <f>G3</f>
        <v/>
      </c>
      <c r="H14" s="58">
        <f>H3</f>
        <v/>
      </c>
      <c r="I14" s="58">
        <f>I3</f>
        <v/>
      </c>
      <c r="J14" s="58">
        <f>J3</f>
        <v/>
      </c>
      <c r="K14" s="58">
        <f>K3</f>
        <v/>
      </c>
      <c r="L14" s="59">
        <f>L3</f>
        <v/>
      </c>
      <c r="M14" s="60" t="n"/>
      <c r="N14" s="58">
        <f>N3</f>
        <v/>
      </c>
      <c r="O14" s="58">
        <f>O3</f>
        <v/>
      </c>
      <c r="P14" s="105">
        <f>P3</f>
        <v/>
      </c>
    </row>
    <row r="15" spans="1:17">
      <c r="A15" s="27" t="s">
        <v>53</v>
      </c>
      <c r="B15" s="109">
        <f>'Base Case'!B15</f>
        <v/>
      </c>
      <c r="C15" s="109">
        <f>'Base Case'!C15</f>
        <v/>
      </c>
      <c r="D15" s="109">
        <f>'Base Case'!D15</f>
        <v/>
      </c>
      <c r="E15" s="109">
        <f>'Base Case'!E15</f>
        <v/>
      </c>
      <c r="F15" s="109">
        <f>'Base Case'!F15</f>
        <v/>
      </c>
      <c r="G15" s="110">
        <f>'Base Case'!G15</f>
        <v/>
      </c>
      <c r="H15" s="101">
        <f>H4*Assumptions!B41</f>
        <v/>
      </c>
      <c r="I15" s="101">
        <f>I4*Assumptions!C41</f>
        <v/>
      </c>
      <c r="J15" s="101">
        <f>J4*Assumptions!D41</f>
        <v/>
      </c>
      <c r="K15" s="101">
        <f>K4*Assumptions!E41</f>
        <v/>
      </c>
      <c r="L15" s="111">
        <f>L4*Assumptions!F41</f>
        <v/>
      </c>
      <c r="M15" s="101" t="n"/>
      <c r="N15" s="109">
        <f>G15</f>
        <v/>
      </c>
      <c r="O15" s="109">
        <f>'Base Case'!O15</f>
        <v/>
      </c>
      <c r="P15" s="101">
        <f>IF($G$3="NA",F15,F15+N15-O15)</f>
        <v/>
      </c>
    </row>
    <row r="16" spans="1:17">
      <c r="A16" s="27" t="s">
        <v>54</v>
      </c>
      <c r="B16" s="109">
        <f>'Base Case'!B16</f>
        <v/>
      </c>
      <c r="C16" s="109">
        <f>'Base Case'!C16</f>
        <v/>
      </c>
      <c r="D16" s="109">
        <f>'Base Case'!D16</f>
        <v/>
      </c>
      <c r="E16" s="109">
        <f>'Base Case'!E16</f>
        <v/>
      </c>
      <c r="F16" s="109">
        <f>'Base Case'!F16</f>
        <v/>
      </c>
      <c r="G16" s="110">
        <f>'Base Case'!G16</f>
        <v/>
      </c>
      <c r="H16" s="101">
        <f>Assumptions!B42*'Downside Case'!H4</f>
        <v/>
      </c>
      <c r="I16" s="101">
        <f>Assumptions!C42*'Downside Case'!I4</f>
        <v/>
      </c>
      <c r="J16" s="101">
        <f>Assumptions!D42*'Downside Case'!J4</f>
        <v/>
      </c>
      <c r="K16" s="101">
        <f>Assumptions!E42*'Downside Case'!K4</f>
        <v/>
      </c>
      <c r="L16" s="102">
        <f>Assumptions!F42*'Downside Case'!L4</f>
        <v/>
      </c>
      <c r="M16" s="101" t="n"/>
      <c r="N16" s="109">
        <f>G16</f>
        <v/>
      </c>
      <c r="O16" s="109">
        <f>'Base Case'!O16</f>
        <v/>
      </c>
      <c r="P16" s="101">
        <f>IF($G$3="NA",F16,F16+N16-O16)</f>
        <v/>
      </c>
    </row>
    <row r="17" spans="1:17">
      <c r="B17" s="101" t="n"/>
      <c r="C17" s="101" t="n"/>
      <c r="D17" s="101" t="n"/>
      <c r="E17" s="101" t="n"/>
      <c r="F17" s="101" t="n"/>
      <c r="G17" s="101" t="n"/>
      <c r="H17" s="101" t="n"/>
      <c r="I17" s="101" t="n"/>
      <c r="J17" s="101" t="n"/>
      <c r="K17" s="101" t="n"/>
      <c r="L17" s="101" t="n"/>
      <c r="M17" s="101" t="n"/>
      <c r="N17" s="101" t="n"/>
      <c r="O17" s="101" t="n"/>
      <c r="P17" s="101" t="n"/>
    </row>
    <row customHeight="1" ht="15.75" r="18" s="21" spans="1:17" thickBot="1">
      <c r="A18" s="25" t="s">
        <v>55</v>
      </c>
      <c r="B18" s="58">
        <f>B14</f>
        <v/>
      </c>
      <c r="C18" s="58">
        <f>C14</f>
        <v/>
      </c>
      <c r="D18" s="58">
        <f>D14</f>
        <v/>
      </c>
      <c r="E18" s="58">
        <f>E14</f>
        <v/>
      </c>
      <c r="F18" s="58">
        <f>F14</f>
        <v/>
      </c>
      <c r="G18" s="59">
        <f>G14</f>
        <v/>
      </c>
      <c r="H18" s="58">
        <f>H14</f>
        <v/>
      </c>
      <c r="I18" s="58">
        <f>I14</f>
        <v/>
      </c>
      <c r="J18" s="58">
        <f>J14</f>
        <v/>
      </c>
      <c r="K18" s="58">
        <f>K14</f>
        <v/>
      </c>
      <c r="L18" s="59">
        <f>L14</f>
        <v/>
      </c>
      <c r="M18" s="60" t="n"/>
      <c r="N18" s="58">
        <f>N14</f>
        <v/>
      </c>
      <c r="O18" s="60" t="n"/>
      <c r="P18" s="105">
        <f>P3</f>
        <v/>
      </c>
    </row>
    <row r="19" spans="1:17">
      <c r="A19" s="27" t="s">
        <v>56</v>
      </c>
      <c r="B19" s="109">
        <f>'Base Case'!B19</f>
        <v/>
      </c>
      <c r="C19" s="109">
        <f>'Base Case'!C19</f>
        <v/>
      </c>
      <c r="D19" s="109">
        <f>'Base Case'!D19</f>
        <v/>
      </c>
      <c r="E19" s="109">
        <f>'Base Case'!E19</f>
        <v/>
      </c>
      <c r="F19" s="109">
        <f>'Base Case'!F19</f>
        <v/>
      </c>
      <c r="G19" s="110">
        <f>'Base Case'!G19</f>
        <v/>
      </c>
      <c r="H19" s="101" t="n"/>
      <c r="I19" s="101" t="n"/>
      <c r="J19" s="101" t="n"/>
      <c r="K19" s="101" t="n"/>
      <c r="L19" s="102" t="n"/>
      <c r="M19" s="101" t="n"/>
      <c r="N19" s="109">
        <f>G19</f>
        <v/>
      </c>
      <c r="O19" s="101" t="n"/>
      <c r="P19" s="101">
        <f>IF($G$3="NA",F19,F19+N19-O19)</f>
        <v/>
      </c>
    </row>
    <row r="20" spans="1:17">
      <c r="A20" s="27" t="s">
        <v>57</v>
      </c>
      <c r="B20" s="109">
        <f>'Base Case'!B20</f>
        <v/>
      </c>
      <c r="C20" s="109">
        <f>'Base Case'!C20</f>
        <v/>
      </c>
      <c r="D20" s="109">
        <f>'Base Case'!D20</f>
        <v/>
      </c>
      <c r="E20" s="109">
        <f>'Base Case'!E20</f>
        <v/>
      </c>
      <c r="F20" s="109">
        <f>'Base Case'!F20</f>
        <v/>
      </c>
      <c r="G20" s="110">
        <f>'Base Case'!G20</f>
        <v/>
      </c>
      <c r="H20" s="101" t="n"/>
      <c r="I20" s="101" t="n"/>
      <c r="J20" s="101" t="n"/>
      <c r="K20" s="101" t="n"/>
      <c r="L20" s="102" t="n"/>
      <c r="M20" s="101" t="n"/>
      <c r="N20" s="109">
        <f>G20</f>
        <v/>
      </c>
      <c r="O20" s="101" t="n"/>
      <c r="P20" s="101">
        <f>IF($G$3="NA",F20,F20+N20-O20)</f>
        <v/>
      </c>
    </row>
    <row r="21" spans="1:17">
      <c r="A21" s="27" t="s">
        <v>58</v>
      </c>
      <c r="B21" s="109">
        <f>'Base Case'!B21</f>
        <v/>
      </c>
      <c r="C21" s="109">
        <f>'Base Case'!C21</f>
        <v/>
      </c>
      <c r="D21" s="109">
        <f>'Base Case'!D21</f>
        <v/>
      </c>
      <c r="E21" s="109">
        <f>'Base Case'!E21</f>
        <v/>
      </c>
      <c r="F21" s="109">
        <f>'Base Case'!F21</f>
        <v/>
      </c>
      <c r="G21" s="110">
        <f>'Base Case'!G21</f>
        <v/>
      </c>
      <c r="H21" s="101" t="n"/>
      <c r="I21" s="101" t="n"/>
      <c r="J21" s="101" t="n"/>
      <c r="K21" s="101" t="n"/>
      <c r="L21" s="102" t="n"/>
      <c r="M21" s="101" t="n"/>
      <c r="N21" s="109">
        <f>G21</f>
        <v/>
      </c>
      <c r="O21" s="101" t="n"/>
      <c r="P21" s="101">
        <f>IF($G$3="NA",F21,F21+N21-O21)</f>
        <v/>
      </c>
    </row>
    <row r="22" spans="1:17">
      <c r="A22" s="27" t="s">
        <v>59</v>
      </c>
      <c r="B22" s="109">
        <f>'Base Case'!B22</f>
        <v/>
      </c>
      <c r="C22" s="109">
        <f>'Base Case'!C22</f>
        <v/>
      </c>
      <c r="D22" s="109">
        <f>'Base Case'!D22</f>
        <v/>
      </c>
      <c r="E22" s="109">
        <f>'Base Case'!E22</f>
        <v/>
      </c>
      <c r="F22" s="109">
        <f>'Base Case'!F22</f>
        <v/>
      </c>
      <c r="G22" s="110">
        <f>'Base Case'!G22</f>
        <v/>
      </c>
      <c r="H22" s="101" t="n"/>
      <c r="I22" s="101" t="n"/>
      <c r="J22" s="101" t="n"/>
      <c r="K22" s="101" t="n"/>
      <c r="L22" s="102" t="n"/>
      <c r="M22" s="101" t="n"/>
      <c r="N22" s="109">
        <f>G22</f>
        <v/>
      </c>
      <c r="O22" s="101" t="n"/>
      <c r="P22" s="101">
        <f>IF($G$3="NA",F22,F22+N22-O22)</f>
        <v/>
      </c>
    </row>
    <row r="23" spans="1:17">
      <c r="A23" s="27" t="s">
        <v>60</v>
      </c>
      <c r="B23" s="109">
        <f>'Base Case'!B23</f>
        <v/>
      </c>
      <c r="C23" s="109">
        <f>'Base Case'!C23</f>
        <v/>
      </c>
      <c r="D23" s="109">
        <f>'Base Case'!D23</f>
        <v/>
      </c>
      <c r="E23" s="109">
        <f>'Base Case'!E23</f>
        <v/>
      </c>
      <c r="F23" s="109">
        <f>'Base Case'!F23</f>
        <v/>
      </c>
      <c r="G23" s="110">
        <f>'Base Case'!G23</f>
        <v/>
      </c>
      <c r="H23" s="101" t="n"/>
      <c r="I23" s="101" t="n"/>
      <c r="J23" s="101" t="n"/>
      <c r="K23" s="101" t="n"/>
      <c r="L23" s="102" t="n"/>
      <c r="M23" s="101" t="n"/>
      <c r="N23" s="109">
        <f>G23</f>
        <v/>
      </c>
      <c r="O23" s="101" t="n"/>
      <c r="P23" s="101">
        <f>IF($G$3="NA",F23,F23+N23-O23)</f>
        <v/>
      </c>
    </row>
    <row r="24" spans="1:17">
      <c r="A24" s="27" t="s">
        <v>61</v>
      </c>
      <c r="B24" s="109">
        <f>'Base Case'!B24</f>
        <v/>
      </c>
      <c r="C24" s="109">
        <f>'Base Case'!C24</f>
        <v/>
      </c>
      <c r="D24" s="109">
        <f>'Base Case'!D24</f>
        <v/>
      </c>
      <c r="E24" s="109">
        <f>'Base Case'!E24</f>
        <v/>
      </c>
      <c r="F24" s="109">
        <f>'Base Case'!F24</f>
        <v/>
      </c>
      <c r="G24" s="110">
        <f>'Base Case'!G24</f>
        <v/>
      </c>
      <c r="H24" s="101" t="n"/>
      <c r="I24" s="101" t="n"/>
      <c r="J24" s="101" t="n"/>
      <c r="K24" s="101" t="n"/>
      <c r="L24" s="102" t="n"/>
      <c r="M24" s="101" t="n"/>
      <c r="N24" s="109">
        <f>G24</f>
        <v/>
      </c>
      <c r="O24" s="101" t="n"/>
      <c r="P24" s="101">
        <f>IF($G$3="NA",F24,F24+N24-O24)</f>
        <v/>
      </c>
    </row>
    <row r="25" spans="1:17">
      <c r="A25" s="27" t="s">
        <v>62</v>
      </c>
      <c r="B25" s="109">
        <f>'Base Case'!B25</f>
        <v/>
      </c>
      <c r="C25" s="109">
        <f>'Base Case'!C25</f>
        <v/>
      </c>
      <c r="D25" s="109">
        <f>'Base Case'!D25</f>
        <v/>
      </c>
      <c r="E25" s="109">
        <f>'Base Case'!E25</f>
        <v/>
      </c>
      <c r="F25" s="109">
        <f>'Base Case'!F25</f>
        <v/>
      </c>
      <c r="G25" s="110">
        <f>'Base Case'!G25</f>
        <v/>
      </c>
      <c r="H25" s="101" t="n"/>
      <c r="I25" s="101" t="n"/>
      <c r="J25" s="101" t="n"/>
      <c r="K25" s="101" t="n"/>
      <c r="L25" s="102" t="n"/>
      <c r="M25" s="101" t="n"/>
      <c r="N25" s="109" t="n"/>
      <c r="O25" s="101" t="n"/>
      <c r="P25" s="101">
        <f>IF($G$3="NA",F25,F25+N25-O25)</f>
        <v/>
      </c>
    </row>
    <row r="26" spans="1:17">
      <c r="A26" s="27" t="s">
        <v>63</v>
      </c>
      <c r="B26" s="109">
        <f>'Base Case'!B26</f>
        <v/>
      </c>
      <c r="C26" s="109">
        <f>'Base Case'!C26</f>
        <v/>
      </c>
      <c r="D26" s="109">
        <f>'Base Case'!D26</f>
        <v/>
      </c>
      <c r="E26" s="109">
        <f>'Base Case'!E26</f>
        <v/>
      </c>
      <c r="F26" s="109">
        <f>'Base Case'!F26</f>
        <v/>
      </c>
      <c r="G26" s="110">
        <f>'Base Case'!G26</f>
        <v/>
      </c>
      <c r="H26" s="101" t="n"/>
      <c r="I26" s="101" t="n"/>
      <c r="J26" s="101" t="n"/>
      <c r="K26" s="101" t="n"/>
      <c r="L26" s="102" t="n"/>
      <c r="M26" s="101" t="n"/>
      <c r="N26" s="109">
        <f>G26</f>
        <v/>
      </c>
      <c r="O26" s="101" t="n"/>
      <c r="P26" s="101">
        <f>IF($G$3="NA",F26,F26+N26-O26)</f>
        <v/>
      </c>
    </row>
    <row r="27" spans="1:17">
      <c r="A27" s="27" t="s">
        <v>64</v>
      </c>
      <c r="B27" s="109">
        <f>'Base Case'!B27</f>
        <v/>
      </c>
      <c r="C27" s="109">
        <f>'Base Case'!C27</f>
        <v/>
      </c>
      <c r="D27" s="109">
        <f>'Base Case'!D27</f>
        <v/>
      </c>
      <c r="E27" s="109">
        <f>'Base Case'!E27</f>
        <v/>
      </c>
      <c r="F27" s="109">
        <f>'Base Case'!F27</f>
        <v/>
      </c>
      <c r="G27" s="110">
        <f>'Base Case'!G27</f>
        <v/>
      </c>
      <c r="H27" s="101" t="n"/>
      <c r="I27" s="101" t="n"/>
      <c r="J27" s="101" t="n"/>
      <c r="K27" s="101" t="n"/>
      <c r="L27" s="102" t="n"/>
      <c r="M27" s="101" t="n"/>
      <c r="N27" s="109">
        <f>G27</f>
        <v/>
      </c>
      <c r="O27" s="101" t="n"/>
      <c r="P27" s="101">
        <f>IF($G$3="NA",F27,F27+N27-O27)</f>
        <v/>
      </c>
    </row>
    <row r="28" spans="1:17">
      <c r="A28" s="17" t="s">
        <v>65</v>
      </c>
      <c r="B28" s="101">
        <f>B22-B26-B27</f>
        <v/>
      </c>
      <c r="C28" s="101">
        <f>C22-C26-C27</f>
        <v/>
      </c>
      <c r="D28" s="101">
        <f>D22-D26-D27</f>
        <v/>
      </c>
      <c r="E28" s="101">
        <f>E22-E26-E27</f>
        <v/>
      </c>
      <c r="F28" s="101">
        <f>F22-F26-F27</f>
        <v/>
      </c>
      <c r="G28" s="102">
        <f>G22-G26-G27</f>
        <v/>
      </c>
      <c r="H28" s="101">
        <f>H22-H26-H27</f>
        <v/>
      </c>
      <c r="I28" s="101">
        <f>I22-I26-I27</f>
        <v/>
      </c>
      <c r="J28" s="101">
        <f>J22-J26-J27</f>
        <v/>
      </c>
      <c r="K28" s="101">
        <f>K22-K26-K27</f>
        <v/>
      </c>
      <c r="L28" s="102">
        <f>L22-L26-L27</f>
        <v/>
      </c>
      <c r="M28" s="101" t="n"/>
      <c r="N28" s="101">
        <f>N22-N26-N27</f>
        <v/>
      </c>
      <c r="O28" s="101" t="n"/>
      <c r="P28" s="101">
        <f>IF($G$3="NA",F28,F28+N28-O28)</f>
        <v/>
      </c>
    </row>
    <row r="29" spans="1:17">
      <c r="A29" s="29" t="s">
        <v>66</v>
      </c>
      <c r="B29" s="103">
        <f>B21-B24-B20+B23</f>
        <v/>
      </c>
      <c r="C29" s="103">
        <f>C21-C24-C20+C23</f>
        <v/>
      </c>
      <c r="D29" s="103">
        <f>D21-D24-D20+D23</f>
        <v/>
      </c>
      <c r="E29" s="103">
        <f>E21-E24-E20+E23</f>
        <v/>
      </c>
      <c r="F29" s="103">
        <f>F21-F24-F20+F23</f>
        <v/>
      </c>
      <c r="G29" s="104">
        <f>G21-G24-G20+G23</f>
        <v/>
      </c>
      <c r="H29" s="103">
        <f>H4*Assumptions!B43</f>
        <v/>
      </c>
      <c r="I29" s="103">
        <f>I4*Assumptions!C43</f>
        <v/>
      </c>
      <c r="J29" s="103">
        <f>J4*Assumptions!D43</f>
        <v/>
      </c>
      <c r="K29" s="103">
        <f>K4*Assumptions!E43</f>
        <v/>
      </c>
      <c r="L29" s="104">
        <f>L4*Assumptions!F43</f>
        <v/>
      </c>
      <c r="M29" s="103" t="n"/>
      <c r="N29" s="103">
        <f>N21-N24-N20+N23</f>
        <v/>
      </c>
      <c r="O29" s="103" t="n"/>
      <c r="P29" s="103">
        <f>IF($G$3="NA",F29,F29+N29-O29)</f>
        <v/>
      </c>
    </row>
    <row r="30" spans="1:17">
      <c r="A30" s="29" t="s">
        <v>67</v>
      </c>
      <c r="B30" s="107">
        <f>'Base Case'!B30</f>
        <v/>
      </c>
      <c r="C30" s="107">
        <f>C29-B29</f>
        <v/>
      </c>
      <c r="D30" s="107">
        <f>D29-C29</f>
        <v/>
      </c>
      <c r="E30" s="107">
        <f>E29-D29</f>
        <v/>
      </c>
      <c r="F30" s="107">
        <f>F29-E29</f>
        <v/>
      </c>
      <c r="G30" s="63" t="n"/>
      <c r="H30" s="107">
        <f>H29-F29</f>
        <v/>
      </c>
      <c r="I30" s="107">
        <f>I29-H29</f>
        <v/>
      </c>
      <c r="J30" s="107">
        <f>J29-I29</f>
        <v/>
      </c>
      <c r="K30" s="107">
        <f>K29-J29</f>
        <v/>
      </c>
      <c r="L30" s="108">
        <f>L29-K29</f>
        <v/>
      </c>
      <c r="M30" s="65" t="n"/>
      <c r="N30" s="65" t="n"/>
      <c r="O30" s="65" t="n"/>
      <c r="P30" s="103">
        <f>IF($G$3="NA",F30,F30+N30-O30)</f>
        <v/>
      </c>
    </row>
    <row r="31" spans="1:17"/>
    <row r="32" spans="1:17"/>
    <row r="33" spans="1:17"/>
  </sheetData>
  <sheetProtection autoFilter="1" deleteColumns="1" deleteRows="1" formatCells="1" formatColumns="1" formatRows="1" insertColumns="1" insertHyperlinks="1" insertRows="1" objects="1" pivotTables="1" scenarios="1" selectLockedCells="0" selectUnlockedCells="0" sheet="1" sort="1"/>
  <conditionalFormatting sqref="G4:G5">
    <cfRule dxfId="17" priority="9" type="expression">
      <formula>$G$3="NA"</formula>
    </cfRule>
  </conditionalFormatting>
  <conditionalFormatting sqref="G9:G11 G15:G16 G19:G27">
    <cfRule dxfId="18" priority="8" type="expression">
      <formula>$G$3="NA"</formula>
    </cfRule>
  </conditionalFormatting>
  <conditionalFormatting sqref="G7">
    <cfRule dxfId="19" priority="7" type="expression">
      <formula>$G$3="NA"</formula>
    </cfRule>
  </conditionalFormatting>
  <conditionalFormatting sqref="N4:N5">
    <cfRule dxfId="20" priority="6" type="expression">
      <formula>$G$3="NA"</formula>
    </cfRule>
  </conditionalFormatting>
  <conditionalFormatting sqref="O4:O5">
    <cfRule dxfId="21" priority="5" type="expression">
      <formula>$G$3="NA"</formula>
    </cfRule>
  </conditionalFormatting>
  <conditionalFormatting sqref="N7:O7">
    <cfRule dxfId="22" priority="4" type="expression">
      <formula>$G$3="NA"</formula>
    </cfRule>
  </conditionalFormatting>
  <conditionalFormatting sqref="N9:O11">
    <cfRule dxfId="23" priority="3" type="expression">
      <formula>$G$3="NA"</formula>
    </cfRule>
  </conditionalFormatting>
  <conditionalFormatting sqref="N15:O16">
    <cfRule dxfId="24" priority="2" type="expression">
      <formula>$G$3="NA"</formula>
    </cfRule>
  </conditionalFormatting>
  <conditionalFormatting sqref="N19:N27">
    <cfRule dxfId="25" priority="1" type="expression">
      <formula>$G$3="NA"</formula>
    </cfRule>
  </conditionalFormatting>
  <pageMargins bottom="0.75" footer="0.3" header="0.3" left="0.7" right="0.7" top="0.75"/>
  <pageSetup orientation="portrait"/>
</worksheet>
</file>

<file path=xl/worksheets/sheet6.xml><?xml version="1.0" encoding="utf-8"?>
<worksheet xmlns="http://schemas.openxmlformats.org/spreadsheetml/2006/main">
  <sheetPr>
    <outlinePr summaryBelow="1" summaryRight="1"/>
    <pageSetUpPr/>
  </sheetPr>
  <dimension ref="A1:B22"/>
  <sheetViews>
    <sheetView workbookViewId="0" zoomScaleNormal="100">
      <selection activeCell="A1" sqref="A1"/>
    </sheetView>
  </sheetViews>
  <sheetFormatPr baseColWidth="8" defaultRowHeight="15" outlineLevelCol="0"/>
  <cols>
    <col bestFit="1" customWidth="1" max="1" min="1" style="21" width="28.7109375"/>
    <col bestFit="1" customWidth="1" max="2" min="2" style="21" width="8.42578125"/>
  </cols>
  <sheetData>
    <row r="1" spans="1:2">
      <c r="A1" s="22" t="s">
        <v>68</v>
      </c>
    </row>
    <row r="3" spans="1:2">
      <c r="A3" s="22" t="s">
        <v>69</v>
      </c>
    </row>
    <row r="4" spans="1:2">
      <c r="A4" t="s">
        <v>23</v>
      </c>
      <c r="B4" s="6">
        <f>Assumptions!$F$12</f>
        <v/>
      </c>
    </row>
    <row r="5" spans="1:2">
      <c r="A5" t="s">
        <v>33</v>
      </c>
      <c r="B5" s="28">
        <f>Assumptions!$F$17</f>
        <v/>
      </c>
    </row>
    <row r="6" spans="1:2">
      <c r="A6" t="s">
        <v>25</v>
      </c>
      <c r="B6" s="2">
        <f>Assumptions!$F$13</f>
        <v/>
      </c>
    </row>
    <row r="7" spans="1:2">
      <c r="A7" s="1" t="s">
        <v>70</v>
      </c>
      <c r="B7" s="6">
        <f>B4+(B6*(B5-B4))</f>
        <v/>
      </c>
    </row>
    <row r="9" spans="1:2">
      <c r="A9" s="22" t="s">
        <v>29</v>
      </c>
    </row>
    <row r="10" spans="1:2">
      <c r="A10" t="s">
        <v>71</v>
      </c>
      <c r="B10">
        <f>Assumptions!$F$14</f>
        <v/>
      </c>
    </row>
    <row r="11" spans="1:2">
      <c r="A11" t="s">
        <v>72</v>
      </c>
      <c r="B11" s="6">
        <f>Assumptions!$F$15</f>
        <v/>
      </c>
    </row>
    <row r="12" spans="1:2">
      <c r="A12" t="s">
        <v>72</v>
      </c>
      <c r="B12" s="6">
        <f>MAX(B10:B11)</f>
        <v/>
      </c>
    </row>
    <row r="13" spans="1:2">
      <c r="A13" t="s">
        <v>73</v>
      </c>
      <c r="B13" s="7">
        <f>Assumptions!$G$6</f>
        <v/>
      </c>
    </row>
    <row r="16" spans="1:2">
      <c r="A16" t="s">
        <v>74</v>
      </c>
      <c r="B16" s="109">
        <f>Assumptions!$B$12</f>
        <v/>
      </c>
    </row>
    <row r="17" spans="1:2">
      <c r="A17" t="s">
        <v>75</v>
      </c>
      <c r="B17" s="112">
        <f>Assumptions!$B$13</f>
        <v/>
      </c>
    </row>
    <row r="18" spans="1:2">
      <c r="A18" t="s">
        <v>76</v>
      </c>
      <c r="B18" s="109">
        <f>B16*B17</f>
        <v/>
      </c>
    </row>
    <row r="19" spans="1:2">
      <c r="A19" t="s">
        <v>57</v>
      </c>
      <c r="B19" s="109">
        <f>IF(ISBLANK('Base Case'!G20),'Base Case'!F20,'Base Case'!G20)</f>
        <v/>
      </c>
    </row>
    <row r="20" spans="1:2">
      <c r="A20" t="s">
        <v>77</v>
      </c>
      <c r="B20" s="109">
        <f>IF(ISBLANK('Base Case'!G25),'Base Case'!F25,'Base Case'!G25)</f>
        <v/>
      </c>
    </row>
    <row r="22" spans="1:2">
      <c r="A22" s="22" t="s">
        <v>78</v>
      </c>
      <c r="B22" s="6">
        <f>IF(ISERROR(B7*(B18/(B20+B18))+B12*(B20/(B18+B20))*(1-B13)),0,B7*(B18/(B20+B18))+B12*(B20/(B18+B20))*(1-B13))</f>
        <v/>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P29"/>
  <sheetViews>
    <sheetView workbookViewId="0" zoomScaleNormal="100">
      <selection activeCell="A1" sqref="A1"/>
    </sheetView>
  </sheetViews>
  <sheetFormatPr baseColWidth="8" defaultRowHeight="15" outlineLevelCol="0"/>
  <cols>
    <col bestFit="1" customWidth="1" max="1" min="1" style="21" width="35.85546875"/>
    <col bestFit="1" customWidth="1" max="6" min="2" style="21" width="10.7109375"/>
    <col bestFit="1" customWidth="1" max="7" min="7" style="21" width="12.85546875"/>
    <col bestFit="1" customWidth="1" max="12" min="8" style="21" width="10.7109375"/>
    <col bestFit="1" customWidth="1" max="13" min="13" style="21" width="15.28515625"/>
    <col bestFit="1" customWidth="1" max="15" min="15" style="21" width="15.140625"/>
    <col bestFit="1" customWidth="1" max="16" min="16" style="21" width="12"/>
  </cols>
  <sheetData>
    <row r="1" spans="1:16">
      <c r="A1" s="22" t="s">
        <v>79</v>
      </c>
    </row>
    <row customHeight="1" ht="15.75" r="3" s="21" spans="1:16" thickBot="1">
      <c r="A3" s="25" t="s">
        <v>80</v>
      </c>
      <c r="B3" s="58">
        <f>'Base Case'!B3</f>
        <v/>
      </c>
      <c r="C3" s="58">
        <f>'Base Case'!C3</f>
        <v/>
      </c>
      <c r="D3" s="58">
        <f>'Base Case'!D3</f>
        <v/>
      </c>
      <c r="E3" s="58">
        <f>'Base Case'!E3</f>
        <v/>
      </c>
      <c r="F3" s="58">
        <f>'Base Case'!F3</f>
        <v/>
      </c>
      <c r="G3" s="58">
        <f>'Base Case'!G3</f>
        <v/>
      </c>
      <c r="H3" s="58">
        <f>'Base Case'!H3</f>
        <v/>
      </c>
      <c r="I3" s="58">
        <f>'Base Case'!I3</f>
        <v/>
      </c>
      <c r="J3" s="58">
        <f>'Base Case'!J3</f>
        <v/>
      </c>
      <c r="K3" s="58">
        <f>'Base Case'!K3</f>
        <v/>
      </c>
      <c r="L3" s="58">
        <f>'Base Case'!L3</f>
        <v/>
      </c>
      <c r="M3" s="23" t="s">
        <v>81</v>
      </c>
      <c r="N3" s="26" t="n"/>
      <c r="O3" s="58" t="s">
        <v>82</v>
      </c>
      <c r="P3" s="23" t="s">
        <v>83</v>
      </c>
    </row>
    <row r="4" spans="1:16">
      <c r="A4" s="27" t="s">
        <v>47</v>
      </c>
      <c r="B4" s="101">
        <f>'Base Case'!B$8</f>
        <v/>
      </c>
      <c r="C4" s="101">
        <f>'Base Case'!C$8</f>
        <v/>
      </c>
      <c r="D4" s="101">
        <f>'Base Case'!D$8</f>
        <v/>
      </c>
      <c r="E4" s="101">
        <f>'Base Case'!E$8</f>
        <v/>
      </c>
      <c r="F4" s="101">
        <f>'Base Case'!F$8</f>
        <v/>
      </c>
      <c r="G4" s="101">
        <f>'Base Case'!G$8</f>
        <v/>
      </c>
      <c r="H4" s="101">
        <f>'Base Case'!H$8</f>
        <v/>
      </c>
      <c r="I4" s="101">
        <f>'Base Case'!I$8</f>
        <v/>
      </c>
      <c r="J4" s="101">
        <f>'Base Case'!J$8</f>
        <v/>
      </c>
      <c r="K4" s="101">
        <f>'Base Case'!K$8</f>
        <v/>
      </c>
      <c r="L4" s="101">
        <f>'Base Case'!L$8</f>
        <v/>
      </c>
    </row>
    <row r="5" spans="1:16">
      <c r="A5" s="27" t="s">
        <v>84</v>
      </c>
      <c r="B5" s="101">
        <f>-'Base Case'!B$10</f>
        <v/>
      </c>
      <c r="C5" s="101">
        <f>-'Base Case'!C$10</f>
        <v/>
      </c>
      <c r="D5" s="101">
        <f>-'Base Case'!D$10</f>
        <v/>
      </c>
      <c r="E5" s="101">
        <f>-'Base Case'!E$10</f>
        <v/>
      </c>
      <c r="F5" s="101">
        <f>-'Base Case'!F$10</f>
        <v/>
      </c>
      <c r="G5" s="101">
        <f>-'Base Case'!G$10</f>
        <v/>
      </c>
      <c r="H5" s="101">
        <f>IF(ISERROR(-'Base Case'!H$10),0,-'Base Case'!H$10)</f>
        <v/>
      </c>
      <c r="I5" s="101">
        <f>IF(ISERROR(-'Base Case'!I$10),0,-'Base Case'!I$10)</f>
        <v/>
      </c>
      <c r="J5" s="101">
        <f>IF(ISERROR(-'Base Case'!J$10),0,-'Base Case'!J$10)</f>
        <v/>
      </c>
      <c r="K5" s="101">
        <f>IF(ISERROR(-'Base Case'!K$10),0,-'Base Case'!K$10)</f>
        <v/>
      </c>
      <c r="L5" s="101">
        <f>IF(ISERROR(-'Base Case'!L$10),0,-'Base Case'!L$10)</f>
        <v/>
      </c>
    </row>
    <row r="6" spans="1:16">
      <c r="A6" s="27" t="s">
        <v>54</v>
      </c>
      <c r="B6" s="101">
        <f>'Base Case'!B$16</f>
        <v/>
      </c>
      <c r="C6" s="101">
        <f>'Base Case'!C$16</f>
        <v/>
      </c>
      <c r="D6" s="101">
        <f>'Base Case'!D$16</f>
        <v/>
      </c>
      <c r="E6" s="101">
        <f>'Base Case'!E$16</f>
        <v/>
      </c>
      <c r="F6" s="101">
        <f>'Base Case'!F$16</f>
        <v/>
      </c>
      <c r="G6" s="101">
        <f>'Base Case'!G$16</f>
        <v/>
      </c>
      <c r="H6" s="101">
        <f>'Base Case'!H$16</f>
        <v/>
      </c>
      <c r="I6" s="101">
        <f>'Base Case'!I$16</f>
        <v/>
      </c>
      <c r="J6" s="101">
        <f>'Base Case'!J$16</f>
        <v/>
      </c>
      <c r="K6" s="101">
        <f>'Base Case'!K$16</f>
        <v/>
      </c>
      <c r="L6" s="101">
        <f>'Base Case'!L$16</f>
        <v/>
      </c>
    </row>
    <row r="7" spans="1:16">
      <c r="A7" s="27" t="s">
        <v>85</v>
      </c>
      <c r="B7" s="101">
        <f>'Base Case'!B$30</f>
        <v/>
      </c>
      <c r="C7" s="101">
        <f>'Base Case'!C$30</f>
        <v/>
      </c>
      <c r="D7" s="101">
        <f>'Base Case'!D$30</f>
        <v/>
      </c>
      <c r="E7" s="101">
        <f>'Base Case'!E$30</f>
        <v/>
      </c>
      <c r="F7" s="101">
        <f>'Base Case'!F$30</f>
        <v/>
      </c>
      <c r="G7" s="101">
        <f>-'Base Case'!G$30</f>
        <v/>
      </c>
      <c r="H7" s="101">
        <f>-'Base Case'!H$30</f>
        <v/>
      </c>
      <c r="I7" s="101">
        <f>-'Base Case'!I$30</f>
        <v/>
      </c>
      <c r="J7" s="101">
        <f>-'Base Case'!J$30</f>
        <v/>
      </c>
      <c r="K7" s="101">
        <f>-'Base Case'!K$30</f>
        <v/>
      </c>
      <c r="L7" s="101">
        <f>-'Base Case'!L$30</f>
        <v/>
      </c>
    </row>
    <row customHeight="1" ht="15.75" r="8" s="21" spans="1:16" thickBot="1">
      <c r="A8" s="34" t="s">
        <v>53</v>
      </c>
      <c r="B8" s="113">
        <f>-'Base Case'!B$15</f>
        <v/>
      </c>
      <c r="C8" s="113">
        <f>-'Base Case'!C$15</f>
        <v/>
      </c>
      <c r="D8" s="113">
        <f>-'Base Case'!D$15</f>
        <v/>
      </c>
      <c r="E8" s="113">
        <f>-'Base Case'!E$15</f>
        <v/>
      </c>
      <c r="F8" s="113">
        <f>-'Base Case'!F$15</f>
        <v/>
      </c>
      <c r="G8" s="113">
        <f>-'Base Case'!G$15</f>
        <v/>
      </c>
      <c r="H8" s="113">
        <f>-'Base Case'!H$15</f>
        <v/>
      </c>
      <c r="I8" s="113">
        <f>-'Base Case'!I$15</f>
        <v/>
      </c>
      <c r="J8" s="113">
        <f>-'Base Case'!J$15</f>
        <v/>
      </c>
      <c r="K8" s="113">
        <f>-'Base Case'!K$15</f>
        <v/>
      </c>
      <c r="L8" s="113">
        <f>-'Base Case'!L$15</f>
        <v/>
      </c>
      <c r="M8" s="26" t="n"/>
      <c r="N8" s="26" t="n"/>
      <c r="O8" s="26" t="n"/>
      <c r="P8" s="26" t="n"/>
    </row>
    <row r="9" spans="1:16">
      <c r="A9" s="17" t="s">
        <v>86</v>
      </c>
      <c r="B9" s="101">
        <f>SUM(B$4:B$8)</f>
        <v/>
      </c>
      <c r="C9" s="101">
        <f>SUM(C$4:C$8)</f>
        <v/>
      </c>
      <c r="D9" s="101">
        <f>SUM(D$4:D$8)</f>
        <v/>
      </c>
      <c r="E9" s="101">
        <f>SUM(E$4:E$8)</f>
        <v/>
      </c>
      <c r="F9" s="101">
        <f>SUM(F$4:F$8)</f>
        <v/>
      </c>
      <c r="G9" s="101">
        <f>SUM(G$4:G$8)</f>
        <v/>
      </c>
      <c r="H9" s="101">
        <f>SUM(H$4:H$8)-G$9</f>
        <v/>
      </c>
      <c r="I9" s="101">
        <f>SUM(I$4:I$8)</f>
        <v/>
      </c>
      <c r="J9" s="101">
        <f>SUM(J$4:J$8)</f>
        <v/>
      </c>
      <c r="K9" s="101">
        <f>SUM(K$4:K$8)</f>
        <v/>
      </c>
      <c r="L9" s="101">
        <f>SUM(L$4:L$8)</f>
        <v/>
      </c>
      <c r="M9" s="114">
        <f>SUM(H9:L9)</f>
        <v/>
      </c>
      <c r="O9" s="115">
        <f>((L9*(1+Assumptions!$B$26))/('WACC Calculations'!$B$22-Assumptions!$B$26))</f>
        <v/>
      </c>
      <c r="P9" s="114">
        <f>O9+M9</f>
        <v/>
      </c>
    </row>
    <row r="10" spans="1:16">
      <c r="A10" s="31" t="s">
        <v>87</v>
      </c>
      <c r="B10" s="116" t="n"/>
      <c r="C10" s="116" t="n"/>
      <c r="D10" s="116" t="n"/>
      <c r="E10" s="116" t="n"/>
      <c r="F10" s="116" t="n"/>
      <c r="G10" s="116" t="n"/>
      <c r="H10" s="117">
        <f>H9/(1+'WACC Calculations'!$B$22)^1</f>
        <v/>
      </c>
      <c r="I10" s="117">
        <f>I9/(1+'WACC Calculations'!$B$22)^2</f>
        <v/>
      </c>
      <c r="J10" s="117">
        <f>J9/(1+'WACC Calculations'!$B$22)^3</f>
        <v/>
      </c>
      <c r="K10" s="117">
        <f>K9/(1+'WACC Calculations'!$B$22)^4</f>
        <v/>
      </c>
      <c r="L10" s="117">
        <f>L9/(1+'WACC Calculations'!$B$22)^5</f>
        <v/>
      </c>
      <c r="M10" s="117">
        <f>SUM(H10:L10)</f>
        <v/>
      </c>
      <c r="N10" s="22" t="n"/>
      <c r="O10" s="116">
        <f>((L9*(1+Assumptions!$B$26))/('WACC Calculations'!$B$22-Assumptions!$B$26))/(1+'WACC Calculations'!$B$22)^5</f>
        <v/>
      </c>
      <c r="P10" s="116">
        <f>M10+O10</f>
        <v/>
      </c>
    </row>
    <row customHeight="1" ht="15.75" r="12" s="21" spans="1:16" thickBot="1">
      <c r="A12" s="25" t="s">
        <v>88</v>
      </c>
      <c r="B12" s="58">
        <f>B3</f>
        <v/>
      </c>
      <c r="C12" s="58">
        <f>C3</f>
        <v/>
      </c>
      <c r="D12" s="58">
        <f>D3</f>
        <v/>
      </c>
      <c r="E12" s="58">
        <f>E3</f>
        <v/>
      </c>
      <c r="F12" s="58">
        <f>F3</f>
        <v/>
      </c>
      <c r="G12" s="58">
        <f>G3</f>
        <v/>
      </c>
      <c r="H12" s="58">
        <f>H3</f>
        <v/>
      </c>
      <c r="I12" s="58">
        <f>I3</f>
        <v/>
      </c>
      <c r="J12" s="58">
        <f>J3</f>
        <v/>
      </c>
      <c r="K12" s="58">
        <f>K3</f>
        <v/>
      </c>
      <c r="L12" s="58">
        <f>L3</f>
        <v/>
      </c>
      <c r="M12" s="23" t="s">
        <v>81</v>
      </c>
      <c r="N12" s="26" t="n"/>
      <c r="O12" s="58" t="s">
        <v>82</v>
      </c>
      <c r="P12" s="23" t="s">
        <v>83</v>
      </c>
    </row>
    <row r="13" spans="1:16">
      <c r="A13" s="27" t="s">
        <v>47</v>
      </c>
      <c r="B13" s="101">
        <f>'Base Case'!B$8</f>
        <v/>
      </c>
      <c r="C13" s="101">
        <f>'Base Case'!C$8</f>
        <v/>
      </c>
      <c r="D13" s="101">
        <f>'Base Case'!D$8</f>
        <v/>
      </c>
      <c r="E13" s="101">
        <f>'Base Case'!E$8</f>
        <v/>
      </c>
      <c r="F13" s="101">
        <f>'Base Case'!F$8</f>
        <v/>
      </c>
      <c r="G13" s="101">
        <f>'Base Case'!G$8</f>
        <v/>
      </c>
      <c r="H13" s="101">
        <f>'Upside Case'!H8</f>
        <v/>
      </c>
      <c r="I13" s="101">
        <f>'Upside Case'!I8</f>
        <v/>
      </c>
      <c r="J13" s="101">
        <f>'Upside Case'!J8</f>
        <v/>
      </c>
      <c r="K13" s="101">
        <f>'Upside Case'!K8</f>
        <v/>
      </c>
      <c r="L13" s="101">
        <f>'Upside Case'!L8</f>
        <v/>
      </c>
      <c r="M13" s="109" t="n"/>
    </row>
    <row r="14" spans="1:16">
      <c r="A14" s="27" t="s">
        <v>84</v>
      </c>
      <c r="B14" s="101">
        <f>-'Base Case'!B$10</f>
        <v/>
      </c>
      <c r="C14" s="101">
        <f>-'Base Case'!C$10</f>
        <v/>
      </c>
      <c r="D14" s="101">
        <f>-'Base Case'!D$10</f>
        <v/>
      </c>
      <c r="E14" s="101">
        <f>-'Base Case'!E$10</f>
        <v/>
      </c>
      <c r="F14" s="101">
        <f>-'Base Case'!F$10</f>
        <v/>
      </c>
      <c r="G14" s="101">
        <f>-'Base Case'!G$10</f>
        <v/>
      </c>
      <c r="H14" s="101">
        <f>IF(ISERROR(-'Upside Case'!H10),0,-'Upside Case'!H10)</f>
        <v/>
      </c>
      <c r="I14" s="101">
        <f>IF(ISERROR(-'Upside Case'!I10),0,-'Upside Case'!I10)</f>
        <v/>
      </c>
      <c r="J14" s="101">
        <f>IF(ISERROR(-'Upside Case'!J10),0,-'Upside Case'!J10)</f>
        <v/>
      </c>
      <c r="K14" s="101">
        <f>IF(ISERROR(-'Upside Case'!K10),0,-'Upside Case'!K10)</f>
        <v/>
      </c>
      <c r="L14" s="101">
        <f>IF(ISERROR(-'Upside Case'!L10),0,-'Upside Case'!L10)</f>
        <v/>
      </c>
      <c r="M14" s="109" t="n"/>
    </row>
    <row r="15" spans="1:16">
      <c r="A15" s="27" t="s">
        <v>54</v>
      </c>
      <c r="B15" s="101">
        <f>'Base Case'!B$16</f>
        <v/>
      </c>
      <c r="C15" s="101">
        <f>'Base Case'!C$16</f>
        <v/>
      </c>
      <c r="D15" s="101">
        <f>'Base Case'!D$16</f>
        <v/>
      </c>
      <c r="E15" s="101">
        <f>'Base Case'!E$16</f>
        <v/>
      </c>
      <c r="F15" s="101">
        <f>'Base Case'!F$16</f>
        <v/>
      </c>
      <c r="G15" s="101">
        <f>'Base Case'!G$16</f>
        <v/>
      </c>
      <c r="H15" s="101">
        <f>'Upside Case'!H16</f>
        <v/>
      </c>
      <c r="I15" s="101">
        <f>'Upside Case'!I16</f>
        <v/>
      </c>
      <c r="J15" s="101">
        <f>'Upside Case'!J16</f>
        <v/>
      </c>
      <c r="K15" s="101">
        <f>'Upside Case'!K16</f>
        <v/>
      </c>
      <c r="L15" s="101">
        <f>'Upside Case'!L16</f>
        <v/>
      </c>
      <c r="M15" s="109" t="n"/>
    </row>
    <row r="16" spans="1:16">
      <c r="A16" s="27" t="s">
        <v>85</v>
      </c>
      <c r="B16" s="101">
        <f>'Base Case'!B$30</f>
        <v/>
      </c>
      <c r="C16" s="101">
        <f>'Base Case'!C$30</f>
        <v/>
      </c>
      <c r="D16" s="101">
        <f>'Base Case'!D$30</f>
        <v/>
      </c>
      <c r="E16" s="101">
        <f>'Base Case'!E$30</f>
        <v/>
      </c>
      <c r="F16" s="101">
        <f>'Base Case'!F$30</f>
        <v/>
      </c>
      <c r="G16" s="101">
        <f>-'Base Case'!G$30</f>
        <v/>
      </c>
      <c r="H16" s="101">
        <f>-'Upside Case'!H30</f>
        <v/>
      </c>
      <c r="I16" s="101">
        <f>-'Upside Case'!I30</f>
        <v/>
      </c>
      <c r="J16" s="101">
        <f>-'Upside Case'!J30</f>
        <v/>
      </c>
      <c r="K16" s="101">
        <f>-'Upside Case'!K30</f>
        <v/>
      </c>
      <c r="L16" s="101">
        <f>-'Upside Case'!L30</f>
        <v/>
      </c>
      <c r="M16" s="109" t="n"/>
    </row>
    <row customHeight="1" ht="15.75" r="17" s="21" spans="1:16" thickBot="1">
      <c r="A17" s="34" t="s">
        <v>53</v>
      </c>
      <c r="B17" s="113">
        <f>-'Base Case'!B$15</f>
        <v/>
      </c>
      <c r="C17" s="113">
        <f>-'Base Case'!C$15</f>
        <v/>
      </c>
      <c r="D17" s="113">
        <f>-'Base Case'!D$15</f>
        <v/>
      </c>
      <c r="E17" s="113">
        <f>-'Base Case'!E$15</f>
        <v/>
      </c>
      <c r="F17" s="113">
        <f>-'Base Case'!F$15</f>
        <v/>
      </c>
      <c r="G17" s="113">
        <f>-'Base Case'!G$15</f>
        <v/>
      </c>
      <c r="H17" s="113">
        <f>-'Upside Case'!H15</f>
        <v/>
      </c>
      <c r="I17" s="113">
        <f>-'Upside Case'!I15</f>
        <v/>
      </c>
      <c r="J17" s="113">
        <f>-'Upside Case'!J15</f>
        <v/>
      </c>
      <c r="K17" s="113">
        <f>-'Upside Case'!K15</f>
        <v/>
      </c>
      <c r="L17" s="113">
        <f>-'Upside Case'!L15</f>
        <v/>
      </c>
      <c r="M17" s="118" t="n"/>
      <c r="N17" s="26" t="n"/>
      <c r="O17" s="26" t="n"/>
      <c r="P17" s="26" t="n"/>
    </row>
    <row r="18" spans="1:16">
      <c r="A18" s="17" t="s">
        <v>86</v>
      </c>
      <c r="B18" s="101">
        <f>SUM(B$4:B$8)</f>
        <v/>
      </c>
      <c r="C18" s="101">
        <f>SUM(C$4:C$8)</f>
        <v/>
      </c>
      <c r="D18" s="101">
        <f>SUM(D$4:D$8)</f>
        <v/>
      </c>
      <c r="E18" s="101">
        <f>SUM(E$4:E$8)</f>
        <v/>
      </c>
      <c r="F18" s="101">
        <f>SUM(F$4:F$8)</f>
        <v/>
      </c>
      <c r="G18" s="101">
        <f>SUM(G$4:G$8)</f>
        <v/>
      </c>
      <c r="H18" s="101">
        <f>SUM(H$13:H$17)-G$18</f>
        <v/>
      </c>
      <c r="I18" s="101">
        <f>SUM(I$13:I$17)</f>
        <v/>
      </c>
      <c r="J18" s="101">
        <f>SUM(J$13:J$17)</f>
        <v/>
      </c>
      <c r="K18" s="101">
        <f>SUM(K$13:K$17)</f>
        <v/>
      </c>
      <c r="L18" s="101">
        <f>SUM(L$13:L$17)</f>
        <v/>
      </c>
      <c r="M18" s="101">
        <f>SUM(H18:L18)</f>
        <v/>
      </c>
      <c r="O18" s="109">
        <f>((L18*(1+Assumptions!$B$35))/('WACC Calculations'!$B$22-Assumptions!$B$35))</f>
        <v/>
      </c>
      <c r="P18" s="109">
        <f>O18+M18</f>
        <v/>
      </c>
    </row>
    <row r="19" spans="1:16">
      <c r="A19" s="31" t="s">
        <v>87</v>
      </c>
      <c r="B19" s="22" t="n"/>
      <c r="C19" s="22" t="n"/>
      <c r="D19" s="22" t="n"/>
      <c r="E19" s="22" t="n"/>
      <c r="F19" s="22" t="n"/>
      <c r="G19" s="22" t="n"/>
      <c r="H19" s="117">
        <f>H18/(1+'WACC Calculations'!$B$22)^1</f>
        <v/>
      </c>
      <c r="I19" s="117">
        <f>I18/(1+'WACC Calculations'!$B$22)^2</f>
        <v/>
      </c>
      <c r="J19" s="117">
        <f>J18/(1+'WACC Calculations'!$B$22)^3</f>
        <v/>
      </c>
      <c r="K19" s="117">
        <f>K18/(1+'WACC Calculations'!$B$22)^4</f>
        <v/>
      </c>
      <c r="L19" s="117">
        <f>L18/(1+'WACC Calculations'!$B$22)^5</f>
        <v/>
      </c>
      <c r="M19" s="117">
        <f>SUM(H19:L19)</f>
        <v/>
      </c>
      <c r="N19" s="22" t="n"/>
      <c r="O19" s="116">
        <f>((L18*(1+Assumptions!$B$35))/('WACC Calculations'!$B$22-Assumptions!$B$35))/(1+'WACC Calculations'!$B$22)^5</f>
        <v/>
      </c>
      <c r="P19" s="116">
        <f>M19+O19</f>
        <v/>
      </c>
    </row>
    <row customHeight="1" ht="15.75" r="21" s="21" spans="1:16" thickBot="1">
      <c r="A21" s="25" t="s">
        <v>89</v>
      </c>
      <c r="B21" s="58">
        <f>B3</f>
        <v/>
      </c>
      <c r="C21" s="58">
        <f>C3</f>
        <v/>
      </c>
      <c r="D21" s="58">
        <f>D3</f>
        <v/>
      </c>
      <c r="E21" s="58">
        <f>E3</f>
        <v/>
      </c>
      <c r="F21" s="58">
        <f>F3</f>
        <v/>
      </c>
      <c r="G21" s="58">
        <f>G3</f>
        <v/>
      </c>
      <c r="H21" s="58">
        <f>H3</f>
        <v/>
      </c>
      <c r="I21" s="58">
        <f>I3</f>
        <v/>
      </c>
      <c r="J21" s="58">
        <f>J3</f>
        <v/>
      </c>
      <c r="K21" s="58">
        <f>K3</f>
        <v/>
      </c>
      <c r="L21" s="58">
        <f>L3</f>
        <v/>
      </c>
      <c r="M21" s="23" t="s">
        <v>81</v>
      </c>
      <c r="N21" s="26" t="n"/>
      <c r="O21" s="58" t="s">
        <v>82</v>
      </c>
      <c r="P21" s="23" t="s">
        <v>83</v>
      </c>
    </row>
    <row r="22" spans="1:16">
      <c r="A22" s="27" t="s">
        <v>47</v>
      </c>
      <c r="B22" s="101">
        <f>'Base Case'!B$8</f>
        <v/>
      </c>
      <c r="C22" s="101">
        <f>'Base Case'!C$8</f>
        <v/>
      </c>
      <c r="D22" s="101">
        <f>'Base Case'!D$8</f>
        <v/>
      </c>
      <c r="E22" s="101">
        <f>'Base Case'!E$8</f>
        <v/>
      </c>
      <c r="F22" s="101">
        <f>'Base Case'!F$8</f>
        <v/>
      </c>
      <c r="G22" s="101">
        <f>'Base Case'!G$8</f>
        <v/>
      </c>
      <c r="H22" s="109">
        <f>'Downside Case'!H8</f>
        <v/>
      </c>
      <c r="I22" s="109">
        <f>'Downside Case'!I8</f>
        <v/>
      </c>
      <c r="J22" s="109">
        <f>'Downside Case'!J8</f>
        <v/>
      </c>
      <c r="K22" s="109">
        <f>'Downside Case'!K8</f>
        <v/>
      </c>
      <c r="L22" s="109">
        <f>'Downside Case'!L8</f>
        <v/>
      </c>
      <c r="M22" s="109" t="n"/>
      <c r="N22" s="109" t="n"/>
      <c r="O22" s="109" t="n"/>
      <c r="P22" s="109" t="n"/>
    </row>
    <row r="23" spans="1:16">
      <c r="A23" s="27" t="s">
        <v>84</v>
      </c>
      <c r="B23" s="101">
        <f>-'Base Case'!B$10</f>
        <v/>
      </c>
      <c r="C23" s="101">
        <f>-'Base Case'!C$10</f>
        <v/>
      </c>
      <c r="D23" s="101">
        <f>-'Base Case'!D$10</f>
        <v/>
      </c>
      <c r="E23" s="101">
        <f>-'Base Case'!E$10</f>
        <v/>
      </c>
      <c r="F23" s="101">
        <f>-'Base Case'!F$10</f>
        <v/>
      </c>
      <c r="G23" s="101">
        <f>-'Base Case'!G$10</f>
        <v/>
      </c>
      <c r="H23" s="101">
        <f>IF(ISERROR(-'Downside Case'!H10),0,-'Downside Case'!H10)</f>
        <v/>
      </c>
      <c r="I23" s="101">
        <f>IF(ISERROR(-'Downside Case'!I10),0,-'Downside Case'!I10)</f>
        <v/>
      </c>
      <c r="J23" s="101">
        <f>IF(ISERROR(-'Downside Case'!J10),0,-'Downside Case'!J10)</f>
        <v/>
      </c>
      <c r="K23" s="101">
        <f>IF(ISERROR(-'Downside Case'!K10),0,-'Downside Case'!K10)</f>
        <v/>
      </c>
      <c r="L23" s="101">
        <f>IF(ISERROR(-'Downside Case'!L10),0,-'Downside Case'!L10)</f>
        <v/>
      </c>
      <c r="M23" s="109" t="n"/>
      <c r="N23" s="109" t="n"/>
      <c r="O23" s="109" t="n"/>
      <c r="P23" s="109" t="n"/>
    </row>
    <row r="24" spans="1:16">
      <c r="A24" s="27" t="s">
        <v>54</v>
      </c>
      <c r="B24" s="101">
        <f>'Base Case'!B$16</f>
        <v/>
      </c>
      <c r="C24" s="101">
        <f>'Base Case'!C$16</f>
        <v/>
      </c>
      <c r="D24" s="101">
        <f>'Base Case'!D$16</f>
        <v/>
      </c>
      <c r="E24" s="101">
        <f>'Base Case'!E$16</f>
        <v/>
      </c>
      <c r="F24" s="101">
        <f>'Base Case'!F$16</f>
        <v/>
      </c>
      <c r="G24" s="101">
        <f>'Base Case'!G$16</f>
        <v/>
      </c>
      <c r="H24" s="109">
        <f>'Downside Case'!H16</f>
        <v/>
      </c>
      <c r="I24" s="109">
        <f>'Downside Case'!I16</f>
        <v/>
      </c>
      <c r="J24" s="109">
        <f>'Downside Case'!J16</f>
        <v/>
      </c>
      <c r="K24" s="109">
        <f>'Downside Case'!K16</f>
        <v/>
      </c>
      <c r="L24" s="109">
        <f>'Downside Case'!L16</f>
        <v/>
      </c>
      <c r="M24" s="109" t="n"/>
      <c r="N24" s="109" t="n"/>
      <c r="O24" s="109" t="n"/>
      <c r="P24" s="109" t="n"/>
    </row>
    <row r="25" spans="1:16">
      <c r="A25" s="27" t="s">
        <v>85</v>
      </c>
      <c r="B25" s="101">
        <f>'Base Case'!B$30</f>
        <v/>
      </c>
      <c r="C25" s="101">
        <f>'Base Case'!C$30</f>
        <v/>
      </c>
      <c r="D25" s="101">
        <f>'Base Case'!D$30</f>
        <v/>
      </c>
      <c r="E25" s="101">
        <f>'Base Case'!E$30</f>
        <v/>
      </c>
      <c r="F25" s="101">
        <f>'Base Case'!F$30</f>
        <v/>
      </c>
      <c r="G25" s="101">
        <f>-'Base Case'!G$30</f>
        <v/>
      </c>
      <c r="H25" s="109">
        <f>-'Downside Case'!H30</f>
        <v/>
      </c>
      <c r="I25" s="109">
        <f>-'Downside Case'!I30</f>
        <v/>
      </c>
      <c r="J25" s="109">
        <f>-'Downside Case'!J30</f>
        <v/>
      </c>
      <c r="K25" s="109">
        <f>-'Downside Case'!K30</f>
        <v/>
      </c>
      <c r="L25" s="109">
        <f>-'Downside Case'!L30</f>
        <v/>
      </c>
      <c r="M25" s="109" t="n"/>
      <c r="N25" s="109" t="n"/>
      <c r="O25" s="109" t="n"/>
      <c r="P25" s="109" t="n"/>
    </row>
    <row customHeight="1" ht="15.75" r="26" s="21" spans="1:16" thickBot="1">
      <c r="A26" s="34" t="s">
        <v>53</v>
      </c>
      <c r="B26" s="113">
        <f>-'Base Case'!B$15</f>
        <v/>
      </c>
      <c r="C26" s="113">
        <f>-'Base Case'!C$15</f>
        <v/>
      </c>
      <c r="D26" s="113">
        <f>-'Base Case'!D$15</f>
        <v/>
      </c>
      <c r="E26" s="113">
        <f>-'Base Case'!E$15</f>
        <v/>
      </c>
      <c r="F26" s="113">
        <f>-'Base Case'!F$15</f>
        <v/>
      </c>
      <c r="G26" s="113">
        <f>-'Base Case'!G$15</f>
        <v/>
      </c>
      <c r="H26" s="118">
        <f>-'Downside Case'!H15</f>
        <v/>
      </c>
      <c r="I26" s="118">
        <f>-'Downside Case'!I15</f>
        <v/>
      </c>
      <c r="J26" s="118">
        <f>-'Downside Case'!J15</f>
        <v/>
      </c>
      <c r="K26" s="118">
        <f>-'Downside Case'!K15</f>
        <v/>
      </c>
      <c r="L26" s="118">
        <f>-'Downside Case'!L15</f>
        <v/>
      </c>
      <c r="M26" s="118" t="n"/>
      <c r="N26" s="118" t="n"/>
      <c r="O26" s="118" t="n"/>
      <c r="P26" s="118" t="n"/>
    </row>
    <row r="27" spans="1:16">
      <c r="A27" s="17" t="s">
        <v>86</v>
      </c>
      <c r="B27" s="101">
        <f>SUM(B$4:B$8)</f>
        <v/>
      </c>
      <c r="C27" s="101">
        <f>SUM(C$4:C$8)</f>
        <v/>
      </c>
      <c r="D27" s="101">
        <f>SUM(D$4:D$8)</f>
        <v/>
      </c>
      <c r="E27" s="101">
        <f>SUM(E$4:E$8)</f>
        <v/>
      </c>
      <c r="F27" s="101">
        <f>SUM(F$4:F$8)</f>
        <v/>
      </c>
      <c r="G27" s="101">
        <f>SUM(G$4:G$8)</f>
        <v/>
      </c>
      <c r="H27" s="101">
        <f>SUM(H$22:H$26)-G$27</f>
        <v/>
      </c>
      <c r="I27" s="101">
        <f>SUM(I$22:I$26)</f>
        <v/>
      </c>
      <c r="J27" s="101">
        <f>SUM(J$22:J$26)</f>
        <v/>
      </c>
      <c r="K27" s="101">
        <f>SUM(K$22:K$26)</f>
        <v/>
      </c>
      <c r="L27" s="101">
        <f>SUM(L$22:L$26)</f>
        <v/>
      </c>
      <c r="M27" s="101">
        <f>SUM(H27:L27)</f>
        <v/>
      </c>
      <c r="N27" s="109" t="n"/>
      <c r="O27" s="109">
        <f>((L27*(1+Assumptions!$B$44))/('WACC Calculations'!$B$22-Assumptions!$B$44))</f>
        <v/>
      </c>
      <c r="P27" s="109">
        <f>O27+M27</f>
        <v/>
      </c>
    </row>
    <row r="28" spans="1:16">
      <c r="A28" s="31" t="s">
        <v>87</v>
      </c>
      <c r="B28" s="22" t="n"/>
      <c r="C28" s="22" t="n"/>
      <c r="D28" s="22" t="n"/>
      <c r="E28" s="22" t="n"/>
      <c r="F28" s="22" t="n"/>
      <c r="G28" s="22" t="n"/>
      <c r="H28" s="117">
        <f>H27/(1+'WACC Calculations'!$B$22)^1</f>
        <v/>
      </c>
      <c r="I28" s="117">
        <f>I27/(1+'WACC Calculations'!$B$22)^2</f>
        <v/>
      </c>
      <c r="J28" s="117">
        <f>J27/(1+'WACC Calculations'!$B$22)^3</f>
        <v/>
      </c>
      <c r="K28" s="117">
        <f>K27/(1+'WACC Calculations'!$B$22)^4</f>
        <v/>
      </c>
      <c r="L28" s="117">
        <f>L27/(1+'WACC Calculations'!$B$22)^5</f>
        <v/>
      </c>
      <c r="M28" s="117">
        <f>SUM(H28:L28)</f>
        <v/>
      </c>
      <c r="N28" s="116" t="n"/>
      <c r="O28" s="116">
        <f>((L27*(1+Assumptions!$B$44))/('WACC Calculations'!$B$22-Assumptions!$B$44))/(1+'WACC Calculations'!$B$22)^5</f>
        <v/>
      </c>
      <c r="P28" s="116">
        <f>M28+O28</f>
        <v/>
      </c>
    </row>
    <row r="29" spans="1:16"/>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I18"/>
  <sheetViews>
    <sheetView workbookViewId="0" zoomScaleNormal="100">
      <selection activeCell="B16" sqref="B16"/>
    </sheetView>
  </sheetViews>
  <sheetFormatPr baseColWidth="8" defaultRowHeight="15" outlineLevelCol="0"/>
  <cols>
    <col customWidth="1" max="1" min="1" style="21" width="27"/>
    <col customWidth="1" max="2" min="2" style="21" width="11.5703125"/>
    <col customWidth="1" max="4" min="4" style="21" width="11"/>
    <col customWidth="1" max="6" min="6" style="21" width="11.5703125"/>
    <col bestFit="1" customWidth="1" max="8" min="8" style="21" width="21.85546875"/>
    <col customWidth="1" max="9" min="9" style="21" width="12.28515625"/>
  </cols>
  <sheetData>
    <row r="1" spans="1:9">
      <c r="A1" s="22" t="s">
        <v>90</v>
      </c>
    </row>
    <row customHeight="1" ht="15.75" r="3" s="21" spans="1:9" thickBot="1">
      <c r="A3" s="25" t="s">
        <v>91</v>
      </c>
      <c r="B3" s="58" t="s">
        <v>92</v>
      </c>
      <c r="C3" s="26" t="n"/>
      <c r="D3" s="58" t="s">
        <v>93</v>
      </c>
      <c r="E3" s="26" t="n"/>
      <c r="F3" s="58" t="s">
        <v>94</v>
      </c>
      <c r="H3" s="22" t="n"/>
    </row>
    <row r="4" spans="1:9">
      <c r="A4" s="27" t="s">
        <v>95</v>
      </c>
      <c r="B4" s="119">
        <f>Assumptions!$F$16</f>
        <v/>
      </c>
      <c r="C4" s="70" t="n"/>
      <c r="D4" s="119">
        <f>B4</f>
        <v/>
      </c>
      <c r="E4" s="70" t="n"/>
      <c r="F4" s="119">
        <f>D4</f>
        <v/>
      </c>
      <c r="I4" s="120" t="n"/>
    </row>
    <row r="5" spans="1:9">
      <c r="A5" s="27" t="s">
        <v>96</v>
      </c>
      <c r="B5" s="119">
        <f>'Cash Flow Calculations'!$P$10</f>
        <v/>
      </c>
      <c r="C5" s="70" t="n"/>
      <c r="D5" s="119">
        <f>'Cash Flow Calculations'!$P$19</f>
        <v/>
      </c>
      <c r="E5" s="70" t="n"/>
      <c r="F5" s="119">
        <f>'Cash Flow Calculations'!$P$28</f>
        <v/>
      </c>
      <c r="I5" s="120" t="n"/>
    </row>
    <row r="6" spans="1:9">
      <c r="A6" s="27" t="n"/>
      <c r="B6" s="70" t="n"/>
      <c r="C6" s="70" t="n"/>
      <c r="D6" s="70" t="n"/>
      <c r="E6" s="70" t="n"/>
      <c r="F6" s="70" t="n"/>
      <c r="I6" s="120" t="n"/>
    </row>
    <row r="7" spans="1:9">
      <c r="A7" s="27" t="s">
        <v>97</v>
      </c>
      <c r="B7" s="119">
        <f>'WACC Calculations'!$B$20</f>
        <v/>
      </c>
      <c r="C7" s="70" t="n"/>
      <c r="D7" s="119">
        <f>B7</f>
        <v/>
      </c>
      <c r="E7" s="70" t="n"/>
      <c r="F7" s="119">
        <f>B7</f>
        <v/>
      </c>
      <c r="I7" s="120" t="n"/>
    </row>
    <row r="8" spans="1:9">
      <c r="A8" s="27" t="s">
        <v>98</v>
      </c>
      <c r="B8" s="119">
        <f>'WACC Calculations'!$B$19</f>
        <v/>
      </c>
      <c r="C8" s="70" t="n"/>
      <c r="D8" s="119">
        <f>B8</f>
        <v/>
      </c>
      <c r="E8" s="70" t="n"/>
      <c r="F8" s="119">
        <f>B8</f>
        <v/>
      </c>
      <c r="I8" s="120" t="n"/>
    </row>
    <row r="9" spans="1:9">
      <c r="A9" s="27" t="s">
        <v>99</v>
      </c>
      <c r="B9" s="119">
        <f>B5-B7+B8</f>
        <v/>
      </c>
      <c r="C9" s="70" t="n"/>
      <c r="D9" s="119">
        <f>D5-D7+D8</f>
        <v/>
      </c>
      <c r="E9" s="70" t="n"/>
      <c r="F9" s="119">
        <f>F5-F7+F8</f>
        <v/>
      </c>
      <c r="I9" s="120" t="n"/>
    </row>
    <row r="10" spans="1:9">
      <c r="A10" s="27" t="n"/>
      <c r="B10" s="70" t="n"/>
      <c r="C10" s="70" t="n"/>
      <c r="D10" s="70" t="n"/>
      <c r="E10" s="70" t="n"/>
      <c r="F10" s="70" t="n"/>
    </row>
    <row r="11" spans="1:9">
      <c r="A11" s="68" t="s">
        <v>100</v>
      </c>
      <c r="B11" s="121">
        <f>B9/B4</f>
        <v/>
      </c>
      <c r="C11" s="71" t="n"/>
      <c r="D11" s="121">
        <f>D9/D4</f>
        <v/>
      </c>
      <c r="E11" s="71" t="n"/>
      <c r="F11" s="121">
        <f>F9/F4</f>
        <v/>
      </c>
    </row>
    <row r="12" spans="1:9">
      <c r="A12" s="76" t="s">
        <v>101</v>
      </c>
      <c r="B12" s="74">
        <f>B11/Assumptions!$B$13-1</f>
        <v/>
      </c>
      <c r="C12" s="72" t="n"/>
      <c r="D12" s="74">
        <f>D11/Assumptions!$B$13-1</f>
        <v/>
      </c>
      <c r="E12" s="72" t="n"/>
      <c r="F12" s="74">
        <f>F11/Assumptions!$B$13-1</f>
        <v/>
      </c>
      <c r="I12" s="120" t="n"/>
    </row>
    <row r="13" spans="1:9">
      <c r="A13" s="76" t="s">
        <v>102</v>
      </c>
      <c r="B13" s="90" t="n"/>
      <c r="C13" s="72" t="n"/>
      <c r="D13" s="90" t="n"/>
      <c r="E13" s="72" t="n"/>
      <c r="F13" s="90" t="n"/>
      <c r="I13" s="120" t="n"/>
    </row>
    <row r="14" spans="1:9">
      <c r="A14" s="76" t="n"/>
      <c r="B14" s="72" t="n"/>
      <c r="C14" s="72" t="n"/>
      <c r="D14" s="72" t="n"/>
      <c r="E14" s="72" t="n"/>
      <c r="F14" s="72" t="n"/>
      <c r="I14" s="120" t="n"/>
    </row>
    <row r="15" spans="1:9">
      <c r="A15" s="68" t="s">
        <v>103</v>
      </c>
      <c r="B15" s="122">
        <f>(B13*B11)+(D13*D11)+(F13*F11)</f>
        <v/>
      </c>
    </row>
    <row r="16" spans="1:9">
      <c r="A16" s="76" t="s">
        <v>104</v>
      </c>
      <c r="B16" s="6">
        <f>B15/Assumptions!$B$13-1</f>
        <v/>
      </c>
    </row>
    <row r="18" spans="1:9">
      <c r="H18" s="112" t="n"/>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NT2</dc:creator>
  <dcterms:created xsi:type="dcterms:W3CDTF">2016-03-04T18:46:26Z</dcterms:created>
  <dcterms:modified xsi:type="dcterms:W3CDTF">2016-09-22T16:34:27Z</dcterms:modified>
  <cp:lastModifiedBy>Lucas E Cherry</cp:lastModifiedBy>
</cp:coreProperties>
</file>