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hris/Desktop/Github/DynamicDCF/"/>
    </mc:Choice>
  </mc:AlternateContent>
  <bookViews>
    <workbookView xWindow="0" yWindow="460" windowWidth="28800" windowHeight="17620" activeTab="1"/>
  </bookViews>
  <sheets>
    <sheet name="Forecasting Variables" sheetId="1" r:id="rId1"/>
    <sheet name="DCF" sheetId="2" r:id="rId2"/>
    <sheet name="10K-Data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C13" i="2"/>
  <c r="C15" i="2"/>
  <c r="C16" i="2"/>
  <c r="C18" i="2"/>
  <c r="C19" i="2"/>
  <c r="C21" i="2"/>
  <c r="C22" i="2"/>
  <c r="B16" i="2"/>
  <c r="B18" i="2"/>
  <c r="B19" i="2"/>
  <c r="B21" i="2"/>
  <c r="B22" i="2"/>
  <c r="C23" i="2"/>
  <c r="C24" i="2"/>
  <c r="C26" i="2"/>
  <c r="C27" i="2"/>
  <c r="C29" i="2"/>
  <c r="B30" i="2"/>
  <c r="C30" i="2"/>
  <c r="C31" i="2"/>
  <c r="C32" i="2"/>
  <c r="C11" i="2"/>
  <c r="C36" i="2"/>
  <c r="D13" i="2"/>
  <c r="D15" i="2"/>
  <c r="D16" i="2"/>
  <c r="D18" i="2"/>
  <c r="D19" i="2"/>
  <c r="D21" i="2"/>
  <c r="D22" i="2"/>
  <c r="D23" i="2"/>
  <c r="D24" i="2"/>
  <c r="D26" i="2"/>
  <c r="D27" i="2"/>
  <c r="D29" i="2"/>
  <c r="D18" i="1"/>
  <c r="D30" i="2"/>
  <c r="D31" i="2"/>
  <c r="D32" i="2"/>
  <c r="D11" i="2"/>
  <c r="D36" i="2"/>
  <c r="E13" i="2"/>
  <c r="E15" i="2"/>
  <c r="E16" i="2"/>
  <c r="E18" i="2"/>
  <c r="E19" i="2"/>
  <c r="E21" i="2"/>
  <c r="E22" i="2"/>
  <c r="E23" i="2"/>
  <c r="E24" i="2"/>
  <c r="E26" i="2"/>
  <c r="E27" i="2"/>
  <c r="E29" i="2"/>
  <c r="E18" i="1"/>
  <c r="E30" i="2"/>
  <c r="E31" i="2"/>
  <c r="E32" i="2"/>
  <c r="E11" i="2"/>
  <c r="E36" i="2"/>
  <c r="F13" i="2"/>
  <c r="F15" i="2"/>
  <c r="F16" i="2"/>
  <c r="F18" i="2"/>
  <c r="F19" i="2"/>
  <c r="F21" i="2"/>
  <c r="F22" i="2"/>
  <c r="F23" i="2"/>
  <c r="F24" i="2"/>
  <c r="F26" i="2"/>
  <c r="F27" i="2"/>
  <c r="F29" i="2"/>
  <c r="F18" i="1"/>
  <c r="F30" i="2"/>
  <c r="F31" i="2"/>
  <c r="F32" i="2"/>
  <c r="F11" i="2"/>
  <c r="F36" i="2"/>
  <c r="G13" i="2"/>
  <c r="G15" i="2"/>
  <c r="G16" i="2"/>
  <c r="G18" i="2"/>
  <c r="G19" i="2"/>
  <c r="G21" i="2"/>
  <c r="G22" i="2"/>
  <c r="G23" i="2"/>
  <c r="G24" i="2"/>
  <c r="G26" i="2"/>
  <c r="G27" i="2"/>
  <c r="G29" i="2"/>
  <c r="G18" i="1"/>
  <c r="G30" i="2"/>
  <c r="G31" i="2"/>
  <c r="G32" i="2"/>
  <c r="G11" i="2"/>
  <c r="G36" i="2"/>
  <c r="H13" i="2"/>
  <c r="H15" i="2"/>
  <c r="H16" i="2"/>
  <c r="H18" i="2"/>
  <c r="H19" i="2"/>
  <c r="H21" i="2"/>
  <c r="H22" i="2"/>
  <c r="H23" i="2"/>
  <c r="H24" i="2"/>
  <c r="H26" i="2"/>
  <c r="H27" i="2"/>
  <c r="H29" i="2"/>
  <c r="H18" i="1"/>
  <c r="H30" i="2"/>
  <c r="H31" i="2"/>
  <c r="H32" i="2"/>
  <c r="H11" i="2"/>
  <c r="H36" i="2"/>
  <c r="I13" i="2"/>
  <c r="I15" i="2"/>
  <c r="I16" i="2"/>
  <c r="I18" i="2"/>
  <c r="I19" i="2"/>
  <c r="I21" i="2"/>
  <c r="I22" i="2"/>
  <c r="I23" i="2"/>
  <c r="I24" i="2"/>
  <c r="I26" i="2"/>
  <c r="I27" i="2"/>
  <c r="I29" i="2"/>
  <c r="I30" i="2"/>
  <c r="I31" i="2"/>
  <c r="I32" i="2"/>
  <c r="I11" i="2"/>
  <c r="I36" i="2"/>
  <c r="J13" i="2"/>
  <c r="J15" i="2"/>
  <c r="J16" i="2"/>
  <c r="J18" i="2"/>
  <c r="J19" i="2"/>
  <c r="J21" i="2"/>
  <c r="J22" i="2"/>
  <c r="J23" i="2"/>
  <c r="J24" i="2"/>
  <c r="J26" i="2"/>
  <c r="J27" i="2"/>
  <c r="J29" i="2"/>
  <c r="J30" i="2"/>
  <c r="J31" i="2"/>
  <c r="J32" i="2"/>
  <c r="J11" i="2"/>
  <c r="J36" i="2"/>
  <c r="K13" i="2"/>
  <c r="K15" i="2"/>
  <c r="K16" i="2"/>
  <c r="K18" i="2"/>
  <c r="K19" i="2"/>
  <c r="K21" i="2"/>
  <c r="K22" i="2"/>
  <c r="K23" i="2"/>
  <c r="K24" i="2"/>
  <c r="K26" i="2"/>
  <c r="K27" i="2"/>
  <c r="K29" i="2"/>
  <c r="K30" i="2"/>
  <c r="K31" i="2"/>
  <c r="K32" i="2"/>
  <c r="K11" i="2"/>
  <c r="K36" i="2"/>
  <c r="L13" i="2"/>
  <c r="L15" i="2"/>
  <c r="L16" i="2"/>
  <c r="L18" i="2"/>
  <c r="L19" i="2"/>
  <c r="L21" i="2"/>
  <c r="L22" i="2"/>
  <c r="L23" i="2"/>
  <c r="L24" i="2"/>
  <c r="L26" i="2"/>
  <c r="L27" i="2"/>
  <c r="L29" i="2"/>
  <c r="L30" i="2"/>
  <c r="L31" i="2"/>
  <c r="L32" i="2"/>
  <c r="L34" i="2"/>
  <c r="L11" i="2"/>
  <c r="L36" i="2"/>
  <c r="B38" i="2"/>
  <c r="B39" i="2"/>
  <c r="B41" i="2"/>
  <c r="C41" i="2"/>
  <c r="C38" i="2"/>
  <c r="B26" i="2"/>
  <c r="B27" i="2"/>
  <c r="B29" i="2"/>
  <c r="B32" i="2"/>
  <c r="B24" i="2"/>
  <c r="B15" i="2"/>
  <c r="A8" i="2"/>
  <c r="A6" i="2"/>
  <c r="C34" i="1"/>
  <c r="C32" i="1"/>
  <c r="L30" i="1"/>
  <c r="L29" i="1"/>
  <c r="K29" i="1"/>
  <c r="J29" i="1"/>
  <c r="I29" i="1"/>
  <c r="H29" i="1"/>
  <c r="G29" i="1"/>
  <c r="F29" i="1"/>
  <c r="E29" i="1"/>
  <c r="D29" i="1"/>
  <c r="C29" i="1"/>
  <c r="L28" i="1"/>
  <c r="K28" i="1"/>
  <c r="J28" i="1"/>
  <c r="I28" i="1"/>
  <c r="H28" i="1"/>
  <c r="G28" i="1"/>
  <c r="F28" i="1"/>
  <c r="E28" i="1"/>
  <c r="D28" i="1"/>
  <c r="C28" i="1"/>
  <c r="L27" i="1"/>
  <c r="K27" i="1"/>
  <c r="J27" i="1"/>
  <c r="I27" i="1"/>
  <c r="H27" i="1"/>
  <c r="G27" i="1"/>
  <c r="F27" i="1"/>
  <c r="E27" i="1"/>
  <c r="D27" i="1"/>
  <c r="C27" i="1"/>
  <c r="D13" i="1"/>
  <c r="E13" i="1"/>
  <c r="F13" i="1"/>
  <c r="G13" i="1"/>
  <c r="H13" i="1"/>
  <c r="I13" i="1"/>
  <c r="J13" i="1"/>
  <c r="K13" i="1"/>
  <c r="L13" i="1"/>
  <c r="L25" i="1"/>
  <c r="K25" i="1"/>
  <c r="J25" i="1"/>
  <c r="I25" i="1"/>
  <c r="H25" i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<sst xmlns="http://schemas.openxmlformats.org/spreadsheetml/2006/main" count="59" uniqueCount="58">
  <si>
    <t>The Free Cash Flow Business Valuation Model</t>
  </si>
  <si>
    <t>The Discounted Free Cash Flow Model for Starbucks (NYSE:SBUX)</t>
  </si>
  <si>
    <t>Starbucks (NYSE:SBUX)</t>
  </si>
  <si>
    <t>Forecasting Variables:</t>
  </si>
  <si>
    <t>Revenue growth factor</t>
  </si>
  <si>
    <t>Expected gross profit margin</t>
  </si>
  <si>
    <t>S, G, &amp; A expense % of revenue</t>
  </si>
  <si>
    <t>Depr. &amp; Amort. % of revenue</t>
  </si>
  <si>
    <t>Capital expenditure growth factor</t>
  </si>
  <si>
    <t>Net working capital to sales ratio</t>
  </si>
  <si>
    <t>Income tax rate</t>
  </si>
  <si>
    <t>Assumed long-term sustainable growth rate</t>
  </si>
  <si>
    <t>per year after 2011</t>
  </si>
  <si>
    <t>Discount rate</t>
  </si>
  <si>
    <t>Valuation Model Outputs:</t>
  </si>
  <si>
    <t>Gross profit margin</t>
  </si>
  <si>
    <t>Net operating profit margin</t>
  </si>
  <si>
    <t>Free cash flow ($ mil)</t>
  </si>
  <si>
    <t>Terminal value ($ mil)</t>
  </si>
  <si>
    <t>PV of Company Operations ($ mil)</t>
  </si>
  <si>
    <t>Market Value of Company Assets ($ mil)</t>
  </si>
  <si>
    <t>Years Ending December 31</t>
  </si>
  <si>
    <t xml:space="preserve">Actual </t>
  </si>
  <si>
    <t>|------------------------------------------------------------------------------------------ Forecast ----------------------------------------------------------------------------------------|</t>
  </si>
  <si>
    <t>Total revenue</t>
  </si>
  <si>
    <t>Cost of Goods Sold</t>
  </si>
  <si>
    <t>Gross profit</t>
  </si>
  <si>
    <t>Selling, general and administrative expenses</t>
  </si>
  <si>
    <t>Earnings before interest, taxes, depr. &amp; amort. (EBITDA)</t>
  </si>
  <si>
    <t>Depreciation and amortization</t>
  </si>
  <si>
    <t>Earnings before Interest and taxes (EBIT)</t>
  </si>
  <si>
    <t>Available tax-loss carryforwards</t>
  </si>
  <si>
    <t>Net taxable earnings</t>
  </si>
  <si>
    <t>Federal and State Income Taxes</t>
  </si>
  <si>
    <t>Net Operating Profit After-Tax (NOPAT)</t>
  </si>
  <si>
    <t>Add back depreciation and amortization</t>
  </si>
  <si>
    <t>Subtract Capital Expenditures</t>
  </si>
  <si>
    <t>Subtract New Net Working Capital</t>
  </si>
  <si>
    <t>Free Cash Flow</t>
  </si>
  <si>
    <t>Terminal value, 2011</t>
  </si>
  <si>
    <t>Present Value of Free Cash Flows @ 20%</t>
  </si>
  <si>
    <t>Total Present Value of Company Operations</t>
  </si>
  <si>
    <t>Plus Current Assets</t>
  </si>
  <si>
    <t>Total Market Value of Great Expectations' Assets</t>
  </si>
  <si>
    <t>data</t>
  </si>
  <si>
    <t>data_scale</t>
  </si>
  <si>
    <t>labels</t>
  </si>
  <si>
    <t>9/24/2016</t>
  </si>
  <si>
    <t>Statement Date</t>
  </si>
  <si>
    <t>Total Revenue</t>
  </si>
  <si>
    <t>Gross Profit</t>
  </si>
  <si>
    <t>General Expenses</t>
  </si>
  <si>
    <t>EBIT</t>
  </si>
  <si>
    <t>Depreciation Amortization</t>
  </si>
  <si>
    <t>Total Current Assets</t>
  </si>
  <si>
    <t>Capital Expenditures</t>
  </si>
  <si>
    <t>Fed State Tax</t>
  </si>
  <si>
    <t>Return On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</si>
</sst>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7" formatCode="&quot;$&quot;#,##0.00_);\(&quot;$&quot;#,##0.00\)"/>
    <numFmt numFmtId="164" formatCode="&quot;$&quot;#,##0.0_);\(&quot;$&quot;#,##0.0\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18"/>
      <color indexed="9"/>
      <name val="Arial"/>
    </font>
    <font>
      <b/>
      <sz val="10"/>
      <color indexed="9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0" fillId="0" borderId="0" xfId="0" quotePrefix="1" applyAlignment="1">
      <alignment horizontal="left"/>
    </xf>
    <xf numFmtId="0" fontId="2" fillId="0" borderId="0" xfId="0" applyFont="1"/>
    <xf numFmtId="37" fontId="0" fillId="0" borderId="1" xfId="0" applyNumberFormat="1" applyBorder="1"/>
    <xf numFmtId="37" fontId="0" fillId="0" borderId="0" xfId="0" applyNumberFormat="1"/>
    <xf numFmtId="37" fontId="2" fillId="0" borderId="0" xfId="0" applyNumberFormat="1" applyFont="1"/>
    <xf numFmtId="0" fontId="2" fillId="0" borderId="0" xfId="0" quotePrefix="1" applyFont="1" applyAlignment="1">
      <alignment horizontal="left"/>
    </xf>
    <xf numFmtId="9" fontId="0" fillId="0" borderId="0" xfId="1" applyNumberFormat="1" applyFont="1"/>
    <xf numFmtId="0" fontId="0" fillId="0" borderId="0" xfId="0" quotePrefix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37" fontId="4" fillId="0" borderId="0" xfId="0" applyNumberFormat="1" applyFont="1"/>
    <xf numFmtId="0" fontId="4" fillId="0" borderId="0" xfId="0" applyFont="1"/>
    <xf numFmtId="0" fontId="4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/>
    </xf>
    <xf numFmtId="37" fontId="0" fillId="0" borderId="2" xfId="0" applyNumberFormat="1" applyBorder="1"/>
    <xf numFmtId="37" fontId="2" fillId="0" borderId="2" xfId="0" applyNumberFormat="1" applyFont="1" applyBorder="1"/>
    <xf numFmtId="37" fontId="4" fillId="0" borderId="2" xfId="0" applyNumberFormat="1" applyFont="1" applyBorder="1"/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right"/>
    </xf>
    <xf numFmtId="0" fontId="5" fillId="2" borderId="0" xfId="0" applyFont="1" applyFill="1"/>
    <xf numFmtId="0" fontId="6" fillId="2" borderId="0" xfId="0" applyFont="1" applyFill="1"/>
    <xf numFmtId="0" fontId="2" fillId="2" borderId="0" xfId="0" applyFont="1" applyFill="1"/>
    <xf numFmtId="0" fontId="6" fillId="2" borderId="0" xfId="0" quotePrefix="1" applyFont="1" applyFill="1" applyAlignment="1">
      <alignment horizontal="right"/>
    </xf>
    <xf numFmtId="9" fontId="6" fillId="2" borderId="0" xfId="1" applyNumberFormat="1" applyFont="1" applyFill="1"/>
    <xf numFmtId="9" fontId="7" fillId="2" borderId="0" xfId="1" applyNumberFormat="1" applyFont="1" applyFill="1"/>
    <xf numFmtId="9" fontId="7" fillId="2" borderId="0" xfId="0" applyNumberFormat="1" applyFont="1" applyFill="1"/>
    <xf numFmtId="0" fontId="6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2" borderId="0" xfId="0" quotePrefix="1" applyFill="1" applyAlignment="1">
      <alignment horizontal="right"/>
    </xf>
    <xf numFmtId="9" fontId="0" fillId="2" borderId="0" xfId="1" applyNumberFormat="1" applyFont="1" applyFill="1"/>
    <xf numFmtId="0" fontId="2" fillId="0" borderId="0" xfId="0" applyFont="1" applyAlignment="1">
      <alignment horizontal="center"/>
    </xf>
    <xf numFmtId="0" fontId="0" fillId="2" borderId="0" xfId="0" applyFill="1"/>
    <xf numFmtId="0" fontId="2" fillId="2" borderId="0" xfId="0" quotePrefix="1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/>
    <xf numFmtId="5" fontId="2" fillId="2" borderId="0" xfId="0" applyNumberFormat="1" applyFont="1" applyFill="1"/>
    <xf numFmtId="164" fontId="0" fillId="2" borderId="0" xfId="0" applyNumberFormat="1" applyFill="1"/>
    <xf numFmtId="164" fontId="2" fillId="2" borderId="0" xfId="0" applyNumberFormat="1" applyFont="1" applyFill="1"/>
    <xf numFmtId="164" fontId="9" fillId="3" borderId="0" xfId="0" applyNumberFormat="1" applyFont="1" applyFill="1"/>
    <xf numFmtId="5" fontId="2" fillId="0" borderId="0" xfId="0" applyNumberFormat="1" applyFont="1"/>
    <xf numFmtId="5" fontId="2" fillId="0" borderId="2" xfId="0" applyNumberFormat="1" applyFont="1" applyBorder="1"/>
    <xf numFmtId="5" fontId="0" fillId="0" borderId="0" xfId="0" applyNumberFormat="1"/>
    <xf numFmtId="7" fontId="2" fillId="0" borderId="0" xfId="0" applyNumberFormat="1" applyFont="1"/>
    <xf numFmtId="0" fontId="10" fillId="0" borderId="3" xfId="0" applyFont="1" applyBorder="1" applyAlignment="1">
      <alignment horizontal="center" vertical="top"/>
    </xf>
    <xf numFmtId="0" fontId="3" fillId="2" borderId="0" xfId="0" quotePrefix="1" applyFont="1" applyFill="1" applyAlignment="1">
      <alignment horizontal="center"/>
    </xf>
    <xf numFmtId="0" fontId="0" fillId="2" borderId="0" xfId="0" applyFill="1"/>
    <xf numFmtId="0" fontId="2" fillId="2" borderId="0" xfId="0" quotePrefix="1" applyFont="1" applyFill="1" applyAlignment="1">
      <alignment horizontal="center"/>
    </xf>
    <xf numFmtId="0" fontId="8" fillId="3" borderId="0" xfId="0" quotePrefix="1" applyFont="1" applyFill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0" fillId="0" borderId="0" xfId="0"/>
    <xf numFmtId="0" fontId="3" fillId="0" borderId="0" xfId="0" quotePrefix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4"/>
  <sheetViews>
    <sheetView topLeftCell="A2" workbookViewId="0">
      <selection activeCell="B24" sqref="B24"/>
    </sheetView>
  </sheetViews>
  <sheetFormatPr baseColWidth="10" defaultColWidth="9.1640625" defaultRowHeight="13" x14ac:dyDescent="0.15"/>
  <cols>
    <col min="1" max="1" width="37.5" style="34" customWidth="1"/>
    <col min="2" max="2" width="5" style="34" customWidth="1"/>
    <col min="3" max="3" width="8.6640625" style="34" customWidth="1"/>
    <col min="4" max="7" width="5.6640625" style="34" customWidth="1"/>
    <col min="8" max="11" width="6.6640625" style="34" bestFit="1" customWidth="1"/>
    <col min="12" max="12" width="8.6640625" style="34" customWidth="1"/>
    <col min="13" max="17" width="9.1640625" style="34" customWidth="1"/>
    <col min="18" max="16384" width="9.1640625" style="34"/>
  </cols>
  <sheetData>
    <row r="1" spans="1:12" ht="23" customHeight="1" x14ac:dyDescent="0.15">
      <c r="A1" s="50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8" spans="1:12" ht="16" customHeight="1" x14ac:dyDescent="0.2">
      <c r="A8" s="47" t="s">
        <v>1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 x14ac:dyDescent="0.15">
      <c r="A9" s="35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x14ac:dyDescent="0.15">
      <c r="A10" s="49" t="s">
        <v>2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</row>
    <row r="11" spans="1:12" x14ac:dyDescent="0.15">
      <c r="B11" s="21"/>
      <c r="C11" s="38"/>
    </row>
    <row r="12" spans="1:12" x14ac:dyDescent="0.15">
      <c r="A12" s="22" t="s">
        <v>3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 x14ac:dyDescent="0.15">
      <c r="A13" s="23"/>
      <c r="B13" s="24"/>
      <c r="C13" s="24">
        <v>2016</v>
      </c>
      <c r="D13" s="24">
        <f t="shared" ref="D13:L13" si="0">C13+1</f>
        <v>2017</v>
      </c>
      <c r="E13" s="24">
        <f t="shared" si="0"/>
        <v>2018</v>
      </c>
      <c r="F13" s="24">
        <f t="shared" si="0"/>
        <v>2019</v>
      </c>
      <c r="G13" s="24">
        <f t="shared" si="0"/>
        <v>2020</v>
      </c>
      <c r="H13" s="24">
        <f t="shared" si="0"/>
        <v>2021</v>
      </c>
      <c r="I13" s="24">
        <f t="shared" si="0"/>
        <v>2022</v>
      </c>
      <c r="J13" s="24">
        <f t="shared" si="0"/>
        <v>2023</v>
      </c>
      <c r="K13" s="24">
        <f t="shared" si="0"/>
        <v>2024</v>
      </c>
      <c r="L13" s="24">
        <f t="shared" si="0"/>
        <v>2025</v>
      </c>
    </row>
    <row r="14" spans="1:12" x14ac:dyDescent="0.15">
      <c r="A14" s="25" t="s">
        <v>4</v>
      </c>
      <c r="B14" s="26"/>
      <c r="C14" s="27">
        <v>0.106</v>
      </c>
      <c r="D14" s="27">
        <v>0.17</v>
      </c>
      <c r="E14" s="27">
        <v>0.14000000000000001</v>
      </c>
      <c r="F14" s="27">
        <v>8.5999999999999993E-2</v>
      </c>
      <c r="G14" s="27">
        <v>0.10199999999999999</v>
      </c>
      <c r="H14" s="27">
        <v>0.1</v>
      </c>
      <c r="I14" s="27">
        <v>8.5999999999999993E-2</v>
      </c>
      <c r="J14" s="27">
        <v>8.1000000000000003E-2</v>
      </c>
      <c r="K14" s="27">
        <v>7.0999999999999994E-2</v>
      </c>
      <c r="L14" s="27">
        <v>5.8999999999999997E-2</v>
      </c>
    </row>
    <row r="15" spans="1:12" x14ac:dyDescent="0.15">
      <c r="A15" s="25" t="s">
        <v>5</v>
      </c>
      <c r="B15" s="26"/>
      <c r="C15" s="28">
        <v>0.5</v>
      </c>
      <c r="D15" s="28">
        <v>0.51</v>
      </c>
      <c r="E15" s="28">
        <v>0.52</v>
      </c>
      <c r="F15" s="28">
        <v>0.53</v>
      </c>
      <c r="G15" s="28">
        <v>0.54</v>
      </c>
      <c r="H15" s="28">
        <v>0.55000000000000004</v>
      </c>
      <c r="I15" s="28">
        <v>0.56000000000000005</v>
      </c>
      <c r="J15" s="28">
        <v>0.56999999999999995</v>
      </c>
      <c r="K15" s="28">
        <v>0.57999999999999996</v>
      </c>
      <c r="L15" s="28">
        <v>0.59</v>
      </c>
    </row>
    <row r="16" spans="1:12" x14ac:dyDescent="0.15">
      <c r="A16" s="25" t="s">
        <v>6</v>
      </c>
      <c r="B16" s="26"/>
      <c r="C16" s="28">
        <v>0.5</v>
      </c>
      <c r="D16" s="28">
        <v>0.4</v>
      </c>
      <c r="E16" s="28">
        <v>0.3</v>
      </c>
      <c r="F16" s="28">
        <v>0.28999999999999998</v>
      </c>
      <c r="G16" s="28">
        <v>0.28000000000000003</v>
      </c>
      <c r="H16" s="28">
        <v>0.27</v>
      </c>
      <c r="I16" s="28">
        <v>0.26</v>
      </c>
      <c r="J16" s="28">
        <v>0.25</v>
      </c>
      <c r="K16" s="28">
        <v>0.24</v>
      </c>
      <c r="L16" s="28">
        <v>0.23</v>
      </c>
    </row>
    <row r="17" spans="1:12" x14ac:dyDescent="0.15">
      <c r="A17" s="25" t="s">
        <v>7</v>
      </c>
      <c r="B17" s="26"/>
      <c r="C17" s="27">
        <v>0.1</v>
      </c>
      <c r="D17" s="27">
        <v>0.1</v>
      </c>
      <c r="E17" s="27">
        <v>0.1</v>
      </c>
      <c r="F17" s="27">
        <v>0.1</v>
      </c>
      <c r="G17" s="27">
        <v>0.1</v>
      </c>
      <c r="H17" s="27">
        <v>0.1</v>
      </c>
      <c r="I17" s="27">
        <v>0.1</v>
      </c>
      <c r="J17" s="27">
        <v>0.1</v>
      </c>
      <c r="K17" s="27">
        <v>0.1</v>
      </c>
      <c r="L17" s="27">
        <v>0.1</v>
      </c>
    </row>
    <row r="18" spans="1:12" x14ac:dyDescent="0.15">
      <c r="A18" s="25" t="s">
        <v>8</v>
      </c>
      <c r="B18" s="26"/>
      <c r="C18" s="27">
        <v>0.4</v>
      </c>
      <c r="D18" s="27">
        <f>C18-0.05</f>
        <v>0.35000000000000003</v>
      </c>
      <c r="E18" s="27">
        <f>D18-0.05</f>
        <v>0.30000000000000004</v>
      </c>
      <c r="F18" s="27">
        <f>E18-0.05</f>
        <v>0.25000000000000006</v>
      </c>
      <c r="G18" s="27">
        <f>F18-0.05</f>
        <v>0.20000000000000007</v>
      </c>
      <c r="H18" s="27">
        <f>G18-0.1</f>
        <v>0.10000000000000006</v>
      </c>
      <c r="I18" s="27">
        <v>-0.15</v>
      </c>
      <c r="J18" s="27">
        <v>-0.2</v>
      </c>
      <c r="K18" s="27">
        <v>-0.25</v>
      </c>
      <c r="L18" s="27">
        <v>-0.3</v>
      </c>
    </row>
    <row r="19" spans="1:12" x14ac:dyDescent="0.15">
      <c r="A19" s="25" t="s">
        <v>9</v>
      </c>
      <c r="B19" s="26"/>
      <c r="C19" s="27">
        <v>0.19</v>
      </c>
      <c r="D19" s="27">
        <v>0.18</v>
      </c>
      <c r="E19" s="27">
        <v>0.17</v>
      </c>
      <c r="F19" s="27">
        <v>0.16</v>
      </c>
      <c r="G19" s="27">
        <v>0.15</v>
      </c>
      <c r="H19" s="27">
        <v>0.14000000000000001</v>
      </c>
      <c r="I19" s="27">
        <v>0.13</v>
      </c>
      <c r="J19" s="27">
        <v>0.12</v>
      </c>
      <c r="K19" s="27">
        <v>0.11</v>
      </c>
      <c r="L19" s="27">
        <v>0.1</v>
      </c>
    </row>
    <row r="20" spans="1:12" x14ac:dyDescent="0.15">
      <c r="A20" s="25"/>
      <c r="B20" s="23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x14ac:dyDescent="0.15">
      <c r="A21" s="25" t="s">
        <v>10</v>
      </c>
      <c r="B21" s="27">
        <v>0.33169999999999999</v>
      </c>
      <c r="C21" s="26"/>
      <c r="D21" s="26"/>
      <c r="E21" s="26"/>
      <c r="F21" s="26">
        <v>0.4</v>
      </c>
      <c r="G21" s="26"/>
      <c r="H21" s="26"/>
      <c r="I21" s="26"/>
      <c r="J21" s="26"/>
      <c r="K21" s="26"/>
      <c r="L21" s="26"/>
    </row>
    <row r="22" spans="1:12" x14ac:dyDescent="0.15">
      <c r="A22" s="25" t="s">
        <v>11</v>
      </c>
      <c r="B22" s="27">
        <v>0.03</v>
      </c>
      <c r="C22" s="29" t="s">
        <v>12</v>
      </c>
      <c r="D22" s="26"/>
      <c r="E22" s="26"/>
      <c r="F22" s="26">
        <v>0.05</v>
      </c>
      <c r="G22" s="26"/>
      <c r="H22" s="26"/>
      <c r="I22" s="26"/>
      <c r="J22" s="26"/>
      <c r="K22" s="26"/>
      <c r="L22" s="26"/>
    </row>
    <row r="23" spans="1:12" x14ac:dyDescent="0.15">
      <c r="A23" s="25" t="s">
        <v>13</v>
      </c>
      <c r="B23" s="27">
        <v>0.09</v>
      </c>
      <c r="C23" s="23"/>
      <c r="D23" s="26"/>
      <c r="E23" s="26"/>
      <c r="F23" s="26">
        <v>0.2</v>
      </c>
      <c r="G23" s="26"/>
      <c r="H23" s="26"/>
      <c r="I23" s="26"/>
      <c r="J23" s="26"/>
      <c r="K23" s="26"/>
      <c r="L23" s="26"/>
    </row>
    <row r="24" spans="1:12" x14ac:dyDescent="0.15">
      <c r="A24" s="25"/>
      <c r="B24" s="26"/>
      <c r="C24" s="23"/>
      <c r="D24" s="26"/>
      <c r="E24" s="26"/>
      <c r="F24" s="26"/>
      <c r="G24" s="26"/>
      <c r="H24" s="26"/>
      <c r="I24" s="26"/>
      <c r="J24" s="26"/>
      <c r="K24" s="26"/>
      <c r="L24" s="26"/>
    </row>
    <row r="25" spans="1:12" x14ac:dyDescent="0.15">
      <c r="C25" s="34">
        <f t="shared" ref="C25:L25" si="1">C13</f>
        <v>2016</v>
      </c>
      <c r="D25" s="34">
        <f t="shared" si="1"/>
        <v>2017</v>
      </c>
      <c r="E25" s="34">
        <f t="shared" si="1"/>
        <v>2018</v>
      </c>
      <c r="F25" s="34">
        <f t="shared" si="1"/>
        <v>2019</v>
      </c>
      <c r="G25" s="34">
        <f t="shared" si="1"/>
        <v>2020</v>
      </c>
      <c r="H25" s="34">
        <f t="shared" si="1"/>
        <v>2021</v>
      </c>
      <c r="I25" s="34">
        <f t="shared" si="1"/>
        <v>2022</v>
      </c>
      <c r="J25" s="34">
        <f t="shared" si="1"/>
        <v>2023</v>
      </c>
      <c r="K25" s="34">
        <f t="shared" si="1"/>
        <v>2024</v>
      </c>
      <c r="L25" s="34">
        <f t="shared" si="1"/>
        <v>2025</v>
      </c>
    </row>
    <row r="26" spans="1:12" x14ac:dyDescent="0.15">
      <c r="A26" s="30" t="s">
        <v>14</v>
      </c>
    </row>
    <row r="27" spans="1:12" x14ac:dyDescent="0.15">
      <c r="A27" s="31" t="s">
        <v>15</v>
      </c>
      <c r="C27" s="32">
        <f>DCF!C16/DCF!C13</f>
        <v>0.50000000000000011</v>
      </c>
      <c r="D27" s="32">
        <f>DCF!D16/DCF!D13</f>
        <v>0.50999999857440403</v>
      </c>
      <c r="E27" s="32">
        <f>DCF!E16/DCF!E13</f>
        <v>0.52000000008932856</v>
      </c>
      <c r="F27" s="32">
        <f>DCF!F16/DCF!F13</f>
        <v>0.53000000074998199</v>
      </c>
      <c r="G27" s="32">
        <f>DCF!G16/DCF!G13</f>
        <v>0.540000000903477</v>
      </c>
      <c r="H27" s="32">
        <f>DCF!H16/DCF!H13</f>
        <v>0.5500000006242779</v>
      </c>
      <c r="I27" s="32">
        <f>DCF!I16/DCF!I13</f>
        <v>0.56000000107245396</v>
      </c>
      <c r="J27" s="32">
        <f>DCF!J16/DCF!J13</f>
        <v>0.56999999932780632</v>
      </c>
      <c r="K27" s="32">
        <f>DCF!K16/DCF!K13</f>
        <v>0.57999999916173084</v>
      </c>
      <c r="L27" s="32">
        <f>DCF!L16/DCF!L13</f>
        <v>0.59000000031436184</v>
      </c>
    </row>
    <row r="28" spans="1:12" x14ac:dyDescent="0.15">
      <c r="A28" s="31" t="s">
        <v>16</v>
      </c>
      <c r="C28" s="32">
        <f>DCF!C27/DCF!C13</f>
        <v>-9.9999998322828174E-2</v>
      </c>
      <c r="D28" s="32">
        <f>DCF!D27/DCF!D13</f>
        <v>9.9999963883467893E-3</v>
      </c>
      <c r="E28" s="32">
        <f>DCF!E27/DCF!E13</f>
        <v>0.10215514859227209</v>
      </c>
      <c r="F28" s="32">
        <f>DCF!F27/DCF!F13</f>
        <v>9.3562000464358058E-2</v>
      </c>
      <c r="G28" s="32">
        <f>DCF!G27/DCF!G13</f>
        <v>0.10692800178949247</v>
      </c>
      <c r="H28" s="32">
        <f>DCF!H27/DCF!H13</f>
        <v>0.12029399998004295</v>
      </c>
      <c r="I28" s="32">
        <f>DCF!I27/DCF!I13</f>
        <v>0.13366000090236116</v>
      </c>
      <c r="J28" s="32">
        <f>DCF!J27/DCF!J13</f>
        <v>0.14702599965932292</v>
      </c>
      <c r="K28" s="32">
        <f>DCF!K27/DCF!K13</f>
        <v>0.16039199892583639</v>
      </c>
      <c r="L28" s="32">
        <f>DCF!L27/DCF!L13</f>
        <v>0.17375800096383792</v>
      </c>
    </row>
    <row r="29" spans="1:12" x14ac:dyDescent="0.15">
      <c r="A29" s="31" t="s">
        <v>17</v>
      </c>
      <c r="C29" s="39">
        <f>DCF!C32/1000000</f>
        <v>-13.484630539999996</v>
      </c>
      <c r="D29" s="39">
        <f>DCF!D32/1000000</f>
        <v>13.925268840400031</v>
      </c>
      <c r="E29" s="39">
        <f>DCF!E32/1000000</f>
        <v>39.660698168026386</v>
      </c>
      <c r="F29" s="39">
        <f>DCF!F32/1000000</f>
        <v>32.136584165304193</v>
      </c>
      <c r="G29" s="39">
        <f>DCF!G32/1000000</f>
        <v>37.132241250543032</v>
      </c>
      <c r="H29" s="39">
        <f>DCF!H32/1000000</f>
        <v>45.95842572139793</v>
      </c>
      <c r="I29" s="39">
        <f>DCF!I32/1000000</f>
        <v>67.066530150768827</v>
      </c>
      <c r="J29" s="39">
        <f>DCF!J32/1000000</f>
        <v>90.759840087555887</v>
      </c>
      <c r="K29" s="39">
        <f>DCF!K32/1000000</f>
        <v>114.61512439190673</v>
      </c>
      <c r="L29" s="39">
        <f>DCF!L32/1000000</f>
        <v>137.32251299999999</v>
      </c>
    </row>
    <row r="30" spans="1:12" x14ac:dyDescent="0.15">
      <c r="A30" s="31" t="s">
        <v>18</v>
      </c>
      <c r="L30" s="39">
        <f>DCF!L34/1000000</f>
        <v>2357.369807</v>
      </c>
    </row>
    <row r="31" spans="1:12" x14ac:dyDescent="0.15">
      <c r="A31" s="31"/>
      <c r="L31" s="39"/>
    </row>
    <row r="32" spans="1:12" x14ac:dyDescent="0.15">
      <c r="A32" s="21" t="s">
        <v>19</v>
      </c>
      <c r="B32" s="24"/>
      <c r="C32" s="40">
        <f>DCF!B38/1000000</f>
        <v>354.99745300000001</v>
      </c>
    </row>
    <row r="33" spans="1:3" x14ac:dyDescent="0.15">
      <c r="A33" s="21"/>
      <c r="B33" s="24"/>
      <c r="C33" s="40"/>
    </row>
    <row r="34" spans="1:3" x14ac:dyDescent="0.15">
      <c r="A34" s="21" t="s">
        <v>20</v>
      </c>
      <c r="B34" s="24"/>
      <c r="C34" s="41">
        <f>DCF!B41/1000000</f>
        <v>461.86645299999998</v>
      </c>
    </row>
  </sheetData>
  <mergeCells count="3">
    <mergeCell ref="A8:L8"/>
    <mergeCell ref="A10:L10"/>
    <mergeCell ref="A1:L1"/>
  </mergeCells>
  <pageMargins left="1.64" right="0.27" top="1.54" bottom="0.23" header="0.27" footer="0.2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6:AI42"/>
  <sheetViews>
    <sheetView tabSelected="1" topLeftCell="A10" workbookViewId="0">
      <selection activeCell="B31" sqref="B31"/>
    </sheetView>
  </sheetViews>
  <sheetFormatPr baseColWidth="10" defaultColWidth="8.83203125" defaultRowHeight="13" x14ac:dyDescent="0.15"/>
  <cols>
    <col min="1" max="1" width="51.5" style="37" customWidth="1"/>
    <col min="2" max="2" width="12.1640625" style="37" bestFit="1" customWidth="1"/>
    <col min="3" max="3" width="12.5" style="37" customWidth="1"/>
    <col min="4" max="4" width="12.1640625" style="37" bestFit="1" customWidth="1"/>
    <col min="5" max="9" width="11.83203125" style="37" bestFit="1" customWidth="1"/>
    <col min="10" max="12" width="13.1640625" style="37" bestFit="1" customWidth="1"/>
  </cols>
  <sheetData>
    <row r="6" spans="1:35" ht="16" customHeight="1" x14ac:dyDescent="0.2">
      <c r="A6" s="53" t="str">
        <f>'Forecasting Variables'!A8:L8</f>
        <v>The Discounted Free Cash Flow Model for Starbucks (NYSE:SBUX)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1:35" x14ac:dyDescent="0.15">
      <c r="A7" s="36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35" x14ac:dyDescent="0.15">
      <c r="A8" s="51" t="str">
        <f>'Forecasting Variables'!A10:L10</f>
        <v>Starbucks (NYSE:SBUX)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</row>
    <row r="9" spans="1:35" x14ac:dyDescent="0.15">
      <c r="B9" s="51" t="s">
        <v>21</v>
      </c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35" x14ac:dyDescent="0.15">
      <c r="B10" s="9" t="s">
        <v>22</v>
      </c>
      <c r="C10" s="51" t="s">
        <v>23</v>
      </c>
      <c r="D10" s="52"/>
      <c r="E10" s="52"/>
      <c r="F10" s="52"/>
      <c r="G10" s="52"/>
      <c r="H10" s="52"/>
      <c r="I10" s="52"/>
      <c r="J10" s="52"/>
      <c r="K10" s="52"/>
      <c r="L10" s="52"/>
    </row>
    <row r="11" spans="1:35" x14ac:dyDescent="0.15">
      <c r="B11" s="2">
        <v>2016</v>
      </c>
      <c r="C11" s="2">
        <f t="shared" ref="C11:L11" si="0">B11+1</f>
        <v>2017</v>
      </c>
      <c r="D11" s="2">
        <f t="shared" si="0"/>
        <v>2018</v>
      </c>
      <c r="E11" s="2">
        <f t="shared" si="0"/>
        <v>2019</v>
      </c>
      <c r="F11" s="2">
        <f t="shared" si="0"/>
        <v>2020</v>
      </c>
      <c r="G11" s="2">
        <f t="shared" si="0"/>
        <v>2021</v>
      </c>
      <c r="H11" s="2">
        <f t="shared" si="0"/>
        <v>2022</v>
      </c>
      <c r="I11" s="2">
        <f t="shared" si="0"/>
        <v>2023</v>
      </c>
      <c r="J11" s="2">
        <f t="shared" si="0"/>
        <v>2024</v>
      </c>
      <c r="K11" s="2">
        <f t="shared" si="0"/>
        <v>2025</v>
      </c>
      <c r="L11" s="2">
        <f t="shared" si="0"/>
        <v>2026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3" spans="1:35" x14ac:dyDescent="0.15">
      <c r="A13" s="6" t="s">
        <v>24</v>
      </c>
      <c r="B13" s="42">
        <f>'10K-Data'!B3</f>
        <v>215639000</v>
      </c>
      <c r="C13" s="43">
        <f>B13*(1+'Forecasting Variables'!C14)</f>
        <v>238496734.00000003</v>
      </c>
      <c r="D13" s="43">
        <f>C13*(1+'Forecasting Variables'!D14)</f>
        <v>279041178.78000003</v>
      </c>
      <c r="E13" s="43">
        <f>D13*(1+'Forecasting Variables'!E14)</f>
        <v>318106943.80920005</v>
      </c>
      <c r="F13" s="43">
        <f>E13*(1+'Forecasting Variables'!F14)</f>
        <v>345464140.97679126</v>
      </c>
      <c r="G13" s="43">
        <f>F13*(1+'Forecasting Variables'!G14)</f>
        <v>380701483.35642397</v>
      </c>
      <c r="H13" s="43">
        <f>G13*(1+'Forecasting Variables'!H14)</f>
        <v>418771631.69206643</v>
      </c>
      <c r="I13" s="43">
        <f>H13*(1+'Forecasting Variables'!I14)</f>
        <v>454785992.0175842</v>
      </c>
      <c r="J13" s="43">
        <f>I13*(1+'Forecasting Variables'!J14)</f>
        <v>491623657.37100852</v>
      </c>
      <c r="K13" s="43">
        <f>J13*(1+'Forecasting Variables'!K14)</f>
        <v>526528937.04435009</v>
      </c>
      <c r="L13" s="43">
        <f>K13*(1+'Forecasting Variables'!L14)</f>
        <v>557594144.32996666</v>
      </c>
    </row>
    <row r="14" spans="1:35" x14ac:dyDescent="0.15">
      <c r="A14" s="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35" x14ac:dyDescent="0.15">
      <c r="A15" t="s">
        <v>25</v>
      </c>
      <c r="B15" s="3">
        <f>B13-B16</f>
        <v>131376000</v>
      </c>
      <c r="C15" s="17">
        <f>ROUND((C13*(1-'Forecasting Variables'!C15)),0)</f>
        <v>119248367</v>
      </c>
      <c r="D15" s="17">
        <f>ROUND((D13*(1-'Forecasting Variables'!D15)),0)</f>
        <v>136730178</v>
      </c>
      <c r="E15" s="17">
        <f>ROUND((E13*(1-'Forecasting Variables'!E15)),0)</f>
        <v>152691333</v>
      </c>
      <c r="F15" s="17">
        <f>ROUND((F13*(1-'Forecasting Variables'!F15)),0)</f>
        <v>162368146</v>
      </c>
      <c r="G15" s="17">
        <f>ROUND((G13*(1-'Forecasting Variables'!G15)),0)</f>
        <v>175122682</v>
      </c>
      <c r="H15" s="17">
        <f>ROUND((H13*(1-'Forecasting Variables'!H15)),0)</f>
        <v>188447234</v>
      </c>
      <c r="I15" s="17">
        <f>ROUND((I13*(1-'Forecasting Variables'!I15)),0)</f>
        <v>200105836</v>
      </c>
      <c r="J15" s="17">
        <f>ROUND((J13*(1-'Forecasting Variables'!J15)),0)</f>
        <v>211398173</v>
      </c>
      <c r="K15" s="17">
        <f>ROUND((K13*(1-'Forecasting Variables'!K15)),0)</f>
        <v>221142154</v>
      </c>
      <c r="L15" s="17">
        <f>ROUND((L13*(1-'Forecasting Variables'!L15)),0)</f>
        <v>228613599</v>
      </c>
    </row>
    <row r="16" spans="1:35" x14ac:dyDescent="0.15">
      <c r="A16" s="2" t="s">
        <v>26</v>
      </c>
      <c r="B16" s="5">
        <f>'10K-Data'!B4</f>
        <v>84263000</v>
      </c>
      <c r="C16" s="18">
        <f t="shared" ref="C16:L16" si="1">C13-C15</f>
        <v>119248367.00000003</v>
      </c>
      <c r="D16" s="18">
        <f t="shared" si="1"/>
        <v>142311000.78000003</v>
      </c>
      <c r="E16" s="18">
        <f t="shared" si="1"/>
        <v>165415610.80920005</v>
      </c>
      <c r="F16" s="18">
        <f t="shared" si="1"/>
        <v>183095994.97679126</v>
      </c>
      <c r="G16" s="18">
        <f t="shared" si="1"/>
        <v>205578801.35642397</v>
      </c>
      <c r="H16" s="18">
        <f t="shared" si="1"/>
        <v>230324397.69206643</v>
      </c>
      <c r="I16" s="18">
        <f t="shared" si="1"/>
        <v>254680156.0175842</v>
      </c>
      <c r="J16" s="18">
        <f t="shared" si="1"/>
        <v>280225484.37100852</v>
      </c>
      <c r="K16" s="18">
        <f t="shared" si="1"/>
        <v>305386783.04435009</v>
      </c>
      <c r="L16" s="18">
        <f t="shared" si="1"/>
        <v>328980545.32996666</v>
      </c>
    </row>
    <row r="18" spans="1:23" x14ac:dyDescent="0.15">
      <c r="A18" s="1" t="s">
        <v>27</v>
      </c>
      <c r="B18">
        <f>'10K-Data'!B5</f>
        <v>14194000</v>
      </c>
      <c r="C18" s="17">
        <f>ROUND((C13*'Forecasting Variables'!C16),0)</f>
        <v>119248367</v>
      </c>
      <c r="D18" s="17">
        <f>ROUND((D13*'Forecasting Variables'!D16),0)</f>
        <v>111616472</v>
      </c>
      <c r="E18" s="17">
        <f>ROUND((E13*'Forecasting Variables'!E16),0)</f>
        <v>95432083</v>
      </c>
      <c r="F18" s="17">
        <f>ROUND((F13*'Forecasting Variables'!F16),0)</f>
        <v>100184601</v>
      </c>
      <c r="G18" s="17">
        <f>ROUND((G13*'Forecasting Variables'!G16),0)</f>
        <v>106596415</v>
      </c>
      <c r="H18" s="17">
        <f>ROUND((H13*'Forecasting Variables'!H16),0)</f>
        <v>113068341</v>
      </c>
      <c r="I18" s="17">
        <f>ROUND((I13*'Forecasting Variables'!I16),0)</f>
        <v>118244358</v>
      </c>
      <c r="J18" s="17">
        <f>ROUND((J13*'Forecasting Variables'!J16),0)</f>
        <v>122905914</v>
      </c>
      <c r="K18" s="17">
        <f>ROUND((K13*'Forecasting Variables'!K16),0)</f>
        <v>126366945</v>
      </c>
      <c r="L18" s="17">
        <f>ROUND((L13*'Forecasting Variables'!L16),0)</f>
        <v>128246653</v>
      </c>
    </row>
    <row r="19" spans="1:23" x14ac:dyDescent="0.15">
      <c r="A19" s="2" t="s">
        <v>28</v>
      </c>
      <c r="B19" s="5">
        <f t="shared" ref="B19:L19" si="2">B16-B18</f>
        <v>70069000</v>
      </c>
      <c r="C19" s="18">
        <f t="shared" si="2"/>
        <v>0</v>
      </c>
      <c r="D19" s="18">
        <f t="shared" si="2"/>
        <v>30694528.780000031</v>
      </c>
      <c r="E19" s="18">
        <f t="shared" si="2"/>
        <v>69983527.809200048</v>
      </c>
      <c r="F19" s="18">
        <f t="shared" si="2"/>
        <v>82911393.976791263</v>
      </c>
      <c r="G19" s="18">
        <f t="shared" si="2"/>
        <v>98982386.356423974</v>
      </c>
      <c r="H19" s="18">
        <f t="shared" si="2"/>
        <v>117256056.69206643</v>
      </c>
      <c r="I19" s="18">
        <f t="shared" si="2"/>
        <v>136435798.0175842</v>
      </c>
      <c r="J19" s="18">
        <f t="shared" si="2"/>
        <v>157319570.37100852</v>
      </c>
      <c r="K19" s="18">
        <f t="shared" si="2"/>
        <v>179019838.04435009</v>
      </c>
      <c r="L19" s="18">
        <f t="shared" si="2"/>
        <v>200733892.32996666</v>
      </c>
    </row>
    <row r="20" spans="1:23" x14ac:dyDescent="0.1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23" x14ac:dyDescent="0.15">
      <c r="A21" t="s">
        <v>29</v>
      </c>
      <c r="B21" s="3">
        <f>'10K-Data'!B7</f>
        <v>10505000</v>
      </c>
      <c r="C21" s="17">
        <f>ROUND((C13*'Forecasting Variables'!C17),0)</f>
        <v>23849673</v>
      </c>
      <c r="D21" s="17">
        <f>ROUND((D13*'Forecasting Variables'!D17),0)</f>
        <v>27904118</v>
      </c>
      <c r="E21" s="17">
        <f>ROUND((E13*'Forecasting Variables'!E17),0)</f>
        <v>31810694</v>
      </c>
      <c r="F21" s="17">
        <f>ROUND((F13*'Forecasting Variables'!F17),0)</f>
        <v>34546414</v>
      </c>
      <c r="G21" s="17">
        <f>ROUND((G13*'Forecasting Variables'!G17),0)</f>
        <v>38070148</v>
      </c>
      <c r="H21" s="17">
        <f>ROUND((H13*'Forecasting Variables'!H17),0)</f>
        <v>41877163</v>
      </c>
      <c r="I21" s="17">
        <f>ROUND((I13*'Forecasting Variables'!I17),0)</f>
        <v>45478599</v>
      </c>
      <c r="J21" s="17">
        <f>ROUND((J13*'Forecasting Variables'!J17),0)</f>
        <v>49162366</v>
      </c>
      <c r="K21" s="17">
        <f>ROUND((K13*'Forecasting Variables'!K17),0)</f>
        <v>52652894</v>
      </c>
      <c r="L21" s="17">
        <f>ROUND((L13*'Forecasting Variables'!L17),0)</f>
        <v>55759414</v>
      </c>
    </row>
    <row r="22" spans="1:23" x14ac:dyDescent="0.15">
      <c r="A22" s="10" t="s">
        <v>30</v>
      </c>
      <c r="B22" s="5">
        <f t="shared" ref="B22:L22" si="3">B19-B21</f>
        <v>59564000</v>
      </c>
      <c r="C22" s="18">
        <f t="shared" si="3"/>
        <v>-23849673</v>
      </c>
      <c r="D22" s="18">
        <f t="shared" si="3"/>
        <v>2790410.780000031</v>
      </c>
      <c r="E22" s="18">
        <f t="shared" si="3"/>
        <v>38172833.809200048</v>
      </c>
      <c r="F22" s="18">
        <f t="shared" si="3"/>
        <v>48364979.976791263</v>
      </c>
      <c r="G22" s="18">
        <f t="shared" si="3"/>
        <v>60912238.356423974</v>
      </c>
      <c r="H22" s="18">
        <f t="shared" si="3"/>
        <v>75378893.692066431</v>
      </c>
      <c r="I22" s="18">
        <f t="shared" si="3"/>
        <v>90957199.017584205</v>
      </c>
      <c r="J22" s="18">
        <f t="shared" si="3"/>
        <v>108157204.37100852</v>
      </c>
      <c r="K22" s="18">
        <f t="shared" si="3"/>
        <v>126366944.04435009</v>
      </c>
      <c r="L22" s="18">
        <f t="shared" si="3"/>
        <v>144974478.32996666</v>
      </c>
    </row>
    <row r="23" spans="1:23" x14ac:dyDescent="0.15">
      <c r="A23" s="15" t="s">
        <v>31</v>
      </c>
      <c r="B23" s="13">
        <v>0</v>
      </c>
      <c r="C23" s="19">
        <f t="shared" ref="C23:L23" si="4">IF(B23+B22&lt;0,B23+B22,0)</f>
        <v>0</v>
      </c>
      <c r="D23" s="19">
        <f t="shared" si="4"/>
        <v>-23849673</v>
      </c>
      <c r="E23" s="19">
        <f t="shared" si="4"/>
        <v>-21059262.219999969</v>
      </c>
      <c r="F23" s="19">
        <f t="shared" si="4"/>
        <v>0</v>
      </c>
      <c r="G23" s="19">
        <f t="shared" si="4"/>
        <v>0</v>
      </c>
      <c r="H23" s="19">
        <f t="shared" si="4"/>
        <v>0</v>
      </c>
      <c r="I23" s="19">
        <f t="shared" si="4"/>
        <v>0</v>
      </c>
      <c r="J23" s="19">
        <f t="shared" si="4"/>
        <v>0</v>
      </c>
      <c r="K23" s="19">
        <f t="shared" si="4"/>
        <v>0</v>
      </c>
      <c r="L23" s="19">
        <f t="shared" si="4"/>
        <v>0</v>
      </c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15">
      <c r="A24" s="15" t="s">
        <v>32</v>
      </c>
      <c r="B24" s="13">
        <f t="shared" ref="B24:L24" si="5">IF(SUM(B22:B23)&lt;0,0,SUM(B22:B23))</f>
        <v>59564000</v>
      </c>
      <c r="C24" s="19">
        <f t="shared" si="5"/>
        <v>0</v>
      </c>
      <c r="D24" s="19">
        <f t="shared" si="5"/>
        <v>0</v>
      </c>
      <c r="E24" s="19">
        <f t="shared" si="5"/>
        <v>17113571.589200079</v>
      </c>
      <c r="F24" s="19">
        <f t="shared" si="5"/>
        <v>48364979.976791263</v>
      </c>
      <c r="G24" s="19">
        <f t="shared" si="5"/>
        <v>60912238.356423974</v>
      </c>
      <c r="H24" s="19">
        <f t="shared" si="5"/>
        <v>75378893.692066431</v>
      </c>
      <c r="I24" s="19">
        <f t="shared" si="5"/>
        <v>90957199.017584205</v>
      </c>
      <c r="J24" s="19">
        <f t="shared" si="5"/>
        <v>108157204.37100852</v>
      </c>
      <c r="K24" s="19">
        <f t="shared" si="5"/>
        <v>126366944.04435009</v>
      </c>
      <c r="L24" s="19">
        <f t="shared" si="5"/>
        <v>144974478.32996666</v>
      </c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15">
      <c r="A25" s="15"/>
      <c r="B25" s="1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15">
      <c r="A26" t="s">
        <v>33</v>
      </c>
      <c r="B26" s="3">
        <f>'10K-Data'!B9</f>
        <v>-12734000</v>
      </c>
      <c r="C26" s="17">
        <f>C24*'Forecasting Variables'!$B$21</f>
        <v>0</v>
      </c>
      <c r="D26" s="17">
        <f>D24*'Forecasting Variables'!$B$21</f>
        <v>0</v>
      </c>
      <c r="E26" s="17">
        <f>E24*'Forecasting Variables'!$B$21</f>
        <v>5676571.6961376667</v>
      </c>
      <c r="F26" s="17">
        <f>F24*'Forecasting Variables'!$B$21</f>
        <v>16042663.858301662</v>
      </c>
      <c r="G26" s="17">
        <f>G24*'Forecasting Variables'!$B$21</f>
        <v>20204589.462825831</v>
      </c>
      <c r="H26" s="17">
        <f>H24*'Forecasting Variables'!$B$21</f>
        <v>25003179.037658434</v>
      </c>
      <c r="I26" s="17">
        <f>I24*'Forecasting Variables'!$B$21</f>
        <v>30170502.914132681</v>
      </c>
      <c r="J26" s="17">
        <f>J24*'Forecasting Variables'!$B$21</f>
        <v>35875744.689863525</v>
      </c>
      <c r="K26" s="17">
        <f>K24*'Forecasting Variables'!$B$21</f>
        <v>41915915.339510925</v>
      </c>
      <c r="L26" s="17">
        <f>L24*'Forecasting Variables'!$B$21</f>
        <v>48088034.462049939</v>
      </c>
    </row>
    <row r="27" spans="1:23" x14ac:dyDescent="0.15">
      <c r="A27" s="2" t="s">
        <v>34</v>
      </c>
      <c r="B27" s="5">
        <f t="shared" ref="B27:L27" si="6">B22-B26</f>
        <v>72298000</v>
      </c>
      <c r="C27" s="18">
        <f t="shared" si="6"/>
        <v>-23849673</v>
      </c>
      <c r="D27" s="18">
        <f t="shared" si="6"/>
        <v>2790410.780000031</v>
      </c>
      <c r="E27" s="18">
        <f t="shared" si="6"/>
        <v>32496262.113062382</v>
      </c>
      <c r="F27" s="18">
        <f t="shared" si="6"/>
        <v>32322316.118489601</v>
      </c>
      <c r="G27" s="18">
        <f t="shared" si="6"/>
        <v>40707648.893598139</v>
      </c>
      <c r="H27" s="18">
        <f t="shared" si="6"/>
        <v>50375714.654407993</v>
      </c>
      <c r="I27" s="18">
        <f t="shared" si="6"/>
        <v>60786696.10345152</v>
      </c>
      <c r="J27" s="18">
        <f t="shared" si="6"/>
        <v>72281459.681144983</v>
      </c>
      <c r="K27" s="18">
        <f t="shared" si="6"/>
        <v>84451028.70483917</v>
      </c>
      <c r="L27" s="18">
        <f t="shared" si="6"/>
        <v>96886443.867916733</v>
      </c>
    </row>
    <row r="29" spans="1:23" x14ac:dyDescent="0.15">
      <c r="A29" t="s">
        <v>35</v>
      </c>
      <c r="B29" s="4">
        <f t="shared" ref="B29:L29" si="7">B21</f>
        <v>10505000</v>
      </c>
      <c r="C29" s="17">
        <f t="shared" si="7"/>
        <v>23849673</v>
      </c>
      <c r="D29" s="17">
        <f t="shared" si="7"/>
        <v>27904118</v>
      </c>
      <c r="E29" s="17">
        <f t="shared" si="7"/>
        <v>31810694</v>
      </c>
      <c r="F29" s="17">
        <f t="shared" si="7"/>
        <v>34546414</v>
      </c>
      <c r="G29" s="17">
        <f t="shared" si="7"/>
        <v>38070148</v>
      </c>
      <c r="H29" s="17">
        <f t="shared" si="7"/>
        <v>41877163</v>
      </c>
      <c r="I29" s="17">
        <f t="shared" si="7"/>
        <v>45478599</v>
      </c>
      <c r="J29" s="17">
        <f t="shared" si="7"/>
        <v>49162366</v>
      </c>
      <c r="K29" s="17">
        <f t="shared" si="7"/>
        <v>52652894</v>
      </c>
      <c r="L29" s="17">
        <f t="shared" si="7"/>
        <v>55759414</v>
      </c>
    </row>
    <row r="30" spans="1:23" x14ac:dyDescent="0.15">
      <c r="A30" s="1" t="s">
        <v>36</v>
      </c>
      <c r="B30" s="4">
        <f>'10K-Data'!B9</f>
        <v>-12734000</v>
      </c>
      <c r="C30" s="17">
        <f>B30*(1+'Forecasting Variables'!C18)</f>
        <v>-17827600</v>
      </c>
      <c r="D30" s="17">
        <f>C30*(1+'Forecasting Variables'!D18)</f>
        <v>-24067260</v>
      </c>
      <c r="E30" s="17">
        <f>D30*(1+'Forecasting Variables'!E18)</f>
        <v>-31287438</v>
      </c>
      <c r="F30" s="17">
        <f>E30*(1+'Forecasting Variables'!F18)</f>
        <v>-39109297.5</v>
      </c>
      <c r="G30" s="17">
        <f>F30*(1+'Forecasting Variables'!G18)</f>
        <v>-46931157.000000007</v>
      </c>
      <c r="H30" s="17">
        <f>G30*(1+'Forecasting Variables'!H18)</f>
        <v>-51624272.70000001</v>
      </c>
      <c r="I30" s="17">
        <f>H30*(1+'Forecasting Variables'!I18)</f>
        <v>-43880631.795000009</v>
      </c>
      <c r="J30" s="17">
        <f>I30*(1+'Forecasting Variables'!J18)</f>
        <v>-35104505.436000012</v>
      </c>
      <c r="K30" s="17">
        <f>J30*(1+'Forecasting Variables'!K18)</f>
        <v>-26328379.077000007</v>
      </c>
      <c r="L30" s="17">
        <f>K30*(1+'Forecasting Variables'!L18)</f>
        <v>-18429865.353900004</v>
      </c>
    </row>
    <row r="31" spans="1:23" x14ac:dyDescent="0.15">
      <c r="A31" s="1" t="s">
        <v>37</v>
      </c>
      <c r="B31" s="3"/>
      <c r="C31" s="17">
        <f>(C13-B13)*'Forecasting Variables'!C19</f>
        <v>4342969.4600000056</v>
      </c>
      <c r="D31" s="17">
        <f>(D13-C13)*'Forecasting Variables'!D19</f>
        <v>7298000.0603999998</v>
      </c>
      <c r="E31" s="17">
        <f>(E13-D13)*'Forecasting Variables'!E19</f>
        <v>6641180.0549640032</v>
      </c>
      <c r="F31" s="17">
        <f>(F13-E13)*'Forecasting Variables'!F19</f>
        <v>4377151.5468145944</v>
      </c>
      <c r="G31" s="17">
        <f>(G13-F13)*'Forecasting Variables'!G19</f>
        <v>5285601.3569449065</v>
      </c>
      <c r="H31" s="17">
        <f>(H13-G13)*'Forecasting Variables'!H19</f>
        <v>5329820.7669899445</v>
      </c>
      <c r="I31" s="17">
        <f>(I13-H13)*'Forecasting Variables'!I19</f>
        <v>4681866.8423173111</v>
      </c>
      <c r="J31" s="17">
        <f>(J13-I13)*'Forecasting Variables'!J19</f>
        <v>4420519.8424109174</v>
      </c>
      <c r="K31" s="17">
        <f>(K13-J13)*'Forecasting Variables'!K19</f>
        <v>3839580.764067573</v>
      </c>
      <c r="L31" s="17">
        <f>(L13-K13)*'Forecasting Variables'!L19</f>
        <v>3106520.7285616579</v>
      </c>
    </row>
    <row r="32" spans="1:23" x14ac:dyDescent="0.15">
      <c r="A32" s="2" t="s">
        <v>38</v>
      </c>
      <c r="B32" s="42">
        <f t="shared" ref="B32:K32" si="8">SUM(B27:B31)</f>
        <v>70069000</v>
      </c>
      <c r="C32" s="43">
        <f t="shared" si="8"/>
        <v>-13484630.539999995</v>
      </c>
      <c r="D32" s="43">
        <f t="shared" si="8"/>
        <v>13925268.840400031</v>
      </c>
      <c r="E32" s="43">
        <f t="shared" si="8"/>
        <v>39660698.168026388</v>
      </c>
      <c r="F32" s="43">
        <f t="shared" si="8"/>
        <v>32136584.165304195</v>
      </c>
      <c r="G32" s="43">
        <f t="shared" si="8"/>
        <v>37132241.250543036</v>
      </c>
      <c r="H32" s="43">
        <f t="shared" si="8"/>
        <v>45958425.721397929</v>
      </c>
      <c r="I32" s="43">
        <f t="shared" si="8"/>
        <v>67066530.150768824</v>
      </c>
      <c r="J32" s="43">
        <f t="shared" si="8"/>
        <v>90759840.087555885</v>
      </c>
      <c r="K32" s="43">
        <f t="shared" si="8"/>
        <v>114615124.39190674</v>
      </c>
      <c r="L32" s="43">
        <f>ROUND((SUM(L27:L31)),0)</f>
        <v>137322513</v>
      </c>
      <c r="M32" s="42"/>
    </row>
    <row r="33" spans="1:12" x14ac:dyDescent="0.15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</row>
    <row r="34" spans="1:12" x14ac:dyDescent="0.15">
      <c r="A34" s="6" t="s">
        <v>39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3">
        <f>ROUND(((L32*(1+'Forecasting Variables'!B22))/('Forecasting Variables'!B23-'Forecasting Variables'!B22)),0)</f>
        <v>2357369807</v>
      </c>
    </row>
    <row r="36" spans="1:12" x14ac:dyDescent="0.15">
      <c r="A36" s="1" t="s">
        <v>40</v>
      </c>
      <c r="C36" s="17">
        <f>ROUND((C32/((1+'Forecasting Variables'!$B$23)^(C11-2001))),0)</f>
        <v>-3396371</v>
      </c>
      <c r="D36" s="17">
        <f>ROUND((D32/((1+'Forecasting Variables'!$B$23)^(D11-2001))),0)</f>
        <v>3217756</v>
      </c>
      <c r="E36" s="17">
        <f>ROUND((E32/((1+'Forecasting Variables'!$B$23)^(E11-2001))),0)</f>
        <v>8407820</v>
      </c>
      <c r="F36" s="17">
        <f>ROUND((F32/((1+'Forecasting Variables'!$B$23)^(F11-2001))),0)</f>
        <v>6250234</v>
      </c>
      <c r="G36" s="17">
        <f>ROUND((G32/((1+'Forecasting Variables'!$B$23)^(G11-2001))),0)</f>
        <v>6625539</v>
      </c>
      <c r="H36" s="17">
        <f>ROUND((H32/((1+'Forecasting Variables'!$B$23)^(H11-2001))),0)</f>
        <v>7523305</v>
      </c>
      <c r="I36" s="17">
        <f>ROUND((I32/((1+'Forecasting Variables'!$B$23)^(I11-2001))),0)</f>
        <v>10072166</v>
      </c>
      <c r="J36" s="17">
        <f>ROUND((J32/((1+'Forecasting Variables'!$B$23)^(J11-2001))),0)</f>
        <v>12505017</v>
      </c>
      <c r="K36" s="17">
        <f>ROUND((K32/((1+'Forecasting Variables'!$B$23)^(K11-2001))),0)</f>
        <v>14487918</v>
      </c>
      <c r="L36" s="17">
        <f>ROUND(((L32+L34)/((1+'Forecasting Variables'!$B$23)^(L11-2001))),0)</f>
        <v>289304069</v>
      </c>
    </row>
    <row r="37" spans="1:12" x14ac:dyDescent="0.15">
      <c r="A37" s="11"/>
    </row>
    <row r="38" spans="1:12" x14ac:dyDescent="0.15">
      <c r="A38" s="6" t="s">
        <v>41</v>
      </c>
      <c r="B38" s="43">
        <f>SUM(C36:L36)</f>
        <v>354997453</v>
      </c>
      <c r="C38" s="45">
        <f>B38/2196000</f>
        <v>161.65639936247723</v>
      </c>
    </row>
    <row r="39" spans="1:12" x14ac:dyDescent="0.15">
      <c r="A39" s="6" t="s">
        <v>42</v>
      </c>
      <c r="B39" s="17">
        <f>'10K-Data'!B8</f>
        <v>106869000</v>
      </c>
      <c r="C39" s="16"/>
    </row>
    <row r="40" spans="1:12" x14ac:dyDescent="0.15">
      <c r="A40" s="12"/>
      <c r="C40" s="42"/>
    </row>
    <row r="41" spans="1:12" x14ac:dyDescent="0.15">
      <c r="A41" s="6" t="s">
        <v>43</v>
      </c>
      <c r="B41" s="43">
        <f>B38+SUM(B39:B39)</f>
        <v>461866453</v>
      </c>
      <c r="C41" s="45">
        <f>B41/2196000</f>
        <v>210.32169990892532</v>
      </c>
    </row>
    <row r="42" spans="1:12" x14ac:dyDescent="0.15">
      <c r="B42" s="9"/>
      <c r="C42" s="42"/>
    </row>
  </sheetData>
  <mergeCells count="4">
    <mergeCell ref="C10:L10"/>
    <mergeCell ref="A8:L8"/>
    <mergeCell ref="A6:L6"/>
    <mergeCell ref="B9:L9"/>
  </mergeCells>
  <pageMargins left="0.37" right="0.35" top="0.75" bottom="0.75" header="0.5" footer="0.5"/>
  <pageSetup scale="7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baseColWidth="10" defaultColWidth="8.83203125" defaultRowHeight="13" x14ac:dyDescent="0.15"/>
  <sheetData>
    <row r="1" spans="1:3" x14ac:dyDescent="0.15">
      <c r="A1" s="46" t="s">
        <v>44</v>
      </c>
      <c r="B1" s="46" t="s">
        <v>45</v>
      </c>
      <c r="C1" s="46" t="s">
        <v>46</v>
      </c>
    </row>
    <row r="2" spans="1:3" x14ac:dyDescent="0.15">
      <c r="A2" t="s">
        <v>47</v>
      </c>
      <c r="B2" t="s">
        <v>47</v>
      </c>
      <c r="C2" t="s">
        <v>48</v>
      </c>
    </row>
    <row r="3" spans="1:3" x14ac:dyDescent="0.15">
      <c r="A3">
        <v>215639000000</v>
      </c>
      <c r="B3">
        <v>215639000</v>
      </c>
      <c r="C3" t="s">
        <v>49</v>
      </c>
    </row>
    <row r="4" spans="1:3" x14ac:dyDescent="0.15">
      <c r="A4">
        <v>84263000000</v>
      </c>
      <c r="B4">
        <v>84263000</v>
      </c>
      <c r="C4" t="s">
        <v>50</v>
      </c>
    </row>
    <row r="5" spans="1:3" x14ac:dyDescent="0.15">
      <c r="A5">
        <v>14194000000</v>
      </c>
      <c r="B5">
        <v>14194000</v>
      </c>
      <c r="C5" t="s">
        <v>51</v>
      </c>
    </row>
    <row r="6" spans="1:3" x14ac:dyDescent="0.15">
      <c r="A6">
        <v>60024000000</v>
      </c>
      <c r="B6">
        <v>60024000</v>
      </c>
      <c r="C6" t="s">
        <v>52</v>
      </c>
    </row>
    <row r="7" spans="1:3" x14ac:dyDescent="0.15">
      <c r="A7">
        <v>10505000000</v>
      </c>
      <c r="B7">
        <v>10505000</v>
      </c>
      <c r="C7" t="s">
        <v>53</v>
      </c>
    </row>
    <row r="8" spans="1:3" x14ac:dyDescent="0.15">
      <c r="A8">
        <v>106869000000</v>
      </c>
      <c r="B8">
        <v>106869000</v>
      </c>
      <c r="C8" t="s">
        <v>54</v>
      </c>
    </row>
    <row r="9" spans="1:3" x14ac:dyDescent="0.15">
      <c r="A9">
        <v>-12734000000</v>
      </c>
      <c r="B9">
        <v>-12734000</v>
      </c>
      <c r="C9" t="s">
        <v>55</v>
      </c>
    </row>
    <row r="10" spans="1:3" x14ac:dyDescent="0.15">
      <c r="A10">
        <v>0.34331429071727187</v>
      </c>
      <c r="B10">
        <v>0.34331429071727187</v>
      </c>
      <c r="C10" t="s">
        <v>56</v>
      </c>
    </row>
    <row r="11" spans="1:3" x14ac:dyDescent="0.15">
      <c r="A11">
        <v>0.35623669580269629</v>
      </c>
      <c r="B11">
        <v>0.35623669580269629</v>
      </c>
      <c r="C11" t="s">
        <v>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Forecasting Variables</vt:lpstr>
      <vt:lpstr>DCF</vt:lpstr>
      <vt:lpstr>10K-Data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Andrew</dc:creator>
  <cp:lastModifiedBy>Microsoft Office User</cp:lastModifiedBy>
  <cp:lastPrinted>2002-06-24T01:44:25Z</cp:lastPrinted>
  <dcterms:created xsi:type="dcterms:W3CDTF">2001-07-06T03:38:25Z</dcterms:created>
  <dcterms:modified xsi:type="dcterms:W3CDTF">2017-01-29T19:58:56Z</dcterms:modified>
</cp:coreProperties>
</file>