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ke\GitHub\Rice_Field_Damage_Philippines\app\data\source_data\rice_losses\"/>
    </mc:Choice>
  </mc:AlternateContent>
  <xr:revisionPtr revIDLastSave="0" documentId="8_{BC9A366C-55EB-4470-B89F-2BDEA88E59C1}" xr6:coauthVersionLast="47" xr6:coauthVersionMax="47" xr10:uidLastSave="{00000000-0000-0000-0000-000000000000}"/>
  <bookViews>
    <workbookView xWindow="-120" yWindow="-120" windowWidth="29040" windowHeight="16440" xr2:uid="{984448A1-9C3D-4D4C-9101-B6AFD3297D12}"/>
  </bookViews>
  <sheets>
    <sheet name="Region 1" sheetId="1" r:id="rId1"/>
    <sheet name="Rosita" sheetId="6" state="hidden" r:id="rId2"/>
    <sheet name="Ompong" sheetId="7" state="hidden" r:id="rId3"/>
    <sheet name="Karen" sheetId="8" state="hidden" r:id="rId4"/>
    <sheet name="Lawin" sheetId="9" state="hidden" r:id="rId5"/>
    <sheet name="Egay " sheetId="10" state="hidden" r:id="rId6"/>
    <sheet name="Ineng" sheetId="11" state="hidden" r:id="rId7"/>
    <sheet name="Kabayan" sheetId="12" state="hidden" r:id="rId8"/>
    <sheet name="Lando" sheetId="13" state="hidden" r:id="rId9"/>
    <sheet name="Nona" sheetId="14" state="hidden" r:id="rId10"/>
    <sheet name="Glenda" sheetId="15" state="hidden" r:id="rId11"/>
    <sheet name="Luis and Mario" sheetId="16" state="hidden" r:id="rId12"/>
    <sheet name="Maring" sheetId="17" state="hidden" r:id="rId13"/>
    <sheet name="Odette" sheetId="18" state="hidden" r:id="rId14"/>
    <sheet name="Vinta" sheetId="19" state="hidden" r:id="rId15"/>
    <sheet name="Pedring" sheetId="20" state="hidden" r:id="rId16"/>
    <sheet name="Ondoy" sheetId="21" state="hidden" r:id="rId17"/>
    <sheet name="Pepito" sheetId="2" state="hidden" r:id="rId18"/>
    <sheet name="Quinta" sheetId="3" state="hidden" r:id="rId19"/>
    <sheet name="Ulysses" sheetId="4" state="hidden" r:id="rId20"/>
  </sheets>
  <externalReferences>
    <externalReference r:id="rId21"/>
  </externalReferences>
  <definedNames>
    <definedName name="_xlnm._FilterDatabase" localSheetId="2" hidden="1">Ompong!#REF!</definedName>
    <definedName name="_xlnm._FilterDatabase" localSheetId="0" hidden="1">'Region 1'!$A$2:$BI$127</definedName>
    <definedName name="_xlnm._FilterDatabase" localSheetId="1" hidden="1">Rosita!$A$21:$C$27</definedName>
    <definedName name="EGAY_LU">'Egay '!$B$28:$T$83</definedName>
    <definedName name="EGAY_PANGASINAN">'Egay '!$B$20:$T$24</definedName>
    <definedName name="INENG_IN">Ineng!$B$20:$T$88</definedName>
    <definedName name="INENG_IS">Ineng!$B$90:$T$156</definedName>
    <definedName name="INENG_LU">Ineng!$B$186:$T$202</definedName>
    <definedName name="INENG_PANGASINAN">Ineng!$B$159:$T$184</definedName>
    <definedName name="KABAYAN_PANGASINAN">Kabayan!$B$23:$T$107</definedName>
    <definedName name="LANDO_ILOCOS_N">Lando!$B$69:$S$117</definedName>
    <definedName name="LANDO_ILOCOS_S">Lando!$B$121:$S$168</definedName>
    <definedName name="Lando_IN">Lando!$B$121:$S$168</definedName>
    <definedName name="Lando_LU">Lando!$B$22:$S$66</definedName>
    <definedName name="LANDO_PANGASINAN">Lando!$B$172:$S$392</definedName>
    <definedName name="LAWIN_IS">Lawin!$B$56:$S$144</definedName>
    <definedName name="LAWIN_LN">Lawin!$B$148:$S$232</definedName>
    <definedName name="LAWIN_PANGASINAN">Lawin!$B$236:$S$293</definedName>
    <definedName name="LUIS_IN">'Luis and Mario'!$B$208:$Q$262</definedName>
    <definedName name="LUIS_IS">'Luis and Mario'!$B$165:$Q$204</definedName>
    <definedName name="LUIS_LU">'Luis and Mario'!$B$143:$Q$161</definedName>
    <definedName name="LUIS_PANGASINAN">'Luis and Mario'!$B$21:$Q$140</definedName>
    <definedName name="MARING_IN">Maring!$B$22:$Q$40</definedName>
    <definedName name="MARING_IS">Maring!$B$44:$Q$119</definedName>
    <definedName name="MARING_LU">Maring!$B$123:$Q$139</definedName>
    <definedName name="MARING_PANGASINAN">Maring!$B$143:$Q$228</definedName>
    <definedName name="Nona_Pangasinan">Nona!$B$22:$T$31</definedName>
    <definedName name="ODETTE_IN">Odette!$B$23:$Q$51</definedName>
    <definedName name="ODETTE_IS">Odette!$B$54:$Q$54</definedName>
    <definedName name="Ompong_IS">Ompong!$B$27:$S$126</definedName>
    <definedName name="Ompong_LU">Ompong!$B$130:$S$187</definedName>
    <definedName name="Ompong_Pangasinan">Ompong!$B$191:$S$400</definedName>
    <definedName name="ONDOY_LU">Ondoy!$B$43:$K$45</definedName>
    <definedName name="ONDOY_PANGASINAN">Ondoy!$B$16:$K$39</definedName>
    <definedName name="PEDRING_IS">Pedring!$B$62:$Q$74</definedName>
    <definedName name="PEDRING_LU">Pedring!$B$22:$Q$59</definedName>
    <definedName name="PEDRING_PANGASINAN">Pedring!$B$77:$Q$204</definedName>
    <definedName name="PEPITO">Pepito!$B$22:$Y$53</definedName>
    <definedName name="_xlnm.Print_Area" localSheetId="5">'Egay '!$A$1:$T$95</definedName>
    <definedName name="_xlnm.Print_Area" localSheetId="10">Glenda!$A$1:$T$59</definedName>
    <definedName name="_xlnm.Print_Area" localSheetId="6">Ineng!$A$1:$T$203</definedName>
    <definedName name="_xlnm.Print_Area" localSheetId="7">Kabayan!$A$1:$T$112</definedName>
    <definedName name="_xlnm.Print_Area" localSheetId="3">Karen!$A$1:$T$81</definedName>
    <definedName name="_xlnm.Print_Area" localSheetId="8">Lando!$A$1:$S$393</definedName>
    <definedName name="_xlnm.Print_Area" localSheetId="4">Lawin!$A$1:$S$302</definedName>
    <definedName name="_xlnm.Print_Area" localSheetId="12">Maring!$A$1:$Q$234</definedName>
    <definedName name="_xlnm.Print_Area" localSheetId="9">Nona!$A$1:$T$39</definedName>
    <definedName name="_xlnm.Print_Area" localSheetId="2">Ompong!$A$1:$S$408</definedName>
    <definedName name="_xlnm.Print_Area" localSheetId="16">Ondoy!$A$1:$L$52</definedName>
    <definedName name="_xlnm.Print_Area" localSheetId="15">Pedring!$A$1:$Q$212</definedName>
    <definedName name="_xlnm.Print_Area" localSheetId="17">Pepito!$A$1:$Y$63</definedName>
    <definedName name="_xlnm.Print_Area" localSheetId="1">Rosita!$A$1:$S$74</definedName>
    <definedName name="_xlnm.Print_Titles" localSheetId="5">'Egay '!$1:$18</definedName>
    <definedName name="_xlnm.Print_Titles" localSheetId="6">Ineng!$1:$18</definedName>
    <definedName name="_xlnm.Print_Titles" localSheetId="7">Kabayan!$1:$17</definedName>
    <definedName name="_xlnm.Print_Titles" localSheetId="3">Karen!$1:$18</definedName>
    <definedName name="_xlnm.Print_Titles" localSheetId="8">Lando!$1:$17</definedName>
    <definedName name="_xlnm.Print_Titles" localSheetId="4">Lawin!$1:$18</definedName>
    <definedName name="_xlnm.Print_Titles" localSheetId="12">Maring!$1:$18</definedName>
    <definedName name="_xlnm.Print_Titles" localSheetId="9">Nona!$1:$17</definedName>
    <definedName name="_xlnm.Print_Titles" localSheetId="2">Ompong!$1:$18</definedName>
    <definedName name="_xlnm.Print_Titles" localSheetId="16">Ondoy!$1:$11</definedName>
    <definedName name="_xlnm.Print_Titles" localSheetId="15">Pedring!$1:$18</definedName>
    <definedName name="_xlnm.Print_Titles" localSheetId="17">Pepito!$14:$18</definedName>
    <definedName name="_xlnm.Print_Titles" localSheetId="1">Rosita!$1:$18</definedName>
    <definedName name="QUINTA">Quinta!$B$22:$Y$29</definedName>
    <definedName name="Rosita_LU">Rosita!$B$21:$S$25</definedName>
    <definedName name="Rosita_Pangasinan">Rosita!$B$27:$S$66</definedName>
    <definedName name="Ulysses_Ilocos">Ulysses!$A$22:$X$30</definedName>
    <definedName name="Ulysses_Pangasinan">Ulysses!$A$32:$X$112</definedName>
    <definedName name="VINTA_IN">Vinta!$B$24:$T$56</definedName>
    <definedName name="VINTA_IS">Vinta!$B$60:$T$60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M81" i="1" l="1"/>
  <c r="DN81" i="1"/>
  <c r="DM82" i="1"/>
  <c r="DN82" i="1"/>
  <c r="DO82" i="1"/>
  <c r="DP82" i="1"/>
  <c r="DQ82" i="1"/>
  <c r="DM83" i="1"/>
  <c r="DN83" i="1"/>
  <c r="DO83" i="1" s="1"/>
  <c r="DP83" i="1"/>
  <c r="DQ83" i="1"/>
  <c r="DM84" i="1"/>
  <c r="DN84" i="1"/>
  <c r="DP84" i="1"/>
  <c r="DQ84" i="1"/>
  <c r="DM85" i="1"/>
  <c r="DN85" i="1"/>
  <c r="DO85" i="1" s="1"/>
  <c r="DP85" i="1"/>
  <c r="DQ85" i="1"/>
  <c r="DM86" i="1"/>
  <c r="DN86" i="1"/>
  <c r="DO86" i="1"/>
  <c r="DP86" i="1"/>
  <c r="DQ86" i="1"/>
  <c r="DM87" i="1"/>
  <c r="DN87" i="1"/>
  <c r="DP87" i="1"/>
  <c r="DQ87" i="1"/>
  <c r="DM88" i="1"/>
  <c r="DN88" i="1"/>
  <c r="DO88" i="1"/>
  <c r="DP88" i="1"/>
  <c r="DQ88" i="1"/>
  <c r="DM89" i="1"/>
  <c r="DN89" i="1"/>
  <c r="DP89" i="1"/>
  <c r="DQ89" i="1"/>
  <c r="DM90" i="1"/>
  <c r="DN90" i="1"/>
  <c r="DO90" i="1"/>
  <c r="DP90" i="1"/>
  <c r="DQ90" i="1"/>
  <c r="DM91" i="1"/>
  <c r="DN91" i="1"/>
  <c r="DO91" i="1" s="1"/>
  <c r="DP91" i="1"/>
  <c r="DQ91" i="1"/>
  <c r="DM92" i="1"/>
  <c r="DN92" i="1"/>
  <c r="DP92" i="1"/>
  <c r="DQ92" i="1"/>
  <c r="DM93" i="1"/>
  <c r="DN93" i="1"/>
  <c r="DO93" i="1" s="1"/>
  <c r="DM94" i="1"/>
  <c r="DN94" i="1"/>
  <c r="DO94" i="1"/>
  <c r="DP94" i="1"/>
  <c r="DQ94" i="1"/>
  <c r="DM95" i="1"/>
  <c r="DN95" i="1"/>
  <c r="DM96" i="1"/>
  <c r="DN96" i="1"/>
  <c r="DO96" i="1"/>
  <c r="DP96" i="1"/>
  <c r="DQ96" i="1"/>
  <c r="DM97" i="1"/>
  <c r="DN97" i="1"/>
  <c r="DP97" i="1"/>
  <c r="DQ97" i="1"/>
  <c r="DM98" i="1"/>
  <c r="DM99" i="1"/>
  <c r="DN99" i="1"/>
  <c r="DO99" i="1" s="1"/>
  <c r="DM100" i="1"/>
  <c r="DN100" i="1"/>
  <c r="DP100" i="1"/>
  <c r="DQ100" i="1"/>
  <c r="DM101" i="1"/>
  <c r="DN101" i="1"/>
  <c r="DO101" i="1" s="1"/>
  <c r="DP101" i="1"/>
  <c r="DQ101" i="1"/>
  <c r="DM102" i="1"/>
  <c r="DN102" i="1"/>
  <c r="DO102" i="1"/>
  <c r="DM103" i="1"/>
  <c r="DN103" i="1"/>
  <c r="DM104" i="1"/>
  <c r="DN104" i="1"/>
  <c r="DO104" i="1"/>
  <c r="DM105" i="1"/>
  <c r="DN105" i="1"/>
  <c r="DP105" i="1"/>
  <c r="DQ105" i="1"/>
  <c r="DM106" i="1"/>
  <c r="DN106" i="1"/>
  <c r="DO106" i="1"/>
  <c r="DP106" i="1"/>
  <c r="DQ106" i="1"/>
  <c r="DM107" i="1"/>
  <c r="DM108" i="1"/>
  <c r="DN108" i="1"/>
  <c r="DP108" i="1"/>
  <c r="DQ108" i="1"/>
  <c r="DM109" i="1"/>
  <c r="DN109" i="1"/>
  <c r="DO109" i="1" s="1"/>
  <c r="DM110" i="1"/>
  <c r="DN110" i="1"/>
  <c r="DO110" i="1"/>
  <c r="DP110" i="1"/>
  <c r="DQ110" i="1"/>
  <c r="DM111" i="1"/>
  <c r="DN111" i="1"/>
  <c r="DP111" i="1"/>
  <c r="DQ111" i="1"/>
  <c r="DM112" i="1"/>
  <c r="DN112" i="1"/>
  <c r="DO112" i="1"/>
  <c r="DP112" i="1"/>
  <c r="DQ112" i="1"/>
  <c r="DM113" i="1"/>
  <c r="DN113" i="1"/>
  <c r="DP113" i="1"/>
  <c r="DQ113" i="1"/>
  <c r="DM114" i="1"/>
  <c r="DN114" i="1"/>
  <c r="DO114" i="1"/>
  <c r="DP114" i="1"/>
  <c r="DQ114" i="1"/>
  <c r="DM115" i="1"/>
  <c r="DN115" i="1"/>
  <c r="DO115" i="1" s="1"/>
  <c r="DP115" i="1"/>
  <c r="DQ115" i="1"/>
  <c r="DM116" i="1"/>
  <c r="DN116" i="1"/>
  <c r="DP116" i="1"/>
  <c r="DQ116" i="1"/>
  <c r="DM117" i="1"/>
  <c r="DN117" i="1"/>
  <c r="DO117" i="1" s="1"/>
  <c r="DP117" i="1"/>
  <c r="DQ117" i="1"/>
  <c r="DM118" i="1"/>
  <c r="DN118" i="1"/>
  <c r="DO118" i="1" s="1"/>
  <c r="DP118" i="1"/>
  <c r="DQ118" i="1"/>
  <c r="DM119" i="1"/>
  <c r="DN119" i="1"/>
  <c r="DP119" i="1"/>
  <c r="DQ119" i="1"/>
  <c r="DM120" i="1"/>
  <c r="DN120" i="1"/>
  <c r="DO120" i="1"/>
  <c r="DP120" i="1"/>
  <c r="DQ120" i="1"/>
  <c r="DM121" i="1"/>
  <c r="DN121" i="1"/>
  <c r="DP121" i="1"/>
  <c r="DQ121" i="1"/>
  <c r="DM122" i="1"/>
  <c r="DN122" i="1"/>
  <c r="DO122" i="1"/>
  <c r="DP122" i="1"/>
  <c r="DQ122" i="1"/>
  <c r="DM123" i="1"/>
  <c r="DN123" i="1"/>
  <c r="DO123" i="1" s="1"/>
  <c r="DP123" i="1"/>
  <c r="DQ123" i="1"/>
  <c r="DM124" i="1"/>
  <c r="DN124" i="1"/>
  <c r="DP124" i="1"/>
  <c r="DQ124" i="1"/>
  <c r="DM125" i="1"/>
  <c r="DN125" i="1"/>
  <c r="DO125" i="1" s="1"/>
  <c r="DP125" i="1"/>
  <c r="DQ125" i="1"/>
  <c r="DM126" i="1"/>
  <c r="DN126" i="1"/>
  <c r="DO126" i="1"/>
  <c r="DP126" i="1"/>
  <c r="DQ126" i="1"/>
  <c r="DM127" i="1"/>
  <c r="DN127" i="1"/>
  <c r="DN80" i="1"/>
  <c r="DM80" i="1"/>
  <c r="DL73" i="1"/>
  <c r="DL61" i="1"/>
  <c r="DM61" i="1"/>
  <c r="DN61" i="1"/>
  <c r="DP61" i="1"/>
  <c r="DQ61" i="1"/>
  <c r="DL62" i="1"/>
  <c r="DM62" i="1"/>
  <c r="DN62" i="1"/>
  <c r="DP62" i="1"/>
  <c r="DQ62" i="1"/>
  <c r="DL63" i="1"/>
  <c r="DM63" i="1"/>
  <c r="DN63" i="1"/>
  <c r="DO63" i="1"/>
  <c r="DP63" i="1"/>
  <c r="DQ63" i="1"/>
  <c r="DL64" i="1"/>
  <c r="DM64" i="1"/>
  <c r="DN64" i="1"/>
  <c r="DO64" i="1"/>
  <c r="DP64" i="1"/>
  <c r="DQ64" i="1"/>
  <c r="DL65" i="1"/>
  <c r="DM65" i="1"/>
  <c r="DN65" i="1"/>
  <c r="DP65" i="1"/>
  <c r="DQ65" i="1"/>
  <c r="DL66" i="1"/>
  <c r="DM66" i="1"/>
  <c r="DN66" i="1"/>
  <c r="DP66" i="1"/>
  <c r="DQ66" i="1"/>
  <c r="DL67" i="1"/>
  <c r="DM67" i="1"/>
  <c r="DN67" i="1"/>
  <c r="DO67" i="1"/>
  <c r="DP67" i="1"/>
  <c r="DQ67" i="1"/>
  <c r="DL68" i="1"/>
  <c r="DM68" i="1"/>
  <c r="DN68" i="1"/>
  <c r="DO68" i="1"/>
  <c r="DP68" i="1"/>
  <c r="DQ68" i="1"/>
  <c r="DL69" i="1"/>
  <c r="DM69" i="1"/>
  <c r="DN69" i="1"/>
  <c r="DP69" i="1"/>
  <c r="DQ69" i="1"/>
  <c r="DL70" i="1"/>
  <c r="DM70" i="1"/>
  <c r="DN70" i="1"/>
  <c r="DP70" i="1"/>
  <c r="DQ70" i="1"/>
  <c r="DL71" i="1"/>
  <c r="DM71" i="1"/>
  <c r="DN71" i="1"/>
  <c r="DP71" i="1"/>
  <c r="DQ71" i="1"/>
  <c r="DL72" i="1"/>
  <c r="DM72" i="1"/>
  <c r="DN72" i="1"/>
  <c r="DP72" i="1"/>
  <c r="DQ72" i="1"/>
  <c r="DM73" i="1"/>
  <c r="DL74" i="1"/>
  <c r="DM74" i="1"/>
  <c r="DN74" i="1"/>
  <c r="DP74" i="1"/>
  <c r="DQ74" i="1"/>
  <c r="DL75" i="1"/>
  <c r="DM75" i="1"/>
  <c r="DN75" i="1"/>
  <c r="DO75" i="1"/>
  <c r="DP75" i="1"/>
  <c r="DQ75" i="1"/>
  <c r="DL76" i="1"/>
  <c r="DM76" i="1"/>
  <c r="DN76" i="1"/>
  <c r="DO76" i="1"/>
  <c r="DP76" i="1"/>
  <c r="DQ76" i="1"/>
  <c r="DL77" i="1"/>
  <c r="DM77" i="1"/>
  <c r="DN77" i="1"/>
  <c r="DP77" i="1"/>
  <c r="DQ77" i="1"/>
  <c r="DL78" i="1"/>
  <c r="DM78" i="1"/>
  <c r="DN78" i="1"/>
  <c r="DP78" i="1"/>
  <c r="DQ78" i="1"/>
  <c r="DL79" i="1"/>
  <c r="DM79" i="1"/>
  <c r="DN79" i="1"/>
  <c r="DO79" i="1"/>
  <c r="DP79" i="1"/>
  <c r="DQ79" i="1"/>
  <c r="DQ60" i="1"/>
  <c r="DP60" i="1"/>
  <c r="DN60" i="1"/>
  <c r="DM60" i="1"/>
  <c r="DL60" i="1"/>
  <c r="I43" i="21"/>
  <c r="H43" i="21"/>
  <c r="F43" i="21"/>
  <c r="DN73" i="1" s="1"/>
  <c r="H35" i="21"/>
  <c r="I35" i="21"/>
  <c r="F35" i="21"/>
  <c r="G45" i="21"/>
  <c r="J45" i="21" s="1"/>
  <c r="G44" i="21"/>
  <c r="G43" i="21" s="1"/>
  <c r="F42" i="21"/>
  <c r="E42" i="21"/>
  <c r="D42" i="21"/>
  <c r="D38" i="21" s="1"/>
  <c r="D34" i="21" s="1"/>
  <c r="D32" i="21" s="1"/>
  <c r="F41" i="21"/>
  <c r="E41" i="21"/>
  <c r="G39" i="21"/>
  <c r="K39" i="21" s="1"/>
  <c r="F38" i="21"/>
  <c r="E38" i="21"/>
  <c r="G37" i="21"/>
  <c r="K37" i="21" s="1"/>
  <c r="G36" i="21"/>
  <c r="F34" i="21"/>
  <c r="E34" i="21"/>
  <c r="G33" i="21"/>
  <c r="F32" i="21"/>
  <c r="E32" i="21"/>
  <c r="G31" i="21"/>
  <c r="J31" i="21" s="1"/>
  <c r="DP81" i="1" s="1"/>
  <c r="G30" i="21"/>
  <c r="K30" i="21" s="1"/>
  <c r="DQ102" i="1" s="1"/>
  <c r="K29" i="21"/>
  <c r="G28" i="21"/>
  <c r="K28" i="21" s="1"/>
  <c r="G27" i="21"/>
  <c r="K27" i="21" s="1"/>
  <c r="G26" i="21"/>
  <c r="I25" i="21"/>
  <c r="H25" i="21"/>
  <c r="F25" i="21"/>
  <c r="DN107" i="1" s="1"/>
  <c r="DO107" i="1" s="1"/>
  <c r="F24" i="21"/>
  <c r="E24" i="21"/>
  <c r="D24" i="21"/>
  <c r="G23" i="21"/>
  <c r="K23" i="21" s="1"/>
  <c r="DQ95" i="1" s="1"/>
  <c r="G22" i="21"/>
  <c r="G21" i="21"/>
  <c r="K21" i="21" s="1"/>
  <c r="DQ80" i="1" s="1"/>
  <c r="G20" i="21"/>
  <c r="K20" i="21" s="1"/>
  <c r="G19" i="21"/>
  <c r="G18" i="21" s="1"/>
  <c r="I18" i="21"/>
  <c r="H18" i="21"/>
  <c r="F18" i="21"/>
  <c r="G17" i="21"/>
  <c r="K17" i="21" s="1"/>
  <c r="DQ103" i="1" s="1"/>
  <c r="G16" i="21"/>
  <c r="E15" i="21"/>
  <c r="D15" i="21"/>
  <c r="I12" i="21"/>
  <c r="H12" i="21"/>
  <c r="DF81" i="1"/>
  <c r="DF82" i="1"/>
  <c r="DG82" i="1"/>
  <c r="DH82" i="1"/>
  <c r="DJ82" i="1"/>
  <c r="DK82" i="1"/>
  <c r="DF83" i="1"/>
  <c r="DG83" i="1"/>
  <c r="DH83" i="1"/>
  <c r="DF84" i="1"/>
  <c r="DG84" i="1"/>
  <c r="DH84" i="1"/>
  <c r="DF85" i="1"/>
  <c r="DF86" i="1"/>
  <c r="DF87" i="1"/>
  <c r="DG87" i="1"/>
  <c r="DH87" i="1"/>
  <c r="DF88" i="1"/>
  <c r="DF89" i="1"/>
  <c r="DF90" i="1"/>
  <c r="DF91" i="1"/>
  <c r="DF92" i="1"/>
  <c r="DG92" i="1"/>
  <c r="DH92" i="1"/>
  <c r="DI92" i="1" s="1"/>
  <c r="DF93" i="1"/>
  <c r="DF94" i="1"/>
  <c r="DG94" i="1"/>
  <c r="DH94" i="1"/>
  <c r="DJ94" i="1"/>
  <c r="DK94" i="1"/>
  <c r="DF95" i="1"/>
  <c r="DG95" i="1"/>
  <c r="DH95" i="1"/>
  <c r="DI95" i="1" s="1"/>
  <c r="DF96" i="1"/>
  <c r="DF97" i="1"/>
  <c r="DG97" i="1"/>
  <c r="DH97" i="1"/>
  <c r="DJ97" i="1"/>
  <c r="DK97" i="1"/>
  <c r="DF98" i="1"/>
  <c r="DG98" i="1"/>
  <c r="DH98" i="1"/>
  <c r="DF99" i="1"/>
  <c r="DF100" i="1"/>
  <c r="DG100" i="1"/>
  <c r="DH100" i="1"/>
  <c r="DI100" i="1" s="1"/>
  <c r="DF101" i="1"/>
  <c r="DF102" i="1"/>
  <c r="DF103" i="1"/>
  <c r="DG103" i="1"/>
  <c r="DH103" i="1"/>
  <c r="DF104" i="1"/>
  <c r="DF105" i="1"/>
  <c r="DF106" i="1"/>
  <c r="DG106" i="1"/>
  <c r="DH106" i="1"/>
  <c r="DF107" i="1"/>
  <c r="DF108" i="1"/>
  <c r="DG108" i="1"/>
  <c r="DH108" i="1"/>
  <c r="DF109" i="1"/>
  <c r="DF110" i="1"/>
  <c r="DF111" i="1"/>
  <c r="DG111" i="1"/>
  <c r="DH111" i="1"/>
  <c r="DF112" i="1"/>
  <c r="DG112" i="1"/>
  <c r="DH112" i="1"/>
  <c r="DF113" i="1"/>
  <c r="DF114" i="1"/>
  <c r="DG114" i="1"/>
  <c r="DH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80" i="1"/>
  <c r="DF61" i="1"/>
  <c r="DG61" i="1"/>
  <c r="DH61" i="1"/>
  <c r="DJ61" i="1"/>
  <c r="DK61" i="1"/>
  <c r="DF62" i="1"/>
  <c r="DF63" i="1"/>
  <c r="DF64" i="1"/>
  <c r="DF65" i="1"/>
  <c r="DG65" i="1"/>
  <c r="DH65" i="1"/>
  <c r="DF66" i="1"/>
  <c r="DG66" i="1"/>
  <c r="DH66" i="1"/>
  <c r="DJ66" i="1"/>
  <c r="DK66" i="1"/>
  <c r="DF67" i="1"/>
  <c r="DG67" i="1"/>
  <c r="DH67" i="1"/>
  <c r="DI67" i="1" s="1"/>
  <c r="DJ67" i="1"/>
  <c r="DK67" i="1"/>
  <c r="DF68" i="1"/>
  <c r="DG68" i="1"/>
  <c r="DH68" i="1"/>
  <c r="DJ68" i="1"/>
  <c r="DK68" i="1"/>
  <c r="DF69" i="1"/>
  <c r="DG69" i="1"/>
  <c r="DH69" i="1"/>
  <c r="DJ69" i="1"/>
  <c r="DK69" i="1"/>
  <c r="DF70" i="1"/>
  <c r="DG70" i="1"/>
  <c r="DH70" i="1"/>
  <c r="DJ70" i="1"/>
  <c r="DK70" i="1"/>
  <c r="DF71" i="1"/>
  <c r="DF72" i="1"/>
  <c r="DG72" i="1"/>
  <c r="DH72" i="1"/>
  <c r="DJ72" i="1"/>
  <c r="DK72" i="1"/>
  <c r="DF73" i="1"/>
  <c r="DF74" i="1"/>
  <c r="DF75" i="1"/>
  <c r="DF76" i="1"/>
  <c r="DF77" i="1"/>
  <c r="DG77" i="1"/>
  <c r="DH77" i="1"/>
  <c r="DJ77" i="1"/>
  <c r="DK77" i="1"/>
  <c r="DF78" i="1"/>
  <c r="DG78" i="1"/>
  <c r="DH78" i="1"/>
  <c r="DJ78" i="1"/>
  <c r="DK78" i="1"/>
  <c r="DF79" i="1"/>
  <c r="DG60" i="1"/>
  <c r="DF60" i="1"/>
  <c r="DK27" i="1"/>
  <c r="DK28" i="1"/>
  <c r="DK29" i="1"/>
  <c r="DK32" i="1"/>
  <c r="DK33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8" i="1"/>
  <c r="DK50" i="1"/>
  <c r="DK52" i="1"/>
  <c r="DK53" i="1"/>
  <c r="DK54" i="1"/>
  <c r="DK55" i="1"/>
  <c r="DK56" i="1"/>
  <c r="DK57" i="1"/>
  <c r="DK26" i="1"/>
  <c r="DJ27" i="1"/>
  <c r="DJ28" i="1"/>
  <c r="DJ29" i="1"/>
  <c r="DJ32" i="1"/>
  <c r="DJ33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8" i="1"/>
  <c r="DJ50" i="1"/>
  <c r="DJ52" i="1"/>
  <c r="DJ53" i="1"/>
  <c r="DJ54" i="1"/>
  <c r="DJ55" i="1"/>
  <c r="DJ56" i="1"/>
  <c r="DJ57" i="1"/>
  <c r="DJ26" i="1"/>
  <c r="DF34" i="1"/>
  <c r="DF27" i="1"/>
  <c r="DG27" i="1"/>
  <c r="DH27" i="1"/>
  <c r="DF28" i="1"/>
  <c r="DG28" i="1"/>
  <c r="DH28" i="1"/>
  <c r="DF29" i="1"/>
  <c r="DG29" i="1"/>
  <c r="DH29" i="1"/>
  <c r="DF30" i="1"/>
  <c r="DF31" i="1"/>
  <c r="DG31" i="1"/>
  <c r="DH31" i="1"/>
  <c r="DF32" i="1"/>
  <c r="DG32" i="1"/>
  <c r="DH32" i="1"/>
  <c r="DF33" i="1"/>
  <c r="DG33" i="1"/>
  <c r="DH33" i="1"/>
  <c r="DG34" i="1"/>
  <c r="DH34" i="1"/>
  <c r="DF35" i="1"/>
  <c r="DG35" i="1"/>
  <c r="DH35" i="1"/>
  <c r="DF36" i="1"/>
  <c r="DG36" i="1"/>
  <c r="DH36" i="1"/>
  <c r="DF37" i="1"/>
  <c r="DG37" i="1"/>
  <c r="DH37" i="1"/>
  <c r="DI37" i="1" s="1"/>
  <c r="DF38" i="1"/>
  <c r="DG38" i="1"/>
  <c r="DH38" i="1"/>
  <c r="DF39" i="1"/>
  <c r="DG39" i="1"/>
  <c r="DH39" i="1"/>
  <c r="DF40" i="1"/>
  <c r="DG40" i="1"/>
  <c r="DH40" i="1"/>
  <c r="DF41" i="1"/>
  <c r="DG41" i="1"/>
  <c r="DH41" i="1"/>
  <c r="DF42" i="1"/>
  <c r="DG42" i="1"/>
  <c r="DH42" i="1"/>
  <c r="DI42" i="1" s="1"/>
  <c r="DF43" i="1"/>
  <c r="DG43" i="1"/>
  <c r="DH43" i="1"/>
  <c r="DF44" i="1"/>
  <c r="DG44" i="1"/>
  <c r="DH44" i="1"/>
  <c r="DF45" i="1"/>
  <c r="DG45" i="1"/>
  <c r="DH45" i="1"/>
  <c r="DI45" i="1" s="1"/>
  <c r="DF46" i="1"/>
  <c r="DG46" i="1"/>
  <c r="DH46" i="1"/>
  <c r="DF47" i="1"/>
  <c r="DG47" i="1"/>
  <c r="DH47" i="1"/>
  <c r="DF48" i="1"/>
  <c r="DG48" i="1"/>
  <c r="DH48" i="1"/>
  <c r="DF49" i="1"/>
  <c r="DG49" i="1"/>
  <c r="DH49" i="1"/>
  <c r="DF50" i="1"/>
  <c r="DG50" i="1"/>
  <c r="DH50" i="1"/>
  <c r="DI50" i="1" s="1"/>
  <c r="DF51" i="1"/>
  <c r="DG51" i="1"/>
  <c r="DH51" i="1"/>
  <c r="DF52" i="1"/>
  <c r="DG52" i="1"/>
  <c r="DH52" i="1"/>
  <c r="DF53" i="1"/>
  <c r="DG53" i="1"/>
  <c r="DH53" i="1"/>
  <c r="DI53" i="1" s="1"/>
  <c r="DF54" i="1"/>
  <c r="DG54" i="1"/>
  <c r="DH54" i="1"/>
  <c r="DF55" i="1"/>
  <c r="DG55" i="1"/>
  <c r="DH55" i="1"/>
  <c r="DF56" i="1"/>
  <c r="DG56" i="1"/>
  <c r="DH56" i="1"/>
  <c r="DF57" i="1"/>
  <c r="DG57" i="1"/>
  <c r="DH57" i="1"/>
  <c r="DF58" i="1"/>
  <c r="DG58" i="1"/>
  <c r="DH58" i="1"/>
  <c r="DI58" i="1" s="1"/>
  <c r="DF59" i="1"/>
  <c r="DH26" i="1"/>
  <c r="DG26" i="1"/>
  <c r="DF26" i="1"/>
  <c r="N204" i="20"/>
  <c r="K204" i="20"/>
  <c r="G204" i="20"/>
  <c r="N203" i="20"/>
  <c r="P203" i="20" s="1"/>
  <c r="Q203" i="20" s="1"/>
  <c r="K203" i="20"/>
  <c r="G203" i="20"/>
  <c r="N202" i="20"/>
  <c r="P202" i="20" s="1"/>
  <c r="Q202" i="20" s="1"/>
  <c r="K202" i="20"/>
  <c r="G202" i="20"/>
  <c r="N201" i="20"/>
  <c r="P201" i="20" s="1"/>
  <c r="Q201" i="20" s="1"/>
  <c r="K201" i="20"/>
  <c r="G201" i="20"/>
  <c r="N200" i="20"/>
  <c r="N199" i="20" s="1"/>
  <c r="DJ124" i="1" s="1"/>
  <c r="K200" i="20"/>
  <c r="K199" i="20" s="1"/>
  <c r="G200" i="20"/>
  <c r="O199" i="20"/>
  <c r="M199" i="20"/>
  <c r="L199" i="20"/>
  <c r="J199" i="20"/>
  <c r="I199" i="20"/>
  <c r="DH124" i="1" s="1"/>
  <c r="H199" i="20"/>
  <c r="DG124" i="1" s="1"/>
  <c r="N198" i="20"/>
  <c r="K198" i="20"/>
  <c r="G198" i="20"/>
  <c r="N197" i="20"/>
  <c r="P197" i="20" s="1"/>
  <c r="Q197" i="20" s="1"/>
  <c r="K197" i="20"/>
  <c r="G197" i="20"/>
  <c r="G196" i="20" s="1"/>
  <c r="O196" i="20"/>
  <c r="M196" i="20"/>
  <c r="L196" i="20"/>
  <c r="J196" i="20"/>
  <c r="I196" i="20"/>
  <c r="DH117" i="1" s="1"/>
  <c r="H196" i="20"/>
  <c r="DG117" i="1" s="1"/>
  <c r="N195" i="20"/>
  <c r="P195" i="20" s="1"/>
  <c r="Q195" i="20" s="1"/>
  <c r="K195" i="20"/>
  <c r="G195" i="20"/>
  <c r="N194" i="20"/>
  <c r="P194" i="20" s="1"/>
  <c r="K194" i="20"/>
  <c r="G194" i="20"/>
  <c r="O193" i="20"/>
  <c r="N193" i="20"/>
  <c r="DJ123" i="1" s="1"/>
  <c r="M193" i="20"/>
  <c r="L193" i="20"/>
  <c r="K193" i="20"/>
  <c r="J193" i="20"/>
  <c r="I193" i="20"/>
  <c r="DH123" i="1" s="1"/>
  <c r="H193" i="20"/>
  <c r="DG123" i="1" s="1"/>
  <c r="G193" i="20"/>
  <c r="N192" i="20"/>
  <c r="P192" i="20" s="1"/>
  <c r="Q192" i="20" s="1"/>
  <c r="K192" i="20"/>
  <c r="G192" i="20"/>
  <c r="N191" i="20"/>
  <c r="P191" i="20" s="1"/>
  <c r="K191" i="20"/>
  <c r="G191" i="20"/>
  <c r="N190" i="20"/>
  <c r="K190" i="20"/>
  <c r="G190" i="20"/>
  <c r="O189" i="20"/>
  <c r="M189" i="20"/>
  <c r="L189" i="20"/>
  <c r="J189" i="20"/>
  <c r="I189" i="20"/>
  <c r="DH116" i="1" s="1"/>
  <c r="H189" i="20"/>
  <c r="DG116" i="1" s="1"/>
  <c r="G189" i="20"/>
  <c r="O188" i="20"/>
  <c r="Q188" i="20" s="1"/>
  <c r="N188" i="20"/>
  <c r="K188" i="20"/>
  <c r="G188" i="20"/>
  <c r="N187" i="20"/>
  <c r="P187" i="20" s="1"/>
  <c r="Q187" i="20" s="1"/>
  <c r="K187" i="20"/>
  <c r="G187" i="20"/>
  <c r="N186" i="20"/>
  <c r="N185" i="20" s="1"/>
  <c r="DJ115" i="1" s="1"/>
  <c r="K186" i="20"/>
  <c r="G186" i="20"/>
  <c r="G185" i="20" s="1"/>
  <c r="O185" i="20"/>
  <c r="M185" i="20"/>
  <c r="L185" i="20"/>
  <c r="K185" i="20"/>
  <c r="J185" i="20"/>
  <c r="I185" i="20"/>
  <c r="DH115" i="1" s="1"/>
  <c r="H185" i="20"/>
  <c r="DG115" i="1" s="1"/>
  <c r="N184" i="20"/>
  <c r="P184" i="20" s="1"/>
  <c r="Q184" i="20" s="1"/>
  <c r="K184" i="20"/>
  <c r="G184" i="20"/>
  <c r="N183" i="20"/>
  <c r="P183" i="20" s="1"/>
  <c r="K183" i="20"/>
  <c r="G183" i="20"/>
  <c r="O182" i="20"/>
  <c r="N182" i="20"/>
  <c r="DJ119" i="1" s="1"/>
  <c r="M182" i="20"/>
  <c r="L182" i="20"/>
  <c r="J182" i="20"/>
  <c r="I182" i="20"/>
  <c r="DH119" i="1" s="1"/>
  <c r="H182" i="20"/>
  <c r="DG119" i="1" s="1"/>
  <c r="G182" i="20"/>
  <c r="N181" i="20"/>
  <c r="P181" i="20" s="1"/>
  <c r="Q181" i="20" s="1"/>
  <c r="K181" i="20"/>
  <c r="G181" i="20"/>
  <c r="N180" i="20"/>
  <c r="N179" i="20" s="1"/>
  <c r="DJ109" i="1" s="1"/>
  <c r="K180" i="20"/>
  <c r="K179" i="20" s="1"/>
  <c r="G180" i="20"/>
  <c r="O179" i="20"/>
  <c r="M179" i="20"/>
  <c r="L179" i="20"/>
  <c r="J179" i="20"/>
  <c r="I179" i="20"/>
  <c r="DH109" i="1" s="1"/>
  <c r="H179" i="20"/>
  <c r="DG109" i="1" s="1"/>
  <c r="G179" i="20"/>
  <c r="N178" i="20"/>
  <c r="K178" i="20"/>
  <c r="G178" i="20"/>
  <c r="N177" i="20"/>
  <c r="P177" i="20" s="1"/>
  <c r="Q177" i="20" s="1"/>
  <c r="K177" i="20"/>
  <c r="G177" i="20"/>
  <c r="G176" i="20" s="1"/>
  <c r="O176" i="20"/>
  <c r="M176" i="20"/>
  <c r="L176" i="20"/>
  <c r="J176" i="20"/>
  <c r="I176" i="20"/>
  <c r="DH86" i="1" s="1"/>
  <c r="H176" i="20"/>
  <c r="DG86" i="1" s="1"/>
  <c r="N175" i="20"/>
  <c r="P175" i="20" s="1"/>
  <c r="Q175" i="20" s="1"/>
  <c r="K175" i="20"/>
  <c r="G175" i="20"/>
  <c r="N174" i="20"/>
  <c r="P174" i="20" s="1"/>
  <c r="K174" i="20"/>
  <c r="G174" i="20"/>
  <c r="O173" i="20"/>
  <c r="N173" i="20"/>
  <c r="DJ85" i="1" s="1"/>
  <c r="M173" i="20"/>
  <c r="L173" i="20"/>
  <c r="K173" i="20"/>
  <c r="J173" i="20"/>
  <c r="I173" i="20"/>
  <c r="DH85" i="1" s="1"/>
  <c r="H173" i="20"/>
  <c r="DG85" i="1" s="1"/>
  <c r="G173" i="20"/>
  <c r="O172" i="20"/>
  <c r="Q172" i="20" s="1"/>
  <c r="N172" i="20"/>
  <c r="K172" i="20"/>
  <c r="G172" i="20"/>
  <c r="N171" i="20"/>
  <c r="P171" i="20" s="1"/>
  <c r="Q171" i="20" s="1"/>
  <c r="K171" i="20"/>
  <c r="G171" i="20"/>
  <c r="N170" i="20"/>
  <c r="N169" i="20" s="1"/>
  <c r="DJ126" i="1" s="1"/>
  <c r="K170" i="20"/>
  <c r="G170" i="20"/>
  <c r="O169" i="20"/>
  <c r="M169" i="20"/>
  <c r="L169" i="20"/>
  <c r="J169" i="20"/>
  <c r="I169" i="20"/>
  <c r="DH126" i="1" s="1"/>
  <c r="H169" i="20"/>
  <c r="DG126" i="1" s="1"/>
  <c r="G169" i="20"/>
  <c r="N168" i="20"/>
  <c r="P168" i="20" s="1"/>
  <c r="Q168" i="20" s="1"/>
  <c r="K168" i="20"/>
  <c r="G168" i="20"/>
  <c r="N167" i="20"/>
  <c r="K167" i="20"/>
  <c r="G167" i="20"/>
  <c r="O166" i="20"/>
  <c r="M166" i="20"/>
  <c r="L166" i="20"/>
  <c r="K166" i="20"/>
  <c r="J166" i="20"/>
  <c r="I166" i="20"/>
  <c r="DH127" i="1" s="1"/>
  <c r="H166" i="20"/>
  <c r="DG127" i="1" s="1"/>
  <c r="G166" i="20"/>
  <c r="N165" i="20"/>
  <c r="K165" i="20"/>
  <c r="G165" i="20"/>
  <c r="N164" i="20"/>
  <c r="P164" i="20" s="1"/>
  <c r="K164" i="20"/>
  <c r="G164" i="20"/>
  <c r="G163" i="20" s="1"/>
  <c r="O163" i="20"/>
  <c r="M163" i="20"/>
  <c r="L163" i="20"/>
  <c r="K163" i="20"/>
  <c r="J163" i="20"/>
  <c r="I163" i="20"/>
  <c r="DH121" i="1" s="1"/>
  <c r="H163" i="20"/>
  <c r="DG121" i="1" s="1"/>
  <c r="N162" i="20"/>
  <c r="P162" i="20" s="1"/>
  <c r="Q162" i="20" s="1"/>
  <c r="K162" i="20"/>
  <c r="G162" i="20"/>
  <c r="N161" i="20"/>
  <c r="P161" i="20" s="1"/>
  <c r="P160" i="20" s="1"/>
  <c r="K161" i="20"/>
  <c r="G161" i="20"/>
  <c r="O160" i="20"/>
  <c r="N160" i="20"/>
  <c r="DJ120" i="1" s="1"/>
  <c r="M160" i="20"/>
  <c r="L160" i="20"/>
  <c r="J160" i="20"/>
  <c r="I160" i="20"/>
  <c r="DH120" i="1" s="1"/>
  <c r="H160" i="20"/>
  <c r="DG120" i="1" s="1"/>
  <c r="G160" i="20"/>
  <c r="N159" i="20"/>
  <c r="P159" i="20" s="1"/>
  <c r="Q159" i="20" s="1"/>
  <c r="K159" i="20"/>
  <c r="G159" i="20"/>
  <c r="N158" i="20"/>
  <c r="N157" i="20" s="1"/>
  <c r="DJ110" i="1" s="1"/>
  <c r="K158" i="20"/>
  <c r="K157" i="20" s="1"/>
  <c r="G158" i="20"/>
  <c r="O157" i="20"/>
  <c r="M157" i="20"/>
  <c r="L157" i="20"/>
  <c r="J157" i="20"/>
  <c r="I157" i="20"/>
  <c r="DH110" i="1" s="1"/>
  <c r="H157" i="20"/>
  <c r="DG110" i="1" s="1"/>
  <c r="G157" i="20"/>
  <c r="N156" i="20"/>
  <c r="P156" i="20" s="1"/>
  <c r="Q156" i="20" s="1"/>
  <c r="K156" i="20"/>
  <c r="G156" i="20"/>
  <c r="N155" i="20"/>
  <c r="N154" i="20" s="1"/>
  <c r="DJ101" i="1" s="1"/>
  <c r="K155" i="20"/>
  <c r="G155" i="20"/>
  <c r="G154" i="20" s="1"/>
  <c r="O154" i="20"/>
  <c r="M154" i="20"/>
  <c r="L154" i="20"/>
  <c r="J154" i="20"/>
  <c r="I154" i="20"/>
  <c r="DH101" i="1" s="1"/>
  <c r="H154" i="20"/>
  <c r="DG101" i="1" s="1"/>
  <c r="DI101" i="1" s="1"/>
  <c r="N153" i="20"/>
  <c r="P153" i="20" s="1"/>
  <c r="Q153" i="20" s="1"/>
  <c r="K153" i="20"/>
  <c r="G153" i="20"/>
  <c r="N152" i="20"/>
  <c r="P152" i="20" s="1"/>
  <c r="K152" i="20"/>
  <c r="G152" i="20"/>
  <c r="O151" i="20"/>
  <c r="N151" i="20"/>
  <c r="DJ91" i="1" s="1"/>
  <c r="M151" i="20"/>
  <c r="L151" i="20"/>
  <c r="K151" i="20"/>
  <c r="J151" i="20"/>
  <c r="I151" i="20"/>
  <c r="DH91" i="1" s="1"/>
  <c r="H151" i="20"/>
  <c r="DG91" i="1" s="1"/>
  <c r="G151" i="20"/>
  <c r="N150" i="20"/>
  <c r="P150" i="20" s="1"/>
  <c r="Q150" i="20" s="1"/>
  <c r="K150" i="20"/>
  <c r="G150" i="20"/>
  <c r="N149" i="20"/>
  <c r="N148" i="20" s="1"/>
  <c r="DJ89" i="1" s="1"/>
  <c r="K149" i="20"/>
  <c r="G149" i="20"/>
  <c r="G148" i="20" s="1"/>
  <c r="O148" i="20"/>
  <c r="M148" i="20"/>
  <c r="L148" i="20"/>
  <c r="K148" i="20"/>
  <c r="J148" i="20"/>
  <c r="I148" i="20"/>
  <c r="DH89" i="1" s="1"/>
  <c r="H148" i="20"/>
  <c r="DG89" i="1" s="1"/>
  <c r="DI89" i="1" s="1"/>
  <c r="N147" i="20"/>
  <c r="K147" i="20"/>
  <c r="G147" i="20"/>
  <c r="N146" i="20"/>
  <c r="K146" i="20"/>
  <c r="G146" i="20"/>
  <c r="N145" i="20"/>
  <c r="P145" i="20" s="1"/>
  <c r="Q145" i="20" s="1"/>
  <c r="K145" i="20"/>
  <c r="G145" i="20"/>
  <c r="N144" i="20"/>
  <c r="P144" i="20" s="1"/>
  <c r="Q144" i="20" s="1"/>
  <c r="K144" i="20"/>
  <c r="G144" i="20"/>
  <c r="N143" i="20"/>
  <c r="P143" i="20" s="1"/>
  <c r="Q143" i="20" s="1"/>
  <c r="Q142" i="20" s="1"/>
  <c r="DK105" i="1" s="1"/>
  <c r="K143" i="20"/>
  <c r="G143" i="20"/>
  <c r="O142" i="20"/>
  <c r="N142" i="20"/>
  <c r="DJ105" i="1" s="1"/>
  <c r="M142" i="20"/>
  <c r="L142" i="20"/>
  <c r="J142" i="20"/>
  <c r="I142" i="20"/>
  <c r="DH105" i="1" s="1"/>
  <c r="H142" i="20"/>
  <c r="DG105" i="1" s="1"/>
  <c r="G142" i="20"/>
  <c r="N141" i="20"/>
  <c r="P141" i="20" s="1"/>
  <c r="Q141" i="20" s="1"/>
  <c r="K141" i="20"/>
  <c r="G141" i="20"/>
  <c r="N140" i="20"/>
  <c r="K140" i="20"/>
  <c r="G140" i="20"/>
  <c r="N139" i="20"/>
  <c r="P139" i="20" s="1"/>
  <c r="Q139" i="20" s="1"/>
  <c r="K139" i="20"/>
  <c r="G139" i="20"/>
  <c r="G138" i="20" s="1"/>
  <c r="O138" i="20"/>
  <c r="M138" i="20"/>
  <c r="L138" i="20"/>
  <c r="J138" i="20"/>
  <c r="I138" i="20"/>
  <c r="DH113" i="1" s="1"/>
  <c r="H138" i="20"/>
  <c r="DG113" i="1" s="1"/>
  <c r="N137" i="20"/>
  <c r="K137" i="20"/>
  <c r="G137" i="20"/>
  <c r="N135" i="20"/>
  <c r="P135" i="20" s="1"/>
  <c r="Q135" i="20" s="1"/>
  <c r="K135" i="20"/>
  <c r="G135" i="20"/>
  <c r="N134" i="20"/>
  <c r="P134" i="20" s="1"/>
  <c r="Q134" i="20" s="1"/>
  <c r="K134" i="20"/>
  <c r="G134" i="20"/>
  <c r="N133" i="20"/>
  <c r="P133" i="20" s="1"/>
  <c r="Q133" i="20" s="1"/>
  <c r="K133" i="20"/>
  <c r="G133" i="20"/>
  <c r="N132" i="20"/>
  <c r="K132" i="20"/>
  <c r="G132" i="20"/>
  <c r="O131" i="20"/>
  <c r="M131" i="20"/>
  <c r="L131" i="20"/>
  <c r="J131" i="20"/>
  <c r="I131" i="20"/>
  <c r="DH96" i="1" s="1"/>
  <c r="H131" i="20"/>
  <c r="DG96" i="1" s="1"/>
  <c r="N130" i="20"/>
  <c r="K130" i="20"/>
  <c r="G130" i="20"/>
  <c r="N129" i="20"/>
  <c r="P129" i="20" s="1"/>
  <c r="Q129" i="20" s="1"/>
  <c r="K129" i="20"/>
  <c r="G129" i="20"/>
  <c r="N128" i="20"/>
  <c r="P128" i="20" s="1"/>
  <c r="Q128" i="20" s="1"/>
  <c r="K128" i="20"/>
  <c r="G128" i="20"/>
  <c r="O127" i="20"/>
  <c r="N127" i="20"/>
  <c r="DJ118" i="1" s="1"/>
  <c r="M127" i="20"/>
  <c r="L127" i="20"/>
  <c r="J127" i="20"/>
  <c r="I127" i="20"/>
  <c r="DH118" i="1" s="1"/>
  <c r="H127" i="20"/>
  <c r="DG118" i="1" s="1"/>
  <c r="G127" i="20"/>
  <c r="N126" i="20"/>
  <c r="K126" i="20"/>
  <c r="G126" i="20"/>
  <c r="N125" i="20"/>
  <c r="K125" i="20"/>
  <c r="G125" i="20"/>
  <c r="N124" i="20"/>
  <c r="P124" i="20" s="1"/>
  <c r="Q124" i="20" s="1"/>
  <c r="K124" i="20"/>
  <c r="G124" i="20"/>
  <c r="G123" i="20" s="1"/>
  <c r="O123" i="20"/>
  <c r="M123" i="20"/>
  <c r="L123" i="20"/>
  <c r="J123" i="20"/>
  <c r="I123" i="20"/>
  <c r="DH104" i="1" s="1"/>
  <c r="H123" i="20"/>
  <c r="DG104" i="1" s="1"/>
  <c r="N122" i="20"/>
  <c r="P122" i="20" s="1"/>
  <c r="Q122" i="20" s="1"/>
  <c r="K122" i="20"/>
  <c r="G122" i="20"/>
  <c r="N121" i="20"/>
  <c r="P121" i="20" s="1"/>
  <c r="Q121" i="20" s="1"/>
  <c r="K121" i="20"/>
  <c r="G121" i="20"/>
  <c r="N120" i="20"/>
  <c r="K120" i="20"/>
  <c r="G120" i="20"/>
  <c r="N119" i="20"/>
  <c r="P119" i="20" s="1"/>
  <c r="K119" i="20"/>
  <c r="G119" i="20"/>
  <c r="O118" i="20"/>
  <c r="M118" i="20"/>
  <c r="L118" i="20"/>
  <c r="J118" i="20"/>
  <c r="I118" i="20"/>
  <c r="DH90" i="1" s="1"/>
  <c r="H118" i="20"/>
  <c r="DG90" i="1" s="1"/>
  <c r="N117" i="20"/>
  <c r="P117" i="20" s="1"/>
  <c r="Q117" i="20" s="1"/>
  <c r="G117" i="20"/>
  <c r="N116" i="20"/>
  <c r="P116" i="20" s="1"/>
  <c r="G116" i="20"/>
  <c r="G115" i="20" s="1"/>
  <c r="O115" i="20"/>
  <c r="N115" i="20"/>
  <c r="DJ125" i="1" s="1"/>
  <c r="M115" i="20"/>
  <c r="L115" i="20"/>
  <c r="K115" i="20"/>
  <c r="J115" i="20"/>
  <c r="I115" i="20"/>
  <c r="DH125" i="1" s="1"/>
  <c r="H115" i="20"/>
  <c r="DG125" i="1" s="1"/>
  <c r="N114" i="20"/>
  <c r="P114" i="20" s="1"/>
  <c r="Q114" i="20" s="1"/>
  <c r="G114" i="20"/>
  <c r="N113" i="20"/>
  <c r="P113" i="20" s="1"/>
  <c r="Q113" i="20" s="1"/>
  <c r="Q112" i="20" s="1"/>
  <c r="DK102" i="1" s="1"/>
  <c r="G113" i="20"/>
  <c r="O112" i="20"/>
  <c r="N112" i="20"/>
  <c r="DJ102" i="1" s="1"/>
  <c r="M112" i="20"/>
  <c r="L112" i="20"/>
  <c r="K112" i="20"/>
  <c r="J112" i="20"/>
  <c r="I112" i="20"/>
  <c r="DH102" i="1" s="1"/>
  <c r="H112" i="20"/>
  <c r="DG102" i="1" s="1"/>
  <c r="G112" i="20"/>
  <c r="N111" i="20"/>
  <c r="P111" i="20" s="1"/>
  <c r="Q111" i="20" s="1"/>
  <c r="G111" i="20"/>
  <c r="N110" i="20"/>
  <c r="P110" i="20" s="1"/>
  <c r="Q110" i="20" s="1"/>
  <c r="Q109" i="20" s="1"/>
  <c r="DK81" i="1" s="1"/>
  <c r="G110" i="20"/>
  <c r="O109" i="20"/>
  <c r="N109" i="20"/>
  <c r="DJ81" i="1" s="1"/>
  <c r="M109" i="20"/>
  <c r="L109" i="20"/>
  <c r="K109" i="20"/>
  <c r="J109" i="20"/>
  <c r="I109" i="20"/>
  <c r="DH81" i="1" s="1"/>
  <c r="H109" i="20"/>
  <c r="DG81" i="1" s="1"/>
  <c r="G109" i="20"/>
  <c r="N108" i="20"/>
  <c r="P108" i="20" s="1"/>
  <c r="Q108" i="20" s="1"/>
  <c r="G108" i="20"/>
  <c r="N107" i="20"/>
  <c r="G107" i="20"/>
  <c r="O106" i="20"/>
  <c r="M106" i="20"/>
  <c r="L106" i="20"/>
  <c r="K106" i="20"/>
  <c r="J106" i="20"/>
  <c r="I106" i="20"/>
  <c r="DH88" i="1" s="1"/>
  <c r="H106" i="20"/>
  <c r="DG88" i="1" s="1"/>
  <c r="G106" i="20"/>
  <c r="N105" i="20"/>
  <c r="P105" i="20" s="1"/>
  <c r="Q105" i="20" s="1"/>
  <c r="K105" i="20"/>
  <c r="G105" i="20"/>
  <c r="N104" i="20"/>
  <c r="P104" i="20" s="1"/>
  <c r="Q104" i="20" s="1"/>
  <c r="K104" i="20"/>
  <c r="G104" i="20"/>
  <c r="O103" i="20"/>
  <c r="N103" i="20"/>
  <c r="M103" i="20"/>
  <c r="L103" i="20"/>
  <c r="J103" i="20"/>
  <c r="I103" i="20"/>
  <c r="H103" i="20"/>
  <c r="G103" i="20"/>
  <c r="N102" i="20"/>
  <c r="P102" i="20" s="1"/>
  <c r="Q102" i="20" s="1"/>
  <c r="G102" i="20"/>
  <c r="N101" i="20"/>
  <c r="G101" i="20"/>
  <c r="N100" i="20"/>
  <c r="P100" i="20" s="1"/>
  <c r="Q100" i="20" s="1"/>
  <c r="K100" i="20"/>
  <c r="G100" i="20"/>
  <c r="O99" i="20"/>
  <c r="M99" i="20"/>
  <c r="L99" i="20"/>
  <c r="K99" i="20"/>
  <c r="J99" i="20"/>
  <c r="I99" i="20"/>
  <c r="DH107" i="1" s="1"/>
  <c r="H99" i="20"/>
  <c r="DG107" i="1" s="1"/>
  <c r="G99" i="20"/>
  <c r="N98" i="20"/>
  <c r="K98" i="20"/>
  <c r="G98" i="20"/>
  <c r="N97" i="20"/>
  <c r="K97" i="20"/>
  <c r="G97" i="20"/>
  <c r="N95" i="20"/>
  <c r="K95" i="20"/>
  <c r="G95" i="20"/>
  <c r="N94" i="20"/>
  <c r="K94" i="20"/>
  <c r="G94" i="20"/>
  <c r="N93" i="20"/>
  <c r="P93" i="20" s="1"/>
  <c r="Q93" i="20" s="1"/>
  <c r="K93" i="20"/>
  <c r="G93" i="20"/>
  <c r="N92" i="20"/>
  <c r="P92" i="20" s="1"/>
  <c r="Q92" i="20" s="1"/>
  <c r="K92" i="20"/>
  <c r="G92" i="20"/>
  <c r="N91" i="20"/>
  <c r="P91" i="20" s="1"/>
  <c r="K91" i="20"/>
  <c r="G91" i="20"/>
  <c r="O90" i="20"/>
  <c r="N90" i="20"/>
  <c r="DJ93" i="1" s="1"/>
  <c r="M90" i="20"/>
  <c r="L90" i="20"/>
  <c r="K90" i="20"/>
  <c r="J90" i="20"/>
  <c r="I90" i="20"/>
  <c r="DH93" i="1" s="1"/>
  <c r="H90" i="20"/>
  <c r="DG93" i="1" s="1"/>
  <c r="G90" i="20"/>
  <c r="N89" i="20"/>
  <c r="P89" i="20" s="1"/>
  <c r="Q89" i="20" s="1"/>
  <c r="K89" i="20"/>
  <c r="G89" i="20"/>
  <c r="N88" i="20"/>
  <c r="N87" i="20" s="1"/>
  <c r="DJ122" i="1" s="1"/>
  <c r="K88" i="20"/>
  <c r="K87" i="20" s="1"/>
  <c r="G88" i="20"/>
  <c r="O87" i="20"/>
  <c r="M87" i="20"/>
  <c r="L87" i="20"/>
  <c r="J87" i="20"/>
  <c r="I87" i="20"/>
  <c r="DH122" i="1" s="1"/>
  <c r="H87" i="20"/>
  <c r="DG122" i="1" s="1"/>
  <c r="G87" i="20"/>
  <c r="N86" i="20"/>
  <c r="P86" i="20" s="1"/>
  <c r="Q86" i="20" s="1"/>
  <c r="K86" i="20"/>
  <c r="G86" i="20"/>
  <c r="N85" i="20"/>
  <c r="P85" i="20" s="1"/>
  <c r="Q85" i="20" s="1"/>
  <c r="K85" i="20"/>
  <c r="G85" i="20"/>
  <c r="P84" i="20"/>
  <c r="O84" i="20"/>
  <c r="N84" i="20"/>
  <c r="DJ99" i="1" s="1"/>
  <c r="M84" i="20"/>
  <c r="L84" i="20"/>
  <c r="J84" i="20"/>
  <c r="I84" i="20"/>
  <c r="DH99" i="1" s="1"/>
  <c r="H84" i="20"/>
  <c r="G84" i="20"/>
  <c r="N83" i="20"/>
  <c r="K83" i="20"/>
  <c r="G83" i="20"/>
  <c r="N82" i="20"/>
  <c r="K82" i="20"/>
  <c r="G82" i="20"/>
  <c r="N81" i="20"/>
  <c r="K81" i="20"/>
  <c r="G81" i="20"/>
  <c r="N80" i="20"/>
  <c r="P80" i="20" s="1"/>
  <c r="Q80" i="20" s="1"/>
  <c r="K80" i="20"/>
  <c r="G80" i="20"/>
  <c r="N79" i="20"/>
  <c r="K79" i="20"/>
  <c r="G79" i="20"/>
  <c r="N78" i="20"/>
  <c r="P78" i="20" s="1"/>
  <c r="K78" i="20"/>
  <c r="G78" i="20"/>
  <c r="O77" i="20"/>
  <c r="M77" i="20"/>
  <c r="L77" i="20"/>
  <c r="K77" i="20"/>
  <c r="J77" i="20"/>
  <c r="I77" i="20"/>
  <c r="DH80" i="1" s="1"/>
  <c r="H77" i="20"/>
  <c r="DG80" i="1" s="1"/>
  <c r="G77" i="20"/>
  <c r="N74" i="20"/>
  <c r="P74" i="20" s="1"/>
  <c r="Q74" i="20" s="1"/>
  <c r="K74" i="20"/>
  <c r="G74" i="20"/>
  <c r="N73" i="20"/>
  <c r="P73" i="20" s="1"/>
  <c r="K73" i="20"/>
  <c r="G73" i="20"/>
  <c r="N72" i="20"/>
  <c r="P72" i="20" s="1"/>
  <c r="Q72" i="20" s="1"/>
  <c r="K72" i="20"/>
  <c r="G72" i="20"/>
  <c r="G71" i="20" s="1"/>
  <c r="O71" i="20"/>
  <c r="N71" i="20"/>
  <c r="DJ30" i="1" s="1"/>
  <c r="M71" i="20"/>
  <c r="L71" i="20"/>
  <c r="J71" i="20"/>
  <c r="I71" i="20"/>
  <c r="DH30" i="1" s="1"/>
  <c r="H71" i="20"/>
  <c r="N70" i="20"/>
  <c r="K70" i="20"/>
  <c r="G70" i="20"/>
  <c r="N69" i="20"/>
  <c r="K69" i="20"/>
  <c r="G69" i="20"/>
  <c r="N68" i="20"/>
  <c r="P68" i="20" s="1"/>
  <c r="Q68" i="20" s="1"/>
  <c r="K68" i="20"/>
  <c r="G68" i="20"/>
  <c r="N67" i="20"/>
  <c r="N66" i="20" s="1"/>
  <c r="K67" i="20"/>
  <c r="G67" i="20"/>
  <c r="O66" i="20"/>
  <c r="O61" i="20" s="1"/>
  <c r="M66" i="20"/>
  <c r="L66" i="20"/>
  <c r="K66" i="20"/>
  <c r="J66" i="20"/>
  <c r="I66" i="20"/>
  <c r="H66" i="20"/>
  <c r="DG59" i="1" s="1"/>
  <c r="G66" i="20"/>
  <c r="N65" i="20"/>
  <c r="K65" i="20"/>
  <c r="G65" i="20"/>
  <c r="N64" i="20"/>
  <c r="K64" i="20"/>
  <c r="G64" i="20"/>
  <c r="N63" i="20"/>
  <c r="K63" i="20"/>
  <c r="G63" i="20"/>
  <c r="N62" i="20"/>
  <c r="K62" i="20"/>
  <c r="G62" i="20"/>
  <c r="N59" i="20"/>
  <c r="P59" i="20" s="1"/>
  <c r="Q59" i="20" s="1"/>
  <c r="K59" i="20"/>
  <c r="G59" i="20"/>
  <c r="N58" i="20"/>
  <c r="P58" i="20" s="1"/>
  <c r="Q58" i="20" s="1"/>
  <c r="K58" i="20"/>
  <c r="G58" i="20"/>
  <c r="N57" i="20"/>
  <c r="P57" i="20" s="1"/>
  <c r="Q57" i="20" s="1"/>
  <c r="K57" i="20"/>
  <c r="G57" i="20"/>
  <c r="N56" i="20"/>
  <c r="P56" i="20" s="1"/>
  <c r="K56" i="20"/>
  <c r="K55" i="20" s="1"/>
  <c r="G56" i="20"/>
  <c r="O55" i="20"/>
  <c r="M55" i="20"/>
  <c r="L55" i="20"/>
  <c r="J55" i="20"/>
  <c r="I55" i="20"/>
  <c r="DH73" i="1" s="1"/>
  <c r="H55" i="20"/>
  <c r="DG73" i="1" s="1"/>
  <c r="DI73" i="1" s="1"/>
  <c r="N54" i="20"/>
  <c r="P54" i="20" s="1"/>
  <c r="Q54" i="20" s="1"/>
  <c r="K54" i="20"/>
  <c r="G54" i="20"/>
  <c r="N53" i="20"/>
  <c r="P53" i="20" s="1"/>
  <c r="Q53" i="20" s="1"/>
  <c r="Q52" i="20" s="1"/>
  <c r="DK75" i="1" s="1"/>
  <c r="K53" i="20"/>
  <c r="G53" i="20"/>
  <c r="O52" i="20"/>
  <c r="N52" i="20"/>
  <c r="DJ75" i="1" s="1"/>
  <c r="M52" i="20"/>
  <c r="L52" i="20"/>
  <c r="J52" i="20"/>
  <c r="I52" i="20"/>
  <c r="DH75" i="1" s="1"/>
  <c r="H52" i="20"/>
  <c r="DG75" i="1" s="1"/>
  <c r="G52" i="20"/>
  <c r="N51" i="20"/>
  <c r="P51" i="20" s="1"/>
  <c r="Q51" i="20" s="1"/>
  <c r="K51" i="20"/>
  <c r="G51" i="20"/>
  <c r="N50" i="20"/>
  <c r="K50" i="20"/>
  <c r="G50" i="20"/>
  <c r="N49" i="20"/>
  <c r="P49" i="20" s="1"/>
  <c r="Q49" i="20" s="1"/>
  <c r="K49" i="20"/>
  <c r="G49" i="20"/>
  <c r="G48" i="20" s="1"/>
  <c r="O48" i="20"/>
  <c r="M48" i="20"/>
  <c r="L48" i="20"/>
  <c r="J48" i="20"/>
  <c r="I48" i="20"/>
  <c r="DH71" i="1" s="1"/>
  <c r="H48" i="20"/>
  <c r="DG71" i="1" s="1"/>
  <c r="N47" i="20"/>
  <c r="P47" i="20" s="1"/>
  <c r="Q47" i="20" s="1"/>
  <c r="K47" i="20"/>
  <c r="G47" i="20"/>
  <c r="N46" i="20"/>
  <c r="P46" i="20" s="1"/>
  <c r="Q46" i="20" s="1"/>
  <c r="K46" i="20"/>
  <c r="G46" i="20"/>
  <c r="N45" i="20"/>
  <c r="K45" i="20"/>
  <c r="G45" i="20"/>
  <c r="G44" i="20" s="1"/>
  <c r="O44" i="20"/>
  <c r="M44" i="20"/>
  <c r="L44" i="20"/>
  <c r="K44" i="20"/>
  <c r="J44" i="20"/>
  <c r="I44" i="20"/>
  <c r="DH79" i="1" s="1"/>
  <c r="H44" i="20"/>
  <c r="DG79" i="1" s="1"/>
  <c r="N43" i="20"/>
  <c r="K43" i="20"/>
  <c r="G43" i="20"/>
  <c r="N42" i="20"/>
  <c r="P42" i="20" s="1"/>
  <c r="K42" i="20"/>
  <c r="G42" i="20"/>
  <c r="O41" i="20"/>
  <c r="M41" i="20"/>
  <c r="L41" i="20"/>
  <c r="J41" i="20"/>
  <c r="I41" i="20"/>
  <c r="DH76" i="1" s="1"/>
  <c r="H41" i="20"/>
  <c r="DG76" i="1" s="1"/>
  <c r="G41" i="20"/>
  <c r="N40" i="20"/>
  <c r="P40" i="20" s="1"/>
  <c r="Q40" i="20" s="1"/>
  <c r="K40" i="20"/>
  <c r="G40" i="20"/>
  <c r="N39" i="20"/>
  <c r="P39" i="20" s="1"/>
  <c r="Q39" i="20" s="1"/>
  <c r="Q38" i="20" s="1"/>
  <c r="DK63" i="1" s="1"/>
  <c r="K39" i="20"/>
  <c r="G39" i="20"/>
  <c r="O38" i="20"/>
  <c r="N38" i="20"/>
  <c r="DJ63" i="1" s="1"/>
  <c r="M38" i="20"/>
  <c r="L38" i="20"/>
  <c r="K38" i="20"/>
  <c r="J38" i="20"/>
  <c r="I38" i="20"/>
  <c r="DH63" i="1" s="1"/>
  <c r="H38" i="20"/>
  <c r="DG63" i="1" s="1"/>
  <c r="G38" i="20"/>
  <c r="K37" i="20"/>
  <c r="I37" i="20"/>
  <c r="O36" i="20"/>
  <c r="O34" i="20" s="1"/>
  <c r="N36" i="20"/>
  <c r="K36" i="20"/>
  <c r="G36" i="20"/>
  <c r="N35" i="20"/>
  <c r="P35" i="20" s="1"/>
  <c r="K35" i="20"/>
  <c r="G35" i="20"/>
  <c r="G34" i="20" s="1"/>
  <c r="M34" i="20"/>
  <c r="L34" i="20"/>
  <c r="J34" i="20"/>
  <c r="I34" i="20"/>
  <c r="DH74" i="1" s="1"/>
  <c r="H34" i="20"/>
  <c r="DG74" i="1" s="1"/>
  <c r="DI74" i="1" s="1"/>
  <c r="N33" i="20"/>
  <c r="P33" i="20" s="1"/>
  <c r="Q33" i="20" s="1"/>
  <c r="K33" i="20"/>
  <c r="G33" i="20"/>
  <c r="N32" i="20"/>
  <c r="P32" i="20" s="1"/>
  <c r="Q32" i="20" s="1"/>
  <c r="K32" i="20"/>
  <c r="G32" i="20"/>
  <c r="N31" i="20"/>
  <c r="P31" i="20" s="1"/>
  <c r="Q31" i="20" s="1"/>
  <c r="K31" i="20"/>
  <c r="G31" i="20"/>
  <c r="N30" i="20"/>
  <c r="P30" i="20" s="1"/>
  <c r="Q30" i="20" s="1"/>
  <c r="K30" i="20"/>
  <c r="G30" i="20"/>
  <c r="N29" i="20"/>
  <c r="P29" i="20" s="1"/>
  <c r="Q29" i="20" s="1"/>
  <c r="K29" i="20"/>
  <c r="G29" i="20"/>
  <c r="O28" i="20"/>
  <c r="M28" i="20"/>
  <c r="L28" i="20"/>
  <c r="J28" i="20"/>
  <c r="I28" i="20"/>
  <c r="DH62" i="1" s="1"/>
  <c r="H28" i="20"/>
  <c r="DG62" i="1" s="1"/>
  <c r="N27" i="20"/>
  <c r="K27" i="20"/>
  <c r="G27" i="20"/>
  <c r="N26" i="20"/>
  <c r="P26" i="20" s="1"/>
  <c r="Q26" i="20" s="1"/>
  <c r="K26" i="20"/>
  <c r="G26" i="20"/>
  <c r="N25" i="20"/>
  <c r="P25" i="20" s="1"/>
  <c r="Q25" i="20" s="1"/>
  <c r="K25" i="20"/>
  <c r="G25" i="20"/>
  <c r="N24" i="20"/>
  <c r="K24" i="20"/>
  <c r="G24" i="20"/>
  <c r="N23" i="20"/>
  <c r="P23" i="20" s="1"/>
  <c r="Q23" i="20" s="1"/>
  <c r="K23" i="20"/>
  <c r="G23" i="20"/>
  <c r="O22" i="20"/>
  <c r="M22" i="20"/>
  <c r="L22" i="20"/>
  <c r="J22" i="20"/>
  <c r="I22" i="20"/>
  <c r="DH64" i="1" s="1"/>
  <c r="H22" i="20"/>
  <c r="DG64" i="1" s="1"/>
  <c r="I21" i="20"/>
  <c r="H21" i="20"/>
  <c r="CZ27" i="1"/>
  <c r="DA27" i="1"/>
  <c r="DB27" i="1"/>
  <c r="DD27" i="1"/>
  <c r="DE27" i="1"/>
  <c r="CZ28" i="1"/>
  <c r="DA28" i="1"/>
  <c r="DB28" i="1"/>
  <c r="DD28" i="1"/>
  <c r="DE28" i="1"/>
  <c r="CZ29" i="1"/>
  <c r="DA29" i="1"/>
  <c r="DB29" i="1"/>
  <c r="DD29" i="1"/>
  <c r="DE29" i="1"/>
  <c r="CZ30" i="1"/>
  <c r="DB30" i="1"/>
  <c r="CZ31" i="1"/>
  <c r="DA31" i="1"/>
  <c r="DB31" i="1"/>
  <c r="DD31" i="1"/>
  <c r="DE31" i="1"/>
  <c r="CZ32" i="1"/>
  <c r="DA32" i="1"/>
  <c r="DB32" i="1"/>
  <c r="DD32" i="1"/>
  <c r="DE32" i="1"/>
  <c r="CZ33" i="1"/>
  <c r="DA33" i="1"/>
  <c r="DB33" i="1"/>
  <c r="DD33" i="1"/>
  <c r="DE33" i="1"/>
  <c r="CZ34" i="1"/>
  <c r="DA34" i="1"/>
  <c r="DB34" i="1"/>
  <c r="DD34" i="1"/>
  <c r="DE34" i="1"/>
  <c r="CZ35" i="1"/>
  <c r="DA35" i="1"/>
  <c r="DB35" i="1"/>
  <c r="DD35" i="1"/>
  <c r="DE35" i="1"/>
  <c r="CZ36" i="1"/>
  <c r="DA36" i="1"/>
  <c r="DB36" i="1"/>
  <c r="DD36" i="1"/>
  <c r="DE36" i="1"/>
  <c r="CZ37" i="1"/>
  <c r="DA37" i="1"/>
  <c r="DB37" i="1"/>
  <c r="DD37" i="1"/>
  <c r="DE37" i="1"/>
  <c r="CZ38" i="1"/>
  <c r="DA38" i="1"/>
  <c r="DB38" i="1"/>
  <c r="DD38" i="1"/>
  <c r="DE38" i="1"/>
  <c r="CZ39" i="1"/>
  <c r="DA39" i="1"/>
  <c r="DB39" i="1"/>
  <c r="DD39" i="1"/>
  <c r="DE39" i="1"/>
  <c r="CZ40" i="1"/>
  <c r="DA40" i="1"/>
  <c r="DB40" i="1"/>
  <c r="DD40" i="1"/>
  <c r="DE40" i="1"/>
  <c r="CZ41" i="1"/>
  <c r="DA41" i="1"/>
  <c r="DB41" i="1"/>
  <c r="DD41" i="1"/>
  <c r="DE41" i="1"/>
  <c r="CZ42" i="1"/>
  <c r="DA42" i="1"/>
  <c r="DB42" i="1"/>
  <c r="DD42" i="1"/>
  <c r="DE42" i="1"/>
  <c r="CZ43" i="1"/>
  <c r="DA43" i="1"/>
  <c r="DB43" i="1"/>
  <c r="DD43" i="1"/>
  <c r="DE43" i="1"/>
  <c r="CZ44" i="1"/>
  <c r="DA44" i="1"/>
  <c r="DB44" i="1"/>
  <c r="DD44" i="1"/>
  <c r="DE44" i="1"/>
  <c r="CZ45" i="1"/>
  <c r="DA45" i="1"/>
  <c r="DB45" i="1"/>
  <c r="DD45" i="1"/>
  <c r="DE45" i="1"/>
  <c r="CZ46" i="1"/>
  <c r="DA46" i="1"/>
  <c r="DB46" i="1"/>
  <c r="DD46" i="1"/>
  <c r="DE46" i="1"/>
  <c r="CZ47" i="1"/>
  <c r="DA47" i="1"/>
  <c r="DB47" i="1"/>
  <c r="DD47" i="1"/>
  <c r="DE47" i="1"/>
  <c r="CZ48" i="1"/>
  <c r="DA48" i="1"/>
  <c r="DB48" i="1"/>
  <c r="DD48" i="1"/>
  <c r="DE48" i="1"/>
  <c r="CZ49" i="1"/>
  <c r="DA49" i="1"/>
  <c r="DB49" i="1"/>
  <c r="DD49" i="1"/>
  <c r="DE49" i="1"/>
  <c r="CZ50" i="1"/>
  <c r="DA50" i="1"/>
  <c r="DB50" i="1"/>
  <c r="DC50" i="1" s="1"/>
  <c r="DD50" i="1"/>
  <c r="DE50" i="1"/>
  <c r="CZ51" i="1"/>
  <c r="DA51" i="1"/>
  <c r="DB51" i="1"/>
  <c r="DD51" i="1"/>
  <c r="DE51" i="1"/>
  <c r="CZ52" i="1"/>
  <c r="DA52" i="1"/>
  <c r="DB52" i="1"/>
  <c r="DD52" i="1"/>
  <c r="DE52" i="1"/>
  <c r="CZ53" i="1"/>
  <c r="DA53" i="1"/>
  <c r="DB53" i="1"/>
  <c r="DD53" i="1"/>
  <c r="DE53" i="1"/>
  <c r="CZ54" i="1"/>
  <c r="DA54" i="1"/>
  <c r="DB54" i="1"/>
  <c r="DD54" i="1"/>
  <c r="DE54" i="1"/>
  <c r="CZ55" i="1"/>
  <c r="DA55" i="1"/>
  <c r="DB55" i="1"/>
  <c r="DD55" i="1"/>
  <c r="DE55" i="1"/>
  <c r="CZ56" i="1"/>
  <c r="DA56" i="1"/>
  <c r="DB56" i="1"/>
  <c r="DD56" i="1"/>
  <c r="DE56" i="1"/>
  <c r="CZ57" i="1"/>
  <c r="DA57" i="1"/>
  <c r="DB57" i="1"/>
  <c r="DD57" i="1"/>
  <c r="DE57" i="1"/>
  <c r="CZ58" i="1"/>
  <c r="DA58" i="1"/>
  <c r="DB58" i="1"/>
  <c r="DD58" i="1"/>
  <c r="DE58" i="1"/>
  <c r="CZ59" i="1"/>
  <c r="DA59" i="1"/>
  <c r="DB59" i="1"/>
  <c r="DD59" i="1"/>
  <c r="DE59" i="1"/>
  <c r="DE26" i="1"/>
  <c r="DD26" i="1"/>
  <c r="DB26" i="1"/>
  <c r="DA26" i="1"/>
  <c r="CZ26" i="1"/>
  <c r="CZ4" i="1"/>
  <c r="DB4" i="1"/>
  <c r="CZ5" i="1"/>
  <c r="DB5" i="1"/>
  <c r="CZ7" i="1"/>
  <c r="DA7" i="1"/>
  <c r="DB7" i="1"/>
  <c r="DD7" i="1"/>
  <c r="DE7" i="1"/>
  <c r="CZ8" i="1"/>
  <c r="DB8" i="1"/>
  <c r="CZ9" i="1"/>
  <c r="DA9" i="1"/>
  <c r="DB9" i="1"/>
  <c r="DD9" i="1"/>
  <c r="DE9" i="1"/>
  <c r="CZ10" i="1"/>
  <c r="DA10" i="1"/>
  <c r="DB10" i="1"/>
  <c r="DD10" i="1"/>
  <c r="DE10" i="1"/>
  <c r="CZ11" i="1"/>
  <c r="DB11" i="1"/>
  <c r="CZ12" i="1"/>
  <c r="DA12" i="1"/>
  <c r="DB12" i="1"/>
  <c r="DD12" i="1"/>
  <c r="DE12" i="1"/>
  <c r="CZ13" i="1"/>
  <c r="DA13" i="1"/>
  <c r="DB13" i="1"/>
  <c r="DD13" i="1"/>
  <c r="DE13" i="1"/>
  <c r="CZ15" i="1"/>
  <c r="DB15" i="1"/>
  <c r="CZ16" i="1"/>
  <c r="DB16" i="1"/>
  <c r="CZ19" i="1"/>
  <c r="DB19" i="1"/>
  <c r="CZ20" i="1"/>
  <c r="DB20" i="1"/>
  <c r="CZ23" i="1"/>
  <c r="DA23" i="1"/>
  <c r="DB23" i="1"/>
  <c r="DD23" i="1"/>
  <c r="DE23" i="1"/>
  <c r="CZ24" i="1"/>
  <c r="DB24" i="1"/>
  <c r="CZ25" i="1"/>
  <c r="DB25" i="1"/>
  <c r="DE3" i="1"/>
  <c r="DD3" i="1"/>
  <c r="DB3" i="1"/>
  <c r="DA3" i="1"/>
  <c r="CZ3" i="1"/>
  <c r="CT27" i="1"/>
  <c r="CU27" i="1"/>
  <c r="CV27" i="1"/>
  <c r="CX27" i="1"/>
  <c r="CY27" i="1"/>
  <c r="CT28" i="1"/>
  <c r="CU28" i="1"/>
  <c r="CV28" i="1"/>
  <c r="CX28" i="1"/>
  <c r="CY28" i="1"/>
  <c r="CT29" i="1"/>
  <c r="CU29" i="1"/>
  <c r="CV29" i="1"/>
  <c r="CX29" i="1"/>
  <c r="CY29" i="1"/>
  <c r="CT30" i="1"/>
  <c r="CU30" i="1"/>
  <c r="CV30" i="1"/>
  <c r="CW30" i="1"/>
  <c r="CX30" i="1"/>
  <c r="CY30" i="1"/>
  <c r="CT31" i="1"/>
  <c r="CU31" i="1"/>
  <c r="CV31" i="1"/>
  <c r="CX31" i="1"/>
  <c r="CY31" i="1"/>
  <c r="CT32" i="1"/>
  <c r="CU32" i="1"/>
  <c r="CV32" i="1"/>
  <c r="CX32" i="1"/>
  <c r="CY32" i="1"/>
  <c r="CT33" i="1"/>
  <c r="CU33" i="1"/>
  <c r="CV33" i="1"/>
  <c r="CW33" i="1"/>
  <c r="CX33" i="1"/>
  <c r="CY33" i="1"/>
  <c r="CT34" i="1"/>
  <c r="CU34" i="1"/>
  <c r="CV34" i="1"/>
  <c r="CX34" i="1"/>
  <c r="CY34" i="1"/>
  <c r="CT35" i="1"/>
  <c r="CU35" i="1"/>
  <c r="CV35" i="1"/>
  <c r="CX35" i="1"/>
  <c r="CY35" i="1"/>
  <c r="CT36" i="1"/>
  <c r="CU36" i="1"/>
  <c r="CV36" i="1"/>
  <c r="CX36" i="1"/>
  <c r="CY36" i="1"/>
  <c r="CT37" i="1"/>
  <c r="CU37" i="1"/>
  <c r="CV37" i="1"/>
  <c r="CX37" i="1"/>
  <c r="CY37" i="1"/>
  <c r="CT38" i="1"/>
  <c r="CU38" i="1"/>
  <c r="CV38" i="1"/>
  <c r="CX38" i="1"/>
  <c r="CY38" i="1"/>
  <c r="CT39" i="1"/>
  <c r="CU39" i="1"/>
  <c r="CV39" i="1"/>
  <c r="CX39" i="1"/>
  <c r="CY39" i="1"/>
  <c r="CT40" i="1"/>
  <c r="CT41" i="1"/>
  <c r="CU41" i="1"/>
  <c r="CV41" i="1"/>
  <c r="CX41" i="1"/>
  <c r="CY41" i="1"/>
  <c r="CT42" i="1"/>
  <c r="CU42" i="1"/>
  <c r="CV42" i="1"/>
  <c r="CX42" i="1"/>
  <c r="CY42" i="1"/>
  <c r="CT43" i="1"/>
  <c r="CU43" i="1"/>
  <c r="CV43" i="1"/>
  <c r="CX43" i="1"/>
  <c r="CY43" i="1"/>
  <c r="CT44" i="1"/>
  <c r="CU44" i="1"/>
  <c r="CV44" i="1"/>
  <c r="CX44" i="1"/>
  <c r="CY44" i="1"/>
  <c r="CT45" i="1"/>
  <c r="CU45" i="1"/>
  <c r="CV45" i="1"/>
  <c r="CX45" i="1"/>
  <c r="CY45" i="1"/>
  <c r="CT46" i="1"/>
  <c r="CU46" i="1"/>
  <c r="CV46" i="1"/>
  <c r="CX46" i="1"/>
  <c r="CY46" i="1"/>
  <c r="CT47" i="1"/>
  <c r="CU47" i="1"/>
  <c r="CV47" i="1"/>
  <c r="CX47" i="1"/>
  <c r="CY47" i="1"/>
  <c r="CT48" i="1"/>
  <c r="CU48" i="1"/>
  <c r="CV48" i="1"/>
  <c r="CX48" i="1"/>
  <c r="CY48" i="1"/>
  <c r="CT49" i="1"/>
  <c r="CU49" i="1"/>
  <c r="CV49" i="1"/>
  <c r="CX49" i="1"/>
  <c r="CY49" i="1"/>
  <c r="CT50" i="1"/>
  <c r="CU50" i="1"/>
  <c r="CV50" i="1"/>
  <c r="CX50" i="1"/>
  <c r="CY50" i="1"/>
  <c r="CT51" i="1"/>
  <c r="CU51" i="1"/>
  <c r="CV51" i="1"/>
  <c r="CX51" i="1"/>
  <c r="CY51" i="1"/>
  <c r="CT52" i="1"/>
  <c r="CU52" i="1"/>
  <c r="CV52" i="1"/>
  <c r="CX52" i="1"/>
  <c r="CY52" i="1"/>
  <c r="CT53" i="1"/>
  <c r="CU53" i="1"/>
  <c r="CV53" i="1"/>
  <c r="CX53" i="1"/>
  <c r="CY53" i="1"/>
  <c r="CT54" i="1"/>
  <c r="CU54" i="1"/>
  <c r="CV54" i="1"/>
  <c r="CX54" i="1"/>
  <c r="CY54" i="1"/>
  <c r="CT55" i="1"/>
  <c r="CU55" i="1"/>
  <c r="CV55" i="1"/>
  <c r="CX55" i="1"/>
  <c r="CY55" i="1"/>
  <c r="CT56" i="1"/>
  <c r="CU56" i="1"/>
  <c r="CV56" i="1"/>
  <c r="CX56" i="1"/>
  <c r="CY56" i="1"/>
  <c r="CT57" i="1"/>
  <c r="CU57" i="1"/>
  <c r="CV57" i="1"/>
  <c r="CX57" i="1"/>
  <c r="CY57" i="1"/>
  <c r="CT58" i="1"/>
  <c r="CU58" i="1"/>
  <c r="CV58" i="1"/>
  <c r="CX58" i="1"/>
  <c r="CY58" i="1"/>
  <c r="CT59" i="1"/>
  <c r="CU59" i="1"/>
  <c r="CV59" i="1"/>
  <c r="CX59" i="1"/>
  <c r="CY59" i="1"/>
  <c r="CY26" i="1"/>
  <c r="CX26" i="1"/>
  <c r="CV26" i="1"/>
  <c r="CU26" i="1"/>
  <c r="CT26" i="1"/>
  <c r="CT4" i="1"/>
  <c r="CU4" i="1"/>
  <c r="CV4" i="1"/>
  <c r="CX4" i="1"/>
  <c r="CY4" i="1"/>
  <c r="CT5" i="1"/>
  <c r="CU5" i="1"/>
  <c r="CV5" i="1"/>
  <c r="CX5" i="1"/>
  <c r="CY5" i="1"/>
  <c r="CT6" i="1"/>
  <c r="CU6" i="1"/>
  <c r="CV6" i="1"/>
  <c r="CX6" i="1"/>
  <c r="CY6" i="1"/>
  <c r="CT7" i="1"/>
  <c r="CU7" i="1"/>
  <c r="CV7" i="1"/>
  <c r="CX7" i="1"/>
  <c r="CY7" i="1"/>
  <c r="CT8" i="1"/>
  <c r="CU8" i="1"/>
  <c r="CV8" i="1"/>
  <c r="CX8" i="1"/>
  <c r="CY8" i="1"/>
  <c r="CT9" i="1"/>
  <c r="CU9" i="1"/>
  <c r="CV9" i="1"/>
  <c r="CX9" i="1"/>
  <c r="CY9" i="1"/>
  <c r="CT10" i="1"/>
  <c r="CU10" i="1"/>
  <c r="CV10" i="1"/>
  <c r="CX10" i="1"/>
  <c r="CY10" i="1"/>
  <c r="CT11" i="1"/>
  <c r="CU11" i="1"/>
  <c r="CV11" i="1"/>
  <c r="CX11" i="1"/>
  <c r="CY11" i="1"/>
  <c r="CT12" i="1"/>
  <c r="CT13" i="1"/>
  <c r="CU13" i="1"/>
  <c r="CV13" i="1"/>
  <c r="CX13" i="1"/>
  <c r="CY13" i="1"/>
  <c r="CT14" i="1"/>
  <c r="CT15" i="1"/>
  <c r="CT16" i="1"/>
  <c r="CU16" i="1"/>
  <c r="CV16" i="1"/>
  <c r="CX16" i="1"/>
  <c r="CY16" i="1"/>
  <c r="CT17" i="1"/>
  <c r="CT18" i="1"/>
  <c r="CU18" i="1"/>
  <c r="CV18" i="1"/>
  <c r="CT19" i="1"/>
  <c r="CU19" i="1"/>
  <c r="CV19" i="1"/>
  <c r="CX19" i="1"/>
  <c r="CY19" i="1"/>
  <c r="CT20" i="1"/>
  <c r="CT21" i="1"/>
  <c r="CU21" i="1"/>
  <c r="CV21" i="1"/>
  <c r="CX21" i="1"/>
  <c r="CY21" i="1"/>
  <c r="CT22" i="1"/>
  <c r="CU22" i="1"/>
  <c r="CV22" i="1"/>
  <c r="CX22" i="1"/>
  <c r="CY22" i="1"/>
  <c r="CT23" i="1"/>
  <c r="CU23" i="1"/>
  <c r="CV23" i="1"/>
  <c r="CT24" i="1"/>
  <c r="CT25" i="1"/>
  <c r="CU25" i="1"/>
  <c r="CV25" i="1"/>
  <c r="CY3" i="1"/>
  <c r="CV3" i="1"/>
  <c r="CX3" i="1"/>
  <c r="CU3" i="1"/>
  <c r="CT3" i="1"/>
  <c r="CN81" i="1"/>
  <c r="CN82" i="1"/>
  <c r="CN83" i="1"/>
  <c r="CO83" i="1"/>
  <c r="CP83" i="1"/>
  <c r="CR83" i="1"/>
  <c r="CS83" i="1"/>
  <c r="CN84" i="1"/>
  <c r="CO84" i="1"/>
  <c r="CP84" i="1"/>
  <c r="CR84" i="1"/>
  <c r="CS84" i="1"/>
  <c r="CN85" i="1"/>
  <c r="CO85" i="1"/>
  <c r="CP85" i="1"/>
  <c r="CR85" i="1"/>
  <c r="CS85" i="1"/>
  <c r="CN86" i="1"/>
  <c r="CO86" i="1"/>
  <c r="CP86" i="1"/>
  <c r="CR86" i="1"/>
  <c r="CS86" i="1"/>
  <c r="CN87" i="1"/>
  <c r="CO87" i="1"/>
  <c r="CP87" i="1"/>
  <c r="CR87" i="1"/>
  <c r="CS87" i="1"/>
  <c r="CN88" i="1"/>
  <c r="CO88" i="1"/>
  <c r="CP88" i="1"/>
  <c r="CQ88" i="1" s="1"/>
  <c r="CN89" i="1"/>
  <c r="CO89" i="1"/>
  <c r="CP89" i="1"/>
  <c r="CN90" i="1"/>
  <c r="CN91" i="1"/>
  <c r="CN92" i="1"/>
  <c r="CO92" i="1"/>
  <c r="CP92" i="1"/>
  <c r="CR92" i="1"/>
  <c r="CS92" i="1"/>
  <c r="CN93" i="1"/>
  <c r="CO93" i="1"/>
  <c r="CP93" i="1"/>
  <c r="CR93" i="1"/>
  <c r="CS93" i="1"/>
  <c r="CN94" i="1"/>
  <c r="CN95" i="1"/>
  <c r="CN96" i="1"/>
  <c r="CN97" i="1"/>
  <c r="CN98" i="1"/>
  <c r="CO98" i="1"/>
  <c r="CP98" i="1"/>
  <c r="CR98" i="1"/>
  <c r="CS98" i="1"/>
  <c r="CN99" i="1"/>
  <c r="CN100" i="1"/>
  <c r="CO100" i="1"/>
  <c r="CP100" i="1"/>
  <c r="CR100" i="1"/>
  <c r="CN101" i="1"/>
  <c r="CO101" i="1"/>
  <c r="CP101" i="1"/>
  <c r="CN102" i="1"/>
  <c r="CN103" i="1"/>
  <c r="CN104" i="1"/>
  <c r="CN105" i="1"/>
  <c r="CO105" i="1"/>
  <c r="CP105" i="1"/>
  <c r="CN106" i="1"/>
  <c r="CO106" i="1"/>
  <c r="CP106" i="1"/>
  <c r="CR106" i="1"/>
  <c r="CS106" i="1"/>
  <c r="CN107" i="1"/>
  <c r="CN108" i="1"/>
  <c r="CO108" i="1"/>
  <c r="CP108" i="1"/>
  <c r="CN109" i="1"/>
  <c r="CN110" i="1"/>
  <c r="CO110" i="1"/>
  <c r="CP110" i="1"/>
  <c r="CR110" i="1"/>
  <c r="CS110" i="1"/>
  <c r="CN111" i="1"/>
  <c r="CO111" i="1"/>
  <c r="CP111" i="1"/>
  <c r="CQ111" i="1" s="1"/>
  <c r="CN112" i="1"/>
  <c r="CN113" i="1"/>
  <c r="CO113" i="1"/>
  <c r="CP113" i="1"/>
  <c r="CR113" i="1"/>
  <c r="CS113" i="1"/>
  <c r="CN114" i="1"/>
  <c r="CO114" i="1"/>
  <c r="CP114" i="1"/>
  <c r="CN115" i="1"/>
  <c r="CO115" i="1"/>
  <c r="CP115" i="1"/>
  <c r="CQ115" i="1" s="1"/>
  <c r="CN116" i="1"/>
  <c r="CO116" i="1"/>
  <c r="CP116" i="1"/>
  <c r="CN117" i="1"/>
  <c r="CO117" i="1"/>
  <c r="CP117" i="1"/>
  <c r="CR117" i="1"/>
  <c r="CS117" i="1"/>
  <c r="CN118" i="1"/>
  <c r="CN119" i="1"/>
  <c r="CO119" i="1"/>
  <c r="CP119" i="1"/>
  <c r="CQ119" i="1" s="1"/>
  <c r="CN120" i="1"/>
  <c r="CO120" i="1"/>
  <c r="CP120" i="1"/>
  <c r="CQ120" i="1" s="1"/>
  <c r="CR120" i="1"/>
  <c r="CS120" i="1"/>
  <c r="CN121" i="1"/>
  <c r="CO121" i="1"/>
  <c r="CP121" i="1"/>
  <c r="CN122" i="1"/>
  <c r="CN123" i="1"/>
  <c r="CO123" i="1"/>
  <c r="CP123" i="1"/>
  <c r="CQ123" i="1" s="1"/>
  <c r="CR123" i="1"/>
  <c r="CS123" i="1"/>
  <c r="CN124" i="1"/>
  <c r="CO124" i="1"/>
  <c r="CP124" i="1"/>
  <c r="CR124" i="1"/>
  <c r="CS124" i="1"/>
  <c r="CN125" i="1"/>
  <c r="CN126" i="1"/>
  <c r="CO126" i="1"/>
  <c r="CP126" i="1"/>
  <c r="CN127" i="1"/>
  <c r="CO127" i="1"/>
  <c r="CP127" i="1"/>
  <c r="CQ127" i="1" s="1"/>
  <c r="CN80" i="1"/>
  <c r="CN61" i="1"/>
  <c r="CO61" i="1"/>
  <c r="CP61" i="1"/>
  <c r="CR61" i="1"/>
  <c r="CS61" i="1"/>
  <c r="CN62" i="1"/>
  <c r="CO62" i="1"/>
  <c r="CP62" i="1"/>
  <c r="CR62" i="1"/>
  <c r="CS62" i="1"/>
  <c r="CN63" i="1"/>
  <c r="CO63" i="1"/>
  <c r="CP63" i="1"/>
  <c r="CR63" i="1"/>
  <c r="CS63" i="1"/>
  <c r="CN64" i="1"/>
  <c r="CO64" i="1"/>
  <c r="CP64" i="1"/>
  <c r="CR64" i="1"/>
  <c r="CS64" i="1"/>
  <c r="CN65" i="1"/>
  <c r="CO65" i="1"/>
  <c r="CP65" i="1"/>
  <c r="CN66" i="1"/>
  <c r="CO66" i="1"/>
  <c r="CP66" i="1"/>
  <c r="CN67" i="1"/>
  <c r="CO67" i="1"/>
  <c r="CP67" i="1"/>
  <c r="CR67" i="1"/>
  <c r="CS67" i="1"/>
  <c r="CN68" i="1"/>
  <c r="CN69" i="1"/>
  <c r="CO69" i="1"/>
  <c r="CP69" i="1"/>
  <c r="CR69" i="1"/>
  <c r="CS69" i="1"/>
  <c r="CN70" i="1"/>
  <c r="CN71" i="1"/>
  <c r="CO71" i="1"/>
  <c r="CP71" i="1"/>
  <c r="CR71" i="1"/>
  <c r="CS71" i="1"/>
  <c r="CN72" i="1"/>
  <c r="CO72" i="1"/>
  <c r="CP72" i="1"/>
  <c r="CN73" i="1"/>
  <c r="CN74" i="1"/>
  <c r="CO74" i="1"/>
  <c r="CP74" i="1"/>
  <c r="CR74" i="1"/>
  <c r="CS74" i="1"/>
  <c r="CN75" i="1"/>
  <c r="CO75" i="1"/>
  <c r="CP75" i="1"/>
  <c r="CR75" i="1"/>
  <c r="CS75" i="1"/>
  <c r="CN76" i="1"/>
  <c r="CO76" i="1"/>
  <c r="CP76" i="1"/>
  <c r="CR76" i="1"/>
  <c r="CS76" i="1"/>
  <c r="CN77" i="1"/>
  <c r="CO77" i="1"/>
  <c r="CP77" i="1"/>
  <c r="CR77" i="1"/>
  <c r="CS77" i="1"/>
  <c r="CN78" i="1"/>
  <c r="CP78" i="1"/>
  <c r="CR78" i="1"/>
  <c r="CN79" i="1"/>
  <c r="CO79" i="1"/>
  <c r="CP79" i="1"/>
  <c r="CR79" i="1"/>
  <c r="CS79" i="1"/>
  <c r="CS60" i="1"/>
  <c r="CR60" i="1"/>
  <c r="CP60" i="1"/>
  <c r="CO60" i="1"/>
  <c r="CN60" i="1"/>
  <c r="CN27" i="1"/>
  <c r="CN28" i="1"/>
  <c r="CN29" i="1"/>
  <c r="CN30" i="1"/>
  <c r="CN31" i="1"/>
  <c r="CO31" i="1"/>
  <c r="CP31" i="1"/>
  <c r="CN32" i="1"/>
  <c r="CO32" i="1"/>
  <c r="CP32" i="1"/>
  <c r="CR32" i="1"/>
  <c r="CS32" i="1"/>
  <c r="CN33" i="1"/>
  <c r="CN34" i="1"/>
  <c r="CO34" i="1"/>
  <c r="CP34" i="1"/>
  <c r="CR34" i="1"/>
  <c r="CS34" i="1"/>
  <c r="CN35" i="1"/>
  <c r="CO35" i="1"/>
  <c r="CP35" i="1"/>
  <c r="CN36" i="1"/>
  <c r="CO36" i="1"/>
  <c r="CP36" i="1"/>
  <c r="CN37" i="1"/>
  <c r="CO37" i="1"/>
  <c r="CP37" i="1"/>
  <c r="CN38" i="1"/>
  <c r="CN39" i="1"/>
  <c r="CN40" i="1"/>
  <c r="CN41" i="1"/>
  <c r="CO41" i="1"/>
  <c r="CP41" i="1"/>
  <c r="CR41" i="1"/>
  <c r="CS41" i="1"/>
  <c r="CN42" i="1"/>
  <c r="CO42" i="1"/>
  <c r="CP42" i="1"/>
  <c r="CN43" i="1"/>
  <c r="CN44" i="1"/>
  <c r="CO44" i="1"/>
  <c r="CP44" i="1"/>
  <c r="CR44" i="1"/>
  <c r="CS44" i="1"/>
  <c r="CN45" i="1"/>
  <c r="CO45" i="1"/>
  <c r="CP45" i="1"/>
  <c r="CN46" i="1"/>
  <c r="CO46" i="1"/>
  <c r="CP46" i="1"/>
  <c r="CQ46" i="1" s="1"/>
  <c r="CR46" i="1"/>
  <c r="CS46" i="1"/>
  <c r="CN47" i="1"/>
  <c r="CN48" i="1"/>
  <c r="CN49" i="1"/>
  <c r="CO49" i="1"/>
  <c r="CP49" i="1"/>
  <c r="CQ49" i="1"/>
  <c r="CN50" i="1"/>
  <c r="CO50" i="1"/>
  <c r="CP50" i="1"/>
  <c r="CN51" i="1"/>
  <c r="CN52" i="1"/>
  <c r="CN53" i="1"/>
  <c r="CO53" i="1"/>
  <c r="CP53" i="1"/>
  <c r="CR53" i="1"/>
  <c r="CS53" i="1"/>
  <c r="CN54" i="1"/>
  <c r="CN55" i="1"/>
  <c r="CO55" i="1"/>
  <c r="CP55" i="1"/>
  <c r="CR55" i="1"/>
  <c r="CS55" i="1"/>
  <c r="CN56" i="1"/>
  <c r="CO56" i="1"/>
  <c r="CP56" i="1"/>
  <c r="CR56" i="1"/>
  <c r="CS56" i="1"/>
  <c r="CN57" i="1"/>
  <c r="CN58" i="1"/>
  <c r="CO58" i="1"/>
  <c r="CP58" i="1"/>
  <c r="CR58" i="1"/>
  <c r="CS58" i="1"/>
  <c r="CN59" i="1"/>
  <c r="CS26" i="1"/>
  <c r="CR26" i="1"/>
  <c r="CP26" i="1"/>
  <c r="CO26" i="1"/>
  <c r="CN26" i="1"/>
  <c r="CR3" i="1"/>
  <c r="CN4" i="1"/>
  <c r="CO4" i="1"/>
  <c r="CP4" i="1"/>
  <c r="CN5" i="1"/>
  <c r="CN6" i="1"/>
  <c r="CO6" i="1"/>
  <c r="CP6" i="1"/>
  <c r="CR6" i="1"/>
  <c r="CS6" i="1"/>
  <c r="CN7" i="1"/>
  <c r="CO7" i="1"/>
  <c r="CP7" i="1"/>
  <c r="CQ7" i="1" s="1"/>
  <c r="CR7" i="1"/>
  <c r="CS7" i="1"/>
  <c r="CN8" i="1"/>
  <c r="CO8" i="1"/>
  <c r="CP8" i="1"/>
  <c r="CR8" i="1"/>
  <c r="CS8" i="1"/>
  <c r="CN9" i="1"/>
  <c r="CO9" i="1"/>
  <c r="CP9" i="1"/>
  <c r="CR9" i="1"/>
  <c r="CS9" i="1"/>
  <c r="CN10" i="1"/>
  <c r="CO10" i="1"/>
  <c r="CP10" i="1"/>
  <c r="CN11" i="1"/>
  <c r="CN12" i="1"/>
  <c r="CO12" i="1"/>
  <c r="CP12" i="1"/>
  <c r="CN13" i="1"/>
  <c r="CO13" i="1"/>
  <c r="CP13" i="1"/>
  <c r="CR13" i="1"/>
  <c r="CS13" i="1"/>
  <c r="CN14" i="1"/>
  <c r="CO14" i="1"/>
  <c r="CP14" i="1"/>
  <c r="CR14" i="1"/>
  <c r="CS14" i="1"/>
  <c r="CN15" i="1"/>
  <c r="CO15" i="1"/>
  <c r="CP15" i="1"/>
  <c r="CR15" i="1"/>
  <c r="CS15" i="1"/>
  <c r="CN16" i="1"/>
  <c r="CO16" i="1"/>
  <c r="CP16" i="1"/>
  <c r="CN17" i="1"/>
  <c r="CO17" i="1"/>
  <c r="CP17" i="1"/>
  <c r="CR17" i="1"/>
  <c r="CS17" i="1"/>
  <c r="CN18" i="1"/>
  <c r="CN19" i="1"/>
  <c r="CO19" i="1"/>
  <c r="CP19" i="1"/>
  <c r="CN20" i="1"/>
  <c r="CO20" i="1"/>
  <c r="CP20" i="1"/>
  <c r="CR20" i="1"/>
  <c r="CS20" i="1"/>
  <c r="CN21" i="1"/>
  <c r="CO21" i="1"/>
  <c r="CP21" i="1"/>
  <c r="CR21" i="1"/>
  <c r="CS21" i="1"/>
  <c r="CN22" i="1"/>
  <c r="CO22" i="1"/>
  <c r="CP22" i="1"/>
  <c r="CR22" i="1"/>
  <c r="CS22" i="1"/>
  <c r="CN23" i="1"/>
  <c r="CO23" i="1"/>
  <c r="CP23" i="1"/>
  <c r="CR23" i="1"/>
  <c r="CS23" i="1"/>
  <c r="CN24" i="1"/>
  <c r="CO24" i="1"/>
  <c r="CP24" i="1"/>
  <c r="CR24" i="1"/>
  <c r="CS24" i="1"/>
  <c r="CN25" i="1"/>
  <c r="CO25" i="1"/>
  <c r="CP25" i="1"/>
  <c r="CR25" i="1"/>
  <c r="CS25" i="1"/>
  <c r="CS3" i="1"/>
  <c r="CP3" i="1"/>
  <c r="CO3" i="1"/>
  <c r="CN3" i="1"/>
  <c r="R61" i="19"/>
  <c r="P61" i="19"/>
  <c r="O61" i="19"/>
  <c r="N61" i="19"/>
  <c r="M61" i="19"/>
  <c r="L61" i="19"/>
  <c r="K61" i="19"/>
  <c r="H60" i="19"/>
  <c r="J59" i="19"/>
  <c r="J58" i="19" s="1"/>
  <c r="I59" i="19"/>
  <c r="I58" i="19" s="1"/>
  <c r="H59" i="19"/>
  <c r="H58" i="19"/>
  <c r="H56" i="19"/>
  <c r="H55" i="19"/>
  <c r="Q55" i="19" s="1"/>
  <c r="H54" i="19"/>
  <c r="Q54" i="19" s="1"/>
  <c r="S54" i="19" s="1"/>
  <c r="R53" i="19"/>
  <c r="P53" i="19"/>
  <c r="O53" i="19"/>
  <c r="N53" i="19"/>
  <c r="M53" i="19"/>
  <c r="L53" i="19"/>
  <c r="K53" i="19"/>
  <c r="J53" i="19"/>
  <c r="I53" i="19"/>
  <c r="DB22" i="1" s="1"/>
  <c r="H53" i="19"/>
  <c r="DA22" i="1" s="1"/>
  <c r="DC22" i="1" s="1"/>
  <c r="G53" i="19"/>
  <c r="F53" i="19"/>
  <c r="E53" i="19"/>
  <c r="D53" i="19"/>
  <c r="CZ22" i="1" s="1"/>
  <c r="H52" i="19"/>
  <c r="Q52" i="19" s="1"/>
  <c r="S52" i="19" s="1"/>
  <c r="T52" i="19" s="1"/>
  <c r="H51" i="19"/>
  <c r="Q51" i="19" s="1"/>
  <c r="R50" i="19"/>
  <c r="P50" i="19"/>
  <c r="O50" i="19"/>
  <c r="N50" i="19"/>
  <c r="M50" i="19"/>
  <c r="L50" i="19"/>
  <c r="K50" i="19"/>
  <c r="J50" i="19"/>
  <c r="I50" i="19"/>
  <c r="DB21" i="1" s="1"/>
  <c r="H50" i="19"/>
  <c r="DA21" i="1" s="1"/>
  <c r="G50" i="19"/>
  <c r="F50" i="19"/>
  <c r="E50" i="19"/>
  <c r="D50" i="19"/>
  <c r="CZ21" i="1" s="1"/>
  <c r="H49" i="19"/>
  <c r="Q49" i="19" s="1"/>
  <c r="S49" i="19" s="1"/>
  <c r="T49" i="19" s="1"/>
  <c r="H48" i="19"/>
  <c r="Q48" i="19" s="1"/>
  <c r="R47" i="19"/>
  <c r="P47" i="19"/>
  <c r="O47" i="19"/>
  <c r="N47" i="19"/>
  <c r="M47" i="19"/>
  <c r="L47" i="19"/>
  <c r="K47" i="19"/>
  <c r="J47" i="19"/>
  <c r="I47" i="19"/>
  <c r="DB18" i="1" s="1"/>
  <c r="G47" i="19"/>
  <c r="F47" i="19"/>
  <c r="E47" i="19"/>
  <c r="D47" i="19"/>
  <c r="CZ18" i="1" s="1"/>
  <c r="H46" i="19"/>
  <c r="H45" i="19"/>
  <c r="H44" i="19"/>
  <c r="Q44" i="19" s="1"/>
  <c r="S44" i="19" s="1"/>
  <c r="T44" i="19" s="1"/>
  <c r="H43" i="19"/>
  <c r="H42" i="19" s="1"/>
  <c r="DA14" i="1" s="1"/>
  <c r="R42" i="19"/>
  <c r="P42" i="19"/>
  <c r="O42" i="19"/>
  <c r="N42" i="19"/>
  <c r="M42" i="19"/>
  <c r="L42" i="19"/>
  <c r="K42" i="19"/>
  <c r="J42" i="19"/>
  <c r="I42" i="19"/>
  <c r="DB14" i="1" s="1"/>
  <c r="G42" i="19"/>
  <c r="F42" i="19"/>
  <c r="E42" i="19"/>
  <c r="D42" i="19"/>
  <c r="CZ14" i="1" s="1"/>
  <c r="H41" i="19"/>
  <c r="H40" i="19"/>
  <c r="Q40" i="19" s="1"/>
  <c r="H39" i="19"/>
  <c r="Q39" i="19" s="1"/>
  <c r="S39" i="19" s="1"/>
  <c r="R38" i="19"/>
  <c r="P38" i="19"/>
  <c r="O38" i="19"/>
  <c r="N38" i="19"/>
  <c r="M38" i="19"/>
  <c r="L38" i="19"/>
  <c r="K38" i="19"/>
  <c r="J38" i="19"/>
  <c r="I38" i="19"/>
  <c r="G38" i="19"/>
  <c r="F38" i="19"/>
  <c r="E38" i="19"/>
  <c r="D38" i="19"/>
  <c r="H37" i="19"/>
  <c r="Q37" i="19" s="1"/>
  <c r="S37" i="19" s="1"/>
  <c r="T37" i="19" s="1"/>
  <c r="H36" i="19"/>
  <c r="J35" i="19"/>
  <c r="I35" i="19"/>
  <c r="H34" i="19"/>
  <c r="H33" i="19"/>
  <c r="H32" i="19"/>
  <c r="H31" i="19"/>
  <c r="Q31" i="19" s="1"/>
  <c r="S31" i="19" s="1"/>
  <c r="T31" i="19" s="1"/>
  <c r="H30" i="19"/>
  <c r="R29" i="19"/>
  <c r="P29" i="19"/>
  <c r="O29" i="19"/>
  <c r="N29" i="19"/>
  <c r="M29" i="19"/>
  <c r="L29" i="19"/>
  <c r="K29" i="19"/>
  <c r="J29" i="19"/>
  <c r="I29" i="19"/>
  <c r="G29" i="19"/>
  <c r="F29" i="19"/>
  <c r="E29" i="19"/>
  <c r="D29" i="19"/>
  <c r="CZ17" i="1" s="1"/>
  <c r="H28" i="19"/>
  <c r="H27" i="19"/>
  <c r="Q27" i="19" s="1"/>
  <c r="H26" i="19"/>
  <c r="Q26" i="19" s="1"/>
  <c r="S26" i="19" s="1"/>
  <c r="R25" i="19"/>
  <c r="P25" i="19"/>
  <c r="O25" i="19"/>
  <c r="N25" i="19"/>
  <c r="M25" i="19"/>
  <c r="L25" i="19"/>
  <c r="K25" i="19"/>
  <c r="J25" i="19"/>
  <c r="J23" i="19" s="1"/>
  <c r="J22" i="19" s="1"/>
  <c r="I25" i="19"/>
  <c r="DB6" i="1" s="1"/>
  <c r="G25" i="19"/>
  <c r="F25" i="19"/>
  <c r="E25" i="19"/>
  <c r="D25" i="19"/>
  <c r="CZ6" i="1" s="1"/>
  <c r="H24" i="19"/>
  <c r="N56" i="18"/>
  <c r="Q56" i="18" s="1"/>
  <c r="G56" i="18"/>
  <c r="N55" i="18"/>
  <c r="N54" i="18" s="1"/>
  <c r="CX40" i="1" s="1"/>
  <c r="G55" i="18"/>
  <c r="G54" i="18" s="1"/>
  <c r="P54" i="18"/>
  <c r="O54" i="18"/>
  <c r="M54" i="18"/>
  <c r="L54" i="18"/>
  <c r="K54" i="18"/>
  <c r="J54" i="18"/>
  <c r="I54" i="18"/>
  <c r="CV40" i="1" s="1"/>
  <c r="H54" i="18"/>
  <c r="CU40" i="1" s="1"/>
  <c r="N53" i="18"/>
  <c r="N52" i="18" s="1"/>
  <c r="I53" i="18"/>
  <c r="I52" i="18" s="1"/>
  <c r="H53" i="18"/>
  <c r="H52" i="18" s="1"/>
  <c r="N51" i="18"/>
  <c r="Q51" i="18" s="1"/>
  <c r="G51" i="18"/>
  <c r="N50" i="18"/>
  <c r="Q50" i="18" s="1"/>
  <c r="Q49" i="18" s="1"/>
  <c r="CY24" i="1" s="1"/>
  <c r="G50" i="18"/>
  <c r="P49" i="18"/>
  <c r="O49" i="18"/>
  <c r="N49" i="18"/>
  <c r="CX24" i="1" s="1"/>
  <c r="M49" i="18"/>
  <c r="L49" i="18"/>
  <c r="K49" i="18"/>
  <c r="J49" i="18"/>
  <c r="I49" i="18"/>
  <c r="CV24" i="1" s="1"/>
  <c r="H49" i="18"/>
  <c r="CU24" i="1" s="1"/>
  <c r="CW24" i="1" s="1"/>
  <c r="G49" i="18"/>
  <c r="N48" i="18"/>
  <c r="Q48" i="18" s="1"/>
  <c r="G48" i="18"/>
  <c r="N47" i="18"/>
  <c r="Q47" i="18" s="1"/>
  <c r="Q46" i="18" s="1"/>
  <c r="CY15" i="1" s="1"/>
  <c r="G47" i="18"/>
  <c r="P46" i="18"/>
  <c r="O46" i="18"/>
  <c r="N46" i="18"/>
  <c r="CX15" i="1" s="1"/>
  <c r="M46" i="18"/>
  <c r="L46" i="18"/>
  <c r="K46" i="18"/>
  <c r="J46" i="18"/>
  <c r="I46" i="18"/>
  <c r="CV15" i="1" s="1"/>
  <c r="H46" i="18"/>
  <c r="CU15" i="1" s="1"/>
  <c r="G46" i="18"/>
  <c r="N45" i="18"/>
  <c r="Q45" i="18" s="1"/>
  <c r="G45" i="18"/>
  <c r="N44" i="18"/>
  <c r="G44" i="18"/>
  <c r="G43" i="18" s="1"/>
  <c r="P43" i="18"/>
  <c r="O43" i="18"/>
  <c r="M43" i="18"/>
  <c r="L43" i="18"/>
  <c r="K43" i="18"/>
  <c r="J43" i="18"/>
  <c r="I43" i="18"/>
  <c r="CV12" i="1" s="1"/>
  <c r="H43" i="18"/>
  <c r="CU12" i="1" s="1"/>
  <c r="CW12" i="1" s="1"/>
  <c r="N42" i="18"/>
  <c r="Q42" i="18" s="1"/>
  <c r="G42" i="18"/>
  <c r="N41" i="18"/>
  <c r="N40" i="18" s="1"/>
  <c r="G41" i="18"/>
  <c r="G40" i="18" s="1"/>
  <c r="P40" i="18"/>
  <c r="O40" i="18"/>
  <c r="M40" i="18"/>
  <c r="L40" i="18"/>
  <c r="K40" i="18"/>
  <c r="J40" i="18"/>
  <c r="I40" i="18"/>
  <c r="H40" i="18"/>
  <c r="N39" i="18"/>
  <c r="G39" i="18"/>
  <c r="N38" i="18"/>
  <c r="Q38" i="18" s="1"/>
  <c r="G38" i="18"/>
  <c r="N37" i="18"/>
  <c r="Q37" i="18" s="1"/>
  <c r="Q36" i="18" s="1"/>
  <c r="G37" i="18"/>
  <c r="P36" i="18"/>
  <c r="O36" i="18"/>
  <c r="N36" i="18"/>
  <c r="M36" i="18"/>
  <c r="L36" i="18"/>
  <c r="K36" i="18"/>
  <c r="J36" i="18"/>
  <c r="I36" i="18"/>
  <c r="H36" i="18"/>
  <c r="G36" i="18"/>
  <c r="N35" i="18"/>
  <c r="Q35" i="18" s="1"/>
  <c r="G35" i="18"/>
  <c r="N34" i="18"/>
  <c r="Q34" i="18" s="1"/>
  <c r="G34" i="18"/>
  <c r="P33" i="18"/>
  <c r="O33" i="18"/>
  <c r="N33" i="18"/>
  <c r="CX14" i="1" s="1"/>
  <c r="M33" i="18"/>
  <c r="L33" i="18"/>
  <c r="K33" i="18"/>
  <c r="J33" i="18"/>
  <c r="I33" i="18"/>
  <c r="CV14" i="1" s="1"/>
  <c r="H33" i="18"/>
  <c r="CU14" i="1" s="1"/>
  <c r="G33" i="18"/>
  <c r="N30" i="18"/>
  <c r="G30" i="18"/>
  <c r="N29" i="18"/>
  <c r="G29" i="18"/>
  <c r="N28" i="18"/>
  <c r="Q28" i="18" s="1"/>
  <c r="G28" i="18"/>
  <c r="N27" i="18"/>
  <c r="G27" i="18"/>
  <c r="G26" i="18" s="1"/>
  <c r="P26" i="18"/>
  <c r="O26" i="18"/>
  <c r="M26" i="18"/>
  <c r="L26" i="18"/>
  <c r="K26" i="18"/>
  <c r="J26" i="18"/>
  <c r="I26" i="18"/>
  <c r="CV20" i="1" s="1"/>
  <c r="H26" i="18"/>
  <c r="CU20" i="1" s="1"/>
  <c r="N25" i="18"/>
  <c r="Q25" i="18" s="1"/>
  <c r="G25" i="18"/>
  <c r="N24" i="18"/>
  <c r="N23" i="18" s="1"/>
  <c r="CX17" i="1" s="1"/>
  <c r="G24" i="18"/>
  <c r="G23" i="18" s="1"/>
  <c r="P23" i="18"/>
  <c r="O23" i="18"/>
  <c r="M23" i="18"/>
  <c r="L23" i="18"/>
  <c r="K23" i="18"/>
  <c r="J23" i="18"/>
  <c r="I23" i="18"/>
  <c r="CV17" i="1" s="1"/>
  <c r="H23" i="18"/>
  <c r="CU17" i="1" s="1"/>
  <c r="I22" i="18"/>
  <c r="H22" i="18"/>
  <c r="N228" i="17"/>
  <c r="Q228" i="17" s="1"/>
  <c r="K228" i="17"/>
  <c r="G228" i="17"/>
  <c r="N227" i="17"/>
  <c r="Q227" i="17" s="1"/>
  <c r="Q226" i="17" s="1"/>
  <c r="K227" i="17"/>
  <c r="G227" i="17"/>
  <c r="P226" i="17"/>
  <c r="O226" i="17"/>
  <c r="N226" i="17"/>
  <c r="M226" i="17"/>
  <c r="L226" i="17"/>
  <c r="J226" i="17"/>
  <c r="I226" i="17"/>
  <c r="H226" i="17"/>
  <c r="G226" i="17"/>
  <c r="N225" i="17"/>
  <c r="Q225" i="17" s="1"/>
  <c r="K225" i="17"/>
  <c r="G225" i="17"/>
  <c r="N224" i="17"/>
  <c r="N223" i="17" s="1"/>
  <c r="CR109" i="1" s="1"/>
  <c r="K224" i="17"/>
  <c r="G224" i="17"/>
  <c r="G223" i="17" s="1"/>
  <c r="P223" i="17"/>
  <c r="O223" i="17"/>
  <c r="M223" i="17"/>
  <c r="L223" i="17"/>
  <c r="J223" i="17"/>
  <c r="I223" i="17"/>
  <c r="H223" i="17"/>
  <c r="CO109" i="1" s="1"/>
  <c r="N222" i="17"/>
  <c r="K222" i="17"/>
  <c r="G222" i="17"/>
  <c r="N221" i="17"/>
  <c r="K221" i="17"/>
  <c r="G221" i="17"/>
  <c r="N220" i="17"/>
  <c r="K220" i="17"/>
  <c r="G220" i="17"/>
  <c r="N219" i="17"/>
  <c r="K219" i="17"/>
  <c r="G219" i="17"/>
  <c r="M218" i="17"/>
  <c r="H218" i="17"/>
  <c r="N217" i="17"/>
  <c r="G217" i="17"/>
  <c r="N216" i="17"/>
  <c r="G216" i="17"/>
  <c r="N215" i="17"/>
  <c r="G215" i="17"/>
  <c r="N214" i="17"/>
  <c r="Q214" i="17" s="1"/>
  <c r="G214" i="17"/>
  <c r="N213" i="17"/>
  <c r="Q213" i="17" s="1"/>
  <c r="G213" i="17"/>
  <c r="N212" i="17"/>
  <c r="Q212" i="17" s="1"/>
  <c r="Q211" i="17" s="1"/>
  <c r="CS91" i="1" s="1"/>
  <c r="K212" i="17"/>
  <c r="G212" i="17"/>
  <c r="P211" i="17"/>
  <c r="O211" i="17"/>
  <c r="N211" i="17"/>
  <c r="M211" i="17"/>
  <c r="L211" i="17"/>
  <c r="K211" i="17"/>
  <c r="J211" i="17"/>
  <c r="I211" i="17"/>
  <c r="CP91" i="1" s="1"/>
  <c r="H211" i="17"/>
  <c r="CO91" i="1" s="1"/>
  <c r="N210" i="17"/>
  <c r="K210" i="17"/>
  <c r="G210" i="17"/>
  <c r="N209" i="17"/>
  <c r="K209" i="17"/>
  <c r="G209" i="17"/>
  <c r="M208" i="17"/>
  <c r="I208" i="17"/>
  <c r="H208" i="17"/>
  <c r="G207" i="17"/>
  <c r="Q207" i="17" s="1"/>
  <c r="N206" i="17"/>
  <c r="Q206" i="17" s="1"/>
  <c r="K206" i="17"/>
  <c r="G206" i="17"/>
  <c r="N205" i="17"/>
  <c r="Q205" i="17" s="1"/>
  <c r="K205" i="17"/>
  <c r="G205" i="17"/>
  <c r="N204" i="17"/>
  <c r="K204" i="17"/>
  <c r="G204" i="17"/>
  <c r="G203" i="17" s="1"/>
  <c r="P203" i="17"/>
  <c r="O203" i="17"/>
  <c r="M203" i="17"/>
  <c r="L203" i="17"/>
  <c r="K203" i="17"/>
  <c r="J203" i="17"/>
  <c r="I203" i="17"/>
  <c r="CP97" i="1" s="1"/>
  <c r="H203" i="17"/>
  <c r="CO97" i="1" s="1"/>
  <c r="N202" i="17"/>
  <c r="K202" i="17"/>
  <c r="G202" i="17"/>
  <c r="N201" i="17"/>
  <c r="K201" i="17"/>
  <c r="G201" i="17"/>
  <c r="I200" i="17"/>
  <c r="H200" i="17"/>
  <c r="N199" i="17"/>
  <c r="Q199" i="17" s="1"/>
  <c r="K199" i="17"/>
  <c r="G199" i="17"/>
  <c r="N198" i="17"/>
  <c r="K198" i="17"/>
  <c r="G198" i="17"/>
  <c r="G197" i="17" s="1"/>
  <c r="P197" i="17"/>
  <c r="O197" i="17"/>
  <c r="M197" i="17"/>
  <c r="L197" i="17"/>
  <c r="K197" i="17"/>
  <c r="J197" i="17"/>
  <c r="I197" i="17"/>
  <c r="CP112" i="1" s="1"/>
  <c r="H197" i="17"/>
  <c r="CO112" i="1" s="1"/>
  <c r="N196" i="17"/>
  <c r="Q196" i="17" s="1"/>
  <c r="K196" i="17"/>
  <c r="G196" i="17"/>
  <c r="K195" i="17"/>
  <c r="I195" i="17"/>
  <c r="N195" i="17" s="1"/>
  <c r="P194" i="17"/>
  <c r="O194" i="17"/>
  <c r="M194" i="17"/>
  <c r="L194" i="17"/>
  <c r="J194" i="17"/>
  <c r="I194" i="17"/>
  <c r="CP118" i="1" s="1"/>
  <c r="H194" i="17"/>
  <c r="CO118" i="1" s="1"/>
  <c r="CQ118" i="1" s="1"/>
  <c r="N193" i="17"/>
  <c r="Q193" i="17" s="1"/>
  <c r="K193" i="17"/>
  <c r="G193" i="17"/>
  <c r="N192" i="17"/>
  <c r="N191" i="17" s="1"/>
  <c r="CR90" i="1" s="1"/>
  <c r="K192" i="17"/>
  <c r="G192" i="17"/>
  <c r="G191" i="17" s="1"/>
  <c r="P191" i="17"/>
  <c r="O191" i="17"/>
  <c r="M191" i="17"/>
  <c r="L191" i="17"/>
  <c r="K191" i="17"/>
  <c r="J191" i="17"/>
  <c r="I191" i="17"/>
  <c r="CP90" i="1" s="1"/>
  <c r="H191" i="17"/>
  <c r="CO90" i="1" s="1"/>
  <c r="CQ90" i="1" s="1"/>
  <c r="N190" i="17"/>
  <c r="Q190" i="17" s="1"/>
  <c r="K190" i="17"/>
  <c r="G190" i="17"/>
  <c r="N189" i="17"/>
  <c r="Q189" i="17" s="1"/>
  <c r="Q188" i="17" s="1"/>
  <c r="CS104" i="1" s="1"/>
  <c r="K189" i="17"/>
  <c r="G189" i="17"/>
  <c r="P188" i="17"/>
  <c r="O188" i="17"/>
  <c r="N188" i="17"/>
  <c r="CR104" i="1" s="1"/>
  <c r="M188" i="17"/>
  <c r="L188" i="17"/>
  <c r="J188" i="17"/>
  <c r="I188" i="17"/>
  <c r="CP104" i="1" s="1"/>
  <c r="H188" i="17"/>
  <c r="CO104" i="1" s="1"/>
  <c r="G188" i="17"/>
  <c r="N187" i="17"/>
  <c r="Q187" i="17" s="1"/>
  <c r="K187" i="17"/>
  <c r="G187" i="17"/>
  <c r="N186" i="17"/>
  <c r="N185" i="17" s="1"/>
  <c r="CR96" i="1" s="1"/>
  <c r="K186" i="17"/>
  <c r="G186" i="17"/>
  <c r="G185" i="17" s="1"/>
  <c r="P185" i="17"/>
  <c r="O185" i="17"/>
  <c r="M185" i="17"/>
  <c r="L185" i="17"/>
  <c r="J185" i="17"/>
  <c r="I185" i="17"/>
  <c r="CP96" i="1" s="1"/>
  <c r="H185" i="17"/>
  <c r="N184" i="17"/>
  <c r="K184" i="17"/>
  <c r="G184" i="17"/>
  <c r="M183" i="17"/>
  <c r="I183" i="17"/>
  <c r="N182" i="17"/>
  <c r="Q182" i="17" s="1"/>
  <c r="K182" i="17"/>
  <c r="G182" i="17"/>
  <c r="N181" i="17"/>
  <c r="Q181" i="17" s="1"/>
  <c r="K181" i="17"/>
  <c r="G181" i="17"/>
  <c r="N180" i="17"/>
  <c r="N179" i="17" s="1"/>
  <c r="CR81" i="1" s="1"/>
  <c r="K180" i="17"/>
  <c r="G180" i="17"/>
  <c r="G179" i="17" s="1"/>
  <c r="P179" i="17"/>
  <c r="O179" i="17"/>
  <c r="M179" i="17"/>
  <c r="L179" i="17"/>
  <c r="K179" i="17"/>
  <c r="J179" i="17"/>
  <c r="I179" i="17"/>
  <c r="CP81" i="1" s="1"/>
  <c r="H179" i="17"/>
  <c r="CO81" i="1" s="1"/>
  <c r="N178" i="17"/>
  <c r="K178" i="17"/>
  <c r="G178" i="17"/>
  <c r="N177" i="17"/>
  <c r="Q177" i="17" s="1"/>
  <c r="K177" i="17"/>
  <c r="G177" i="17"/>
  <c r="N176" i="17"/>
  <c r="N175" i="17" s="1"/>
  <c r="CR125" i="1" s="1"/>
  <c r="K176" i="17"/>
  <c r="G176" i="17"/>
  <c r="P175" i="17"/>
  <c r="O175" i="17"/>
  <c r="M175" i="17"/>
  <c r="L175" i="17"/>
  <c r="J175" i="17"/>
  <c r="I175" i="17"/>
  <c r="CP125" i="1" s="1"/>
  <c r="H175" i="17"/>
  <c r="G175" i="17"/>
  <c r="N174" i="17"/>
  <c r="Q174" i="17" s="1"/>
  <c r="K174" i="17"/>
  <c r="G174" i="17"/>
  <c r="N173" i="17"/>
  <c r="K173" i="17"/>
  <c r="G173" i="17"/>
  <c r="G172" i="17" s="1"/>
  <c r="P172" i="17"/>
  <c r="O172" i="17"/>
  <c r="M172" i="17"/>
  <c r="L172" i="17"/>
  <c r="K172" i="17"/>
  <c r="J172" i="17"/>
  <c r="I172" i="17"/>
  <c r="CP107" i="1" s="1"/>
  <c r="H172" i="17"/>
  <c r="CO107" i="1" s="1"/>
  <c r="N171" i="17"/>
  <c r="Q171" i="17" s="1"/>
  <c r="K171" i="17"/>
  <c r="Q170" i="17"/>
  <c r="CS100" i="1" s="1"/>
  <c r="N168" i="17"/>
  <c r="Q168" i="17" s="1"/>
  <c r="K168" i="17"/>
  <c r="G168" i="17"/>
  <c r="N167" i="17"/>
  <c r="N166" i="17" s="1"/>
  <c r="CR102" i="1" s="1"/>
  <c r="K167" i="17"/>
  <c r="G167" i="17"/>
  <c r="G166" i="17" s="1"/>
  <c r="P166" i="17"/>
  <c r="O166" i="17"/>
  <c r="M166" i="17"/>
  <c r="L166" i="17"/>
  <c r="K166" i="17"/>
  <c r="J166" i="17"/>
  <c r="I166" i="17"/>
  <c r="H166" i="17"/>
  <c r="CO102" i="1" s="1"/>
  <c r="G165" i="17"/>
  <c r="Q165" i="17" s="1"/>
  <c r="N164" i="17"/>
  <c r="Q164" i="17" s="1"/>
  <c r="K164" i="17"/>
  <c r="G164" i="17"/>
  <c r="N163" i="17"/>
  <c r="Q163" i="17" s="1"/>
  <c r="K163" i="17"/>
  <c r="G163" i="17"/>
  <c r="P162" i="17"/>
  <c r="O162" i="17"/>
  <c r="N162" i="17"/>
  <c r="CR94" i="1" s="1"/>
  <c r="M162" i="17"/>
  <c r="L162" i="17"/>
  <c r="J162" i="17"/>
  <c r="I162" i="17"/>
  <c r="CP94" i="1" s="1"/>
  <c r="H162" i="17"/>
  <c r="CO94" i="1" s="1"/>
  <c r="CQ94" i="1" s="1"/>
  <c r="G162" i="17"/>
  <c r="N160" i="17"/>
  <c r="Q160" i="17" s="1"/>
  <c r="K160" i="17"/>
  <c r="G160" i="17"/>
  <c r="N159" i="17"/>
  <c r="Q159" i="17" s="1"/>
  <c r="Q158" i="17" s="1"/>
  <c r="CS99" i="1" s="1"/>
  <c r="K159" i="17"/>
  <c r="G159" i="17"/>
  <c r="P158" i="17"/>
  <c r="O158" i="17"/>
  <c r="N158" i="17"/>
  <c r="CR99" i="1" s="1"/>
  <c r="M158" i="17"/>
  <c r="L158" i="17"/>
  <c r="J158" i="17"/>
  <c r="I158" i="17"/>
  <c r="CP99" i="1" s="1"/>
  <c r="H158" i="17"/>
  <c r="CO99" i="1" s="1"/>
  <c r="G158" i="17"/>
  <c r="N157" i="17"/>
  <c r="Q157" i="17" s="1"/>
  <c r="K157" i="17"/>
  <c r="G157" i="17"/>
  <c r="N156" i="17"/>
  <c r="N155" i="17" s="1"/>
  <c r="CR122" i="1" s="1"/>
  <c r="K156" i="17"/>
  <c r="G156" i="17"/>
  <c r="G155" i="17" s="1"/>
  <c r="P155" i="17"/>
  <c r="O155" i="17"/>
  <c r="M155" i="17"/>
  <c r="L155" i="17"/>
  <c r="K155" i="17"/>
  <c r="J155" i="17"/>
  <c r="I155" i="17"/>
  <c r="CP122" i="1" s="1"/>
  <c r="H155" i="17"/>
  <c r="CO122" i="1" s="1"/>
  <c r="CQ122" i="1" s="1"/>
  <c r="N154" i="17"/>
  <c r="Q154" i="17" s="1"/>
  <c r="K154" i="17"/>
  <c r="G154" i="17"/>
  <c r="N153" i="17"/>
  <c r="K153" i="17"/>
  <c r="G153" i="17"/>
  <c r="P152" i="17"/>
  <c r="O152" i="17"/>
  <c r="M152" i="17"/>
  <c r="L152" i="17"/>
  <c r="J152" i="17"/>
  <c r="I152" i="17"/>
  <c r="CP103" i="1" s="1"/>
  <c r="H152" i="17"/>
  <c r="CO103" i="1" s="1"/>
  <c r="G152" i="17"/>
  <c r="N151" i="17"/>
  <c r="K151" i="17"/>
  <c r="G151" i="17"/>
  <c r="N150" i="17"/>
  <c r="Q150" i="17" s="1"/>
  <c r="K150" i="17"/>
  <c r="G150" i="17"/>
  <c r="G149" i="17" s="1"/>
  <c r="P149" i="17"/>
  <c r="O149" i="17"/>
  <c r="M149" i="17"/>
  <c r="L149" i="17"/>
  <c r="J149" i="17"/>
  <c r="I149" i="17"/>
  <c r="CP82" i="1" s="1"/>
  <c r="H149" i="17"/>
  <c r="CO82" i="1" s="1"/>
  <c r="N148" i="17"/>
  <c r="Q148" i="17" s="1"/>
  <c r="K148" i="17"/>
  <c r="G148" i="17"/>
  <c r="N147" i="17"/>
  <c r="K147" i="17"/>
  <c r="G147" i="17"/>
  <c r="G146" i="17" s="1"/>
  <c r="P146" i="17"/>
  <c r="O146" i="17"/>
  <c r="M146" i="17"/>
  <c r="L146" i="17"/>
  <c r="K146" i="17"/>
  <c r="J146" i="17"/>
  <c r="I146" i="17"/>
  <c r="CP95" i="1" s="1"/>
  <c r="H146" i="17"/>
  <c r="CO95" i="1" s="1"/>
  <c r="N145" i="17"/>
  <c r="K145" i="17"/>
  <c r="G145" i="17"/>
  <c r="N144" i="17"/>
  <c r="Q144" i="17" s="1"/>
  <c r="K144" i="17"/>
  <c r="G144" i="17"/>
  <c r="P143" i="17"/>
  <c r="O143" i="17"/>
  <c r="N143" i="17"/>
  <c r="CR80" i="1" s="1"/>
  <c r="M143" i="17"/>
  <c r="L143" i="17"/>
  <c r="J143" i="17"/>
  <c r="I143" i="17"/>
  <c r="CP80" i="1" s="1"/>
  <c r="H143" i="17"/>
  <c r="CO80" i="1" s="1"/>
  <c r="O142" i="17"/>
  <c r="I142" i="17"/>
  <c r="H142" i="17"/>
  <c r="N139" i="17"/>
  <c r="N138" i="17"/>
  <c r="Q138" i="17" s="1"/>
  <c r="N137" i="17"/>
  <c r="N136" i="17" s="1"/>
  <c r="P136" i="17"/>
  <c r="O136" i="17"/>
  <c r="M136" i="17"/>
  <c r="L136" i="17"/>
  <c r="K136" i="17"/>
  <c r="J136" i="17"/>
  <c r="I136" i="17"/>
  <c r="CP68" i="1" s="1"/>
  <c r="H136" i="17"/>
  <c r="CO68" i="1" s="1"/>
  <c r="G136" i="17"/>
  <c r="N135" i="17"/>
  <c r="N134" i="17"/>
  <c r="K134" i="17"/>
  <c r="G134" i="17"/>
  <c r="N133" i="17"/>
  <c r="Q133" i="17" s="1"/>
  <c r="K133" i="17"/>
  <c r="G133" i="17"/>
  <c r="N132" i="17"/>
  <c r="Q132" i="17" s="1"/>
  <c r="K132" i="17"/>
  <c r="G132" i="17"/>
  <c r="N131" i="17"/>
  <c r="Q131" i="17" s="1"/>
  <c r="G131" i="17"/>
  <c r="P130" i="17"/>
  <c r="O130" i="17"/>
  <c r="N130" i="17"/>
  <c r="CR73" i="1" s="1"/>
  <c r="M130" i="17"/>
  <c r="L130" i="17"/>
  <c r="K130" i="17"/>
  <c r="J130" i="17"/>
  <c r="I130" i="17"/>
  <c r="CP73" i="1" s="1"/>
  <c r="H130" i="17"/>
  <c r="CO73" i="1" s="1"/>
  <c r="G130" i="17"/>
  <c r="I129" i="17"/>
  <c r="H129" i="17"/>
  <c r="G129" i="17"/>
  <c r="N128" i="17"/>
  <c r="Q128" i="17" s="1"/>
  <c r="K128" i="17"/>
  <c r="G128" i="17"/>
  <c r="N127" i="17"/>
  <c r="Q127" i="17" s="1"/>
  <c r="G127" i="17"/>
  <c r="I126" i="17"/>
  <c r="G126" i="17"/>
  <c r="Q126" i="17" s="1"/>
  <c r="G125" i="17"/>
  <c r="Q125" i="17" s="1"/>
  <c r="Q124" i="17" s="1"/>
  <c r="CS70" i="1" s="1"/>
  <c r="P124" i="17"/>
  <c r="O124" i="17"/>
  <c r="N124" i="17"/>
  <c r="CR70" i="1" s="1"/>
  <c r="M124" i="17"/>
  <c r="L124" i="17"/>
  <c r="K124" i="17"/>
  <c r="J124" i="17"/>
  <c r="I124" i="17"/>
  <c r="CP70" i="1" s="1"/>
  <c r="H124" i="17"/>
  <c r="CO70" i="1" s="1"/>
  <c r="G124" i="17"/>
  <c r="H123" i="17"/>
  <c r="N122" i="17"/>
  <c r="I122" i="17"/>
  <c r="I121" i="17"/>
  <c r="N119" i="17"/>
  <c r="N118" i="17"/>
  <c r="Q118" i="17" s="1"/>
  <c r="K118" i="17"/>
  <c r="N117" i="17"/>
  <c r="N116" i="17" s="1"/>
  <c r="CR27" i="1" s="1"/>
  <c r="P116" i="17"/>
  <c r="O116" i="17"/>
  <c r="M116" i="17"/>
  <c r="L116" i="17"/>
  <c r="K116" i="17"/>
  <c r="J116" i="17"/>
  <c r="I116" i="17"/>
  <c r="CP27" i="1" s="1"/>
  <c r="H116" i="17"/>
  <c r="CO27" i="1" s="1"/>
  <c r="G116" i="17"/>
  <c r="N115" i="17"/>
  <c r="Q115" i="17" s="1"/>
  <c r="G115" i="17"/>
  <c r="N114" i="17"/>
  <c r="Q114" i="17" s="1"/>
  <c r="G114" i="17"/>
  <c r="N113" i="17"/>
  <c r="Q113" i="17" s="1"/>
  <c r="Q112" i="17" s="1"/>
  <c r="CS51" i="1" s="1"/>
  <c r="G113" i="17"/>
  <c r="P112" i="17"/>
  <c r="O112" i="17"/>
  <c r="N112" i="17"/>
  <c r="CR51" i="1" s="1"/>
  <c r="M112" i="17"/>
  <c r="L112" i="17"/>
  <c r="K112" i="17"/>
  <c r="J112" i="17"/>
  <c r="I112" i="17"/>
  <c r="CP51" i="1" s="1"/>
  <c r="H112" i="17"/>
  <c r="CO51" i="1" s="1"/>
  <c r="G112" i="17"/>
  <c r="N111" i="17"/>
  <c r="Q111" i="17" s="1"/>
  <c r="G111" i="17"/>
  <c r="N110" i="17"/>
  <c r="Q110" i="17" s="1"/>
  <c r="G110" i="17"/>
  <c r="N109" i="17"/>
  <c r="Q109" i="17" s="1"/>
  <c r="G109" i="17"/>
  <c r="N108" i="17"/>
  <c r="Q108" i="17" s="1"/>
  <c r="K108" i="17"/>
  <c r="N107" i="17"/>
  <c r="Q107" i="17" s="1"/>
  <c r="P106" i="17"/>
  <c r="O106" i="17"/>
  <c r="M106" i="17"/>
  <c r="L106" i="17"/>
  <c r="K106" i="17"/>
  <c r="J106" i="17"/>
  <c r="I106" i="17"/>
  <c r="CP43" i="1" s="1"/>
  <c r="H106" i="17"/>
  <c r="CO43" i="1" s="1"/>
  <c r="G106" i="17"/>
  <c r="N105" i="17"/>
  <c r="G105" i="17"/>
  <c r="N104" i="17"/>
  <c r="Q104" i="17" s="1"/>
  <c r="G104" i="17"/>
  <c r="N103" i="17"/>
  <c r="N102" i="17" s="1"/>
  <c r="CR33" i="1" s="1"/>
  <c r="G103" i="17"/>
  <c r="G102" i="17" s="1"/>
  <c r="P102" i="17"/>
  <c r="O102" i="17"/>
  <c r="M102" i="17"/>
  <c r="L102" i="17"/>
  <c r="K102" i="17"/>
  <c r="J102" i="17"/>
  <c r="I102" i="17"/>
  <c r="CP33" i="1" s="1"/>
  <c r="H102" i="17"/>
  <c r="CO33" i="1" s="1"/>
  <c r="N101" i="17"/>
  <c r="Q101" i="17" s="1"/>
  <c r="G101" i="17"/>
  <c r="N100" i="17"/>
  <c r="Q100" i="17" s="1"/>
  <c r="G100" i="17"/>
  <c r="P99" i="17"/>
  <c r="O99" i="17"/>
  <c r="N99" i="17"/>
  <c r="CR57" i="1" s="1"/>
  <c r="M99" i="17"/>
  <c r="L99" i="17"/>
  <c r="K99" i="17"/>
  <c r="J99" i="17"/>
  <c r="I99" i="17"/>
  <c r="CP57" i="1" s="1"/>
  <c r="H99" i="17"/>
  <c r="CO57" i="1" s="1"/>
  <c r="G99" i="17"/>
  <c r="N98" i="17"/>
  <c r="G98" i="17"/>
  <c r="N97" i="17"/>
  <c r="G97" i="17"/>
  <c r="N96" i="17"/>
  <c r="G96" i="17"/>
  <c r="N95" i="17"/>
  <c r="Q95" i="17" s="1"/>
  <c r="N94" i="17"/>
  <c r="Q94" i="17" s="1"/>
  <c r="N93" i="17"/>
  <c r="Q93" i="17" s="1"/>
  <c r="Q92" i="17" s="1"/>
  <c r="CS39" i="1" s="1"/>
  <c r="G93" i="17"/>
  <c r="P92" i="17"/>
  <c r="O92" i="17"/>
  <c r="M92" i="17"/>
  <c r="L92" i="17"/>
  <c r="K92" i="17"/>
  <c r="J92" i="17"/>
  <c r="I92" i="17"/>
  <c r="CP39" i="1" s="1"/>
  <c r="H92" i="17"/>
  <c r="CO39" i="1" s="1"/>
  <c r="G92" i="17"/>
  <c r="N91" i="17"/>
  <c r="Q91" i="17" s="1"/>
  <c r="G91" i="17"/>
  <c r="N90" i="17"/>
  <c r="Q90" i="17" s="1"/>
  <c r="Q89" i="17" s="1"/>
  <c r="CS59" i="1" s="1"/>
  <c r="G90" i="17"/>
  <c r="G89" i="17" s="1"/>
  <c r="P89" i="17"/>
  <c r="O89" i="17"/>
  <c r="M89" i="17"/>
  <c r="L89" i="17"/>
  <c r="K89" i="17"/>
  <c r="J89" i="17"/>
  <c r="I89" i="17"/>
  <c r="CP59" i="1" s="1"/>
  <c r="H89" i="17"/>
  <c r="N88" i="17"/>
  <c r="Q88" i="17" s="1"/>
  <c r="K88" i="17"/>
  <c r="N87" i="17"/>
  <c r="N86" i="17" s="1"/>
  <c r="CR40" i="1" s="1"/>
  <c r="K87" i="17"/>
  <c r="P86" i="17"/>
  <c r="O86" i="17"/>
  <c r="M86" i="17"/>
  <c r="L86" i="17"/>
  <c r="K86" i="17"/>
  <c r="J86" i="17"/>
  <c r="I86" i="17"/>
  <c r="H86" i="17"/>
  <c r="CO40" i="1" s="1"/>
  <c r="G86" i="17"/>
  <c r="N85" i="17"/>
  <c r="Q85" i="17" s="1"/>
  <c r="K85" i="17"/>
  <c r="N84" i="17"/>
  <c r="N83" i="17" s="1"/>
  <c r="CR29" i="1" s="1"/>
  <c r="K84" i="17"/>
  <c r="K83" i="17" s="1"/>
  <c r="P83" i="17"/>
  <c r="O83" i="17"/>
  <c r="M83" i="17"/>
  <c r="L83" i="17"/>
  <c r="J83" i="17"/>
  <c r="I83" i="17"/>
  <c r="CP29" i="1" s="1"/>
  <c r="H83" i="17"/>
  <c r="CO29" i="1" s="1"/>
  <c r="CQ29" i="1" s="1"/>
  <c r="G83" i="17"/>
  <c r="N82" i="17"/>
  <c r="Q82" i="17" s="1"/>
  <c r="K82" i="17"/>
  <c r="G82" i="17"/>
  <c r="N81" i="17"/>
  <c r="Q81" i="17" s="1"/>
  <c r="Q80" i="17" s="1"/>
  <c r="CS48" i="1" s="1"/>
  <c r="K81" i="17"/>
  <c r="P80" i="17"/>
  <c r="O80" i="17"/>
  <c r="N80" i="17"/>
  <c r="CR48" i="1" s="1"/>
  <c r="M80" i="17"/>
  <c r="L80" i="17"/>
  <c r="K80" i="17"/>
  <c r="J80" i="17"/>
  <c r="I80" i="17"/>
  <c r="CP48" i="1" s="1"/>
  <c r="H80" i="17"/>
  <c r="CO48" i="1" s="1"/>
  <c r="G80" i="17"/>
  <c r="N79" i="17"/>
  <c r="Q79" i="17" s="1"/>
  <c r="K79" i="17"/>
  <c r="N78" i="17"/>
  <c r="Q78" i="17" s="1"/>
  <c r="K78" i="17"/>
  <c r="N77" i="17"/>
  <c r="Q77" i="17" s="1"/>
  <c r="G77" i="17"/>
  <c r="N76" i="17"/>
  <c r="Q76" i="17" s="1"/>
  <c r="G76" i="17"/>
  <c r="N75" i="17"/>
  <c r="Q75" i="17" s="1"/>
  <c r="G75" i="17"/>
  <c r="N74" i="17"/>
  <c r="Q74" i="17" s="1"/>
  <c r="G74" i="17"/>
  <c r="N73" i="17"/>
  <c r="Q73" i="17" s="1"/>
  <c r="K73" i="17"/>
  <c r="G73" i="17"/>
  <c r="P72" i="17"/>
  <c r="O72" i="17"/>
  <c r="M72" i="17"/>
  <c r="L72" i="17"/>
  <c r="J72" i="17"/>
  <c r="I72" i="17"/>
  <c r="CP52" i="1" s="1"/>
  <c r="H72" i="17"/>
  <c r="CO52" i="1" s="1"/>
  <c r="G72" i="17"/>
  <c r="N70" i="17"/>
  <c r="Q70" i="17" s="1"/>
  <c r="G70" i="17"/>
  <c r="N69" i="17"/>
  <c r="N68" i="17" s="1"/>
  <c r="CR38" i="1" s="1"/>
  <c r="G69" i="17"/>
  <c r="G68" i="17" s="1"/>
  <c r="P68" i="17"/>
  <c r="O68" i="17"/>
  <c r="M68" i="17"/>
  <c r="L68" i="17"/>
  <c r="K68" i="17"/>
  <c r="J68" i="17"/>
  <c r="I68" i="17"/>
  <c r="CP38" i="1" s="1"/>
  <c r="H68" i="17"/>
  <c r="CO38" i="1" s="1"/>
  <c r="N67" i="17"/>
  <c r="Q67" i="17" s="1"/>
  <c r="G67" i="17"/>
  <c r="N66" i="17"/>
  <c r="K66" i="17"/>
  <c r="N64" i="17"/>
  <c r="K64" i="17"/>
  <c r="N63" i="17"/>
  <c r="Q63" i="17" s="1"/>
  <c r="K63" i="17"/>
  <c r="K61" i="17" s="1"/>
  <c r="G63" i="17"/>
  <c r="N62" i="17"/>
  <c r="Q62" i="17" s="1"/>
  <c r="Q61" i="17" s="1"/>
  <c r="CS54" i="1" s="1"/>
  <c r="G62" i="17"/>
  <c r="P61" i="17"/>
  <c r="O61" i="17"/>
  <c r="N61" i="17"/>
  <c r="CR54" i="1" s="1"/>
  <c r="M61" i="17"/>
  <c r="L61" i="17"/>
  <c r="J61" i="17"/>
  <c r="I61" i="17"/>
  <c r="CP54" i="1" s="1"/>
  <c r="H61" i="17"/>
  <c r="CO54" i="1" s="1"/>
  <c r="G61" i="17"/>
  <c r="N60" i="17"/>
  <c r="Q60" i="17" s="1"/>
  <c r="K60" i="17"/>
  <c r="G60" i="17"/>
  <c r="K59" i="17"/>
  <c r="I59" i="17"/>
  <c r="N59" i="17" s="1"/>
  <c r="G59" i="17"/>
  <c r="N58" i="17"/>
  <c r="Q58" i="17" s="1"/>
  <c r="K58" i="17"/>
  <c r="G58" i="17"/>
  <c r="P57" i="17"/>
  <c r="O57" i="17"/>
  <c r="M57" i="17"/>
  <c r="L57" i="17"/>
  <c r="K57" i="17"/>
  <c r="J57" i="17"/>
  <c r="I57" i="17"/>
  <c r="CP47" i="1" s="1"/>
  <c r="H57" i="17"/>
  <c r="CO47" i="1" s="1"/>
  <c r="N56" i="17"/>
  <c r="Q56" i="17" s="1"/>
  <c r="K56" i="17"/>
  <c r="G56" i="17"/>
  <c r="N55" i="17"/>
  <c r="Q55" i="17" s="1"/>
  <c r="K55" i="17"/>
  <c r="G55" i="17"/>
  <c r="N54" i="17"/>
  <c r="Q54" i="17" s="1"/>
  <c r="K54" i="17"/>
  <c r="G54" i="17"/>
  <c r="N53" i="17"/>
  <c r="N52" i="17" s="1"/>
  <c r="CR30" i="1" s="1"/>
  <c r="K53" i="17"/>
  <c r="G53" i="17"/>
  <c r="P52" i="17"/>
  <c r="O52" i="17"/>
  <c r="M52" i="17"/>
  <c r="L52" i="17"/>
  <c r="K52" i="17"/>
  <c r="J52" i="17"/>
  <c r="I52" i="17"/>
  <c r="H52" i="17"/>
  <c r="CO30" i="1" s="1"/>
  <c r="G52" i="17"/>
  <c r="N51" i="17"/>
  <c r="Q51" i="17" s="1"/>
  <c r="N50" i="17"/>
  <c r="Q50" i="17" s="1"/>
  <c r="K50" i="17"/>
  <c r="N49" i="17"/>
  <c r="Q49" i="17" s="1"/>
  <c r="N48" i="17"/>
  <c r="Q48" i="17" s="1"/>
  <c r="K48" i="17"/>
  <c r="N47" i="17"/>
  <c r="Q47" i="17" s="1"/>
  <c r="Q45" i="17" s="1"/>
  <c r="CS28" i="1" s="1"/>
  <c r="P45" i="17"/>
  <c r="O45" i="17"/>
  <c r="N45" i="17"/>
  <c r="CR28" i="1" s="1"/>
  <c r="M45" i="17"/>
  <c r="L45" i="17"/>
  <c r="K45" i="17"/>
  <c r="J45" i="17"/>
  <c r="I45" i="17"/>
  <c r="CP28" i="1" s="1"/>
  <c r="H45" i="17"/>
  <c r="G45" i="17"/>
  <c r="N44" i="17"/>
  <c r="CR49" i="1" s="1"/>
  <c r="N40" i="17"/>
  <c r="N39" i="17"/>
  <c r="N38" i="17"/>
  <c r="Q38" i="17" s="1"/>
  <c r="K38" i="17"/>
  <c r="N37" i="17"/>
  <c r="N35" i="17"/>
  <c r="Q35" i="17" s="1"/>
  <c r="K35" i="17"/>
  <c r="N34" i="17"/>
  <c r="N33" i="17" s="1"/>
  <c r="CR5" i="1" s="1"/>
  <c r="P33" i="17"/>
  <c r="O33" i="17"/>
  <c r="M33" i="17"/>
  <c r="L33" i="17"/>
  <c r="K33" i="17"/>
  <c r="J33" i="17"/>
  <c r="I33" i="17"/>
  <c r="CP5" i="1" s="1"/>
  <c r="H33" i="17"/>
  <c r="CO5" i="1" s="1"/>
  <c r="G33" i="17"/>
  <c r="N32" i="17"/>
  <c r="Q32" i="17" s="1"/>
  <c r="K32" i="17"/>
  <c r="N31" i="17"/>
  <c r="N30" i="17" s="1"/>
  <c r="CR18" i="1" s="1"/>
  <c r="P30" i="17"/>
  <c r="O30" i="17"/>
  <c r="M30" i="17"/>
  <c r="L30" i="17"/>
  <c r="K30" i="17"/>
  <c r="J30" i="17"/>
  <c r="I30" i="17"/>
  <c r="CP18" i="1" s="1"/>
  <c r="H30" i="17"/>
  <c r="CO18" i="1" s="1"/>
  <c r="CQ18" i="1" s="1"/>
  <c r="G30" i="17"/>
  <c r="N29" i="17"/>
  <c r="Q29" i="17" s="1"/>
  <c r="N28" i="17"/>
  <c r="N27" i="17" s="1"/>
  <c r="CR11" i="1" s="1"/>
  <c r="K28" i="17"/>
  <c r="P27" i="17"/>
  <c r="O27" i="17"/>
  <c r="M27" i="17"/>
  <c r="L27" i="17"/>
  <c r="K27" i="17"/>
  <c r="J27" i="17"/>
  <c r="I27" i="17"/>
  <c r="CP11" i="1" s="1"/>
  <c r="H27" i="17"/>
  <c r="CO11" i="1" s="1"/>
  <c r="G27" i="17"/>
  <c r="I26" i="17"/>
  <c r="H26" i="17"/>
  <c r="G26" i="17"/>
  <c r="N24" i="17"/>
  <c r="N23" i="17"/>
  <c r="G23" i="17"/>
  <c r="G22" i="17" s="1"/>
  <c r="G21" i="17" s="1"/>
  <c r="N22" i="17"/>
  <c r="I22" i="17"/>
  <c r="H22" i="17"/>
  <c r="I21" i="17"/>
  <c r="H21" i="17"/>
  <c r="CH81" i="1"/>
  <c r="CH82" i="1"/>
  <c r="CI82" i="1"/>
  <c r="CJ82" i="1"/>
  <c r="CH83" i="1"/>
  <c r="CI83" i="1"/>
  <c r="CJ83" i="1"/>
  <c r="CH84" i="1"/>
  <c r="CI84" i="1"/>
  <c r="CJ84" i="1"/>
  <c r="CH85" i="1"/>
  <c r="CH86" i="1"/>
  <c r="CH87" i="1"/>
  <c r="CI87" i="1"/>
  <c r="CJ87" i="1"/>
  <c r="CL87" i="1"/>
  <c r="CM87" i="1"/>
  <c r="CH88" i="1"/>
  <c r="CI88" i="1"/>
  <c r="CJ88" i="1"/>
  <c r="CH89" i="1"/>
  <c r="CH90" i="1"/>
  <c r="CI90" i="1"/>
  <c r="CJ90" i="1"/>
  <c r="CH91" i="1"/>
  <c r="CI91" i="1"/>
  <c r="CJ91" i="1"/>
  <c r="CH92" i="1"/>
  <c r="CI92" i="1"/>
  <c r="CJ92" i="1"/>
  <c r="CH93" i="1"/>
  <c r="CI93" i="1"/>
  <c r="CJ93" i="1"/>
  <c r="CH94" i="1"/>
  <c r="CH95" i="1"/>
  <c r="CI95" i="1"/>
  <c r="CJ95" i="1"/>
  <c r="CH96" i="1"/>
  <c r="CI96" i="1"/>
  <c r="CJ96" i="1"/>
  <c r="CH97" i="1"/>
  <c r="CI97" i="1"/>
  <c r="CJ97" i="1"/>
  <c r="CL97" i="1"/>
  <c r="CM97" i="1"/>
  <c r="CH98" i="1"/>
  <c r="CI98" i="1"/>
  <c r="CJ98" i="1"/>
  <c r="CH99" i="1"/>
  <c r="CI99" i="1"/>
  <c r="CJ99" i="1"/>
  <c r="CH100" i="1"/>
  <c r="CI100" i="1"/>
  <c r="CJ100" i="1"/>
  <c r="CH101" i="1"/>
  <c r="CH102" i="1"/>
  <c r="CI102" i="1"/>
  <c r="CJ102" i="1"/>
  <c r="CH103" i="1"/>
  <c r="CI103" i="1"/>
  <c r="CJ103" i="1"/>
  <c r="CK103" i="1" s="1"/>
  <c r="CH104" i="1"/>
  <c r="CH105" i="1"/>
  <c r="CI105" i="1"/>
  <c r="CJ105" i="1"/>
  <c r="CH106" i="1"/>
  <c r="CI106" i="1"/>
  <c r="CJ106" i="1"/>
  <c r="CH107" i="1"/>
  <c r="CH108" i="1"/>
  <c r="CH109" i="1"/>
  <c r="CI109" i="1"/>
  <c r="CJ109" i="1"/>
  <c r="CL109" i="1"/>
  <c r="CM109" i="1"/>
  <c r="CH110" i="1"/>
  <c r="CH111" i="1"/>
  <c r="CI111" i="1"/>
  <c r="CJ111" i="1"/>
  <c r="CH112" i="1"/>
  <c r="CI112" i="1"/>
  <c r="CJ112" i="1"/>
  <c r="CL112" i="1"/>
  <c r="CM112" i="1"/>
  <c r="CH113" i="1"/>
  <c r="CI113" i="1"/>
  <c r="CJ113" i="1"/>
  <c r="CL113" i="1"/>
  <c r="CM113" i="1"/>
  <c r="CH114" i="1"/>
  <c r="CI114" i="1"/>
  <c r="CJ114" i="1"/>
  <c r="CH115" i="1"/>
  <c r="CH116" i="1"/>
  <c r="CH117" i="1"/>
  <c r="CH118" i="1"/>
  <c r="CI118" i="1"/>
  <c r="CJ118" i="1"/>
  <c r="CL118" i="1"/>
  <c r="CM118" i="1"/>
  <c r="CH119" i="1"/>
  <c r="CI119" i="1"/>
  <c r="CJ119" i="1"/>
  <c r="CL119" i="1"/>
  <c r="CM119" i="1"/>
  <c r="CH120" i="1"/>
  <c r="CI120" i="1"/>
  <c r="CJ120" i="1"/>
  <c r="CL120" i="1"/>
  <c r="CM120" i="1"/>
  <c r="CH121" i="1"/>
  <c r="CH122" i="1"/>
  <c r="CI122" i="1"/>
  <c r="CJ122" i="1"/>
  <c r="CL122" i="1"/>
  <c r="CM122" i="1"/>
  <c r="CH123" i="1"/>
  <c r="CH124" i="1"/>
  <c r="CH125" i="1"/>
  <c r="CH126" i="1"/>
  <c r="CH127" i="1"/>
  <c r="CI127" i="1"/>
  <c r="CJ127" i="1"/>
  <c r="CH80" i="1"/>
  <c r="CH61" i="1"/>
  <c r="CI61" i="1"/>
  <c r="CJ61" i="1"/>
  <c r="CL61" i="1"/>
  <c r="CM61" i="1"/>
  <c r="CH62" i="1"/>
  <c r="CI62" i="1"/>
  <c r="CJ62" i="1"/>
  <c r="CL62" i="1"/>
  <c r="CM62" i="1"/>
  <c r="CH63" i="1"/>
  <c r="CI63" i="1"/>
  <c r="CJ63" i="1"/>
  <c r="CL63" i="1"/>
  <c r="CM63" i="1"/>
  <c r="CH64" i="1"/>
  <c r="CH65" i="1"/>
  <c r="CI65" i="1"/>
  <c r="CJ65" i="1"/>
  <c r="CH66" i="1"/>
  <c r="CI66" i="1"/>
  <c r="CJ66" i="1"/>
  <c r="CL66" i="1"/>
  <c r="CM66" i="1"/>
  <c r="CH67" i="1"/>
  <c r="CI67" i="1"/>
  <c r="CJ67" i="1"/>
  <c r="CH68" i="1"/>
  <c r="CI68" i="1"/>
  <c r="CJ68" i="1"/>
  <c r="CH69" i="1"/>
  <c r="CI69" i="1"/>
  <c r="CJ69" i="1"/>
  <c r="CL69" i="1"/>
  <c r="CM69" i="1"/>
  <c r="CH70" i="1"/>
  <c r="CI70" i="1"/>
  <c r="CJ70" i="1"/>
  <c r="CH71" i="1"/>
  <c r="CI71" i="1"/>
  <c r="CJ71" i="1"/>
  <c r="CL71" i="1"/>
  <c r="CM71" i="1"/>
  <c r="CH72" i="1"/>
  <c r="CI72" i="1"/>
  <c r="CJ72" i="1"/>
  <c r="CL72" i="1"/>
  <c r="CM72" i="1"/>
  <c r="CH73" i="1"/>
  <c r="CH74" i="1"/>
  <c r="CI74" i="1"/>
  <c r="CJ74" i="1"/>
  <c r="CL74" i="1"/>
  <c r="CM74" i="1"/>
  <c r="CH75" i="1"/>
  <c r="CI75" i="1"/>
  <c r="CJ75" i="1"/>
  <c r="CL75" i="1"/>
  <c r="CM75" i="1"/>
  <c r="CH76" i="1"/>
  <c r="CI76" i="1"/>
  <c r="CJ76" i="1"/>
  <c r="CL76" i="1"/>
  <c r="CM76" i="1"/>
  <c r="CH77" i="1"/>
  <c r="CI77" i="1"/>
  <c r="CJ77" i="1"/>
  <c r="CL77" i="1"/>
  <c r="CM77" i="1"/>
  <c r="CH78" i="1"/>
  <c r="CI78" i="1"/>
  <c r="CJ78" i="1"/>
  <c r="CL78" i="1"/>
  <c r="CM78" i="1"/>
  <c r="CH79" i="1"/>
  <c r="CH60" i="1"/>
  <c r="CH27" i="1"/>
  <c r="CI27" i="1"/>
  <c r="CJ27" i="1"/>
  <c r="CL27" i="1"/>
  <c r="CM27" i="1"/>
  <c r="CH28" i="1"/>
  <c r="CI28" i="1"/>
  <c r="CJ28" i="1"/>
  <c r="CH29" i="1"/>
  <c r="CI29" i="1"/>
  <c r="CJ29" i="1"/>
  <c r="CL29" i="1"/>
  <c r="CM29" i="1"/>
  <c r="CH30" i="1"/>
  <c r="CI30" i="1"/>
  <c r="CJ30" i="1"/>
  <c r="CH31" i="1"/>
  <c r="CH32" i="1"/>
  <c r="CH33" i="1"/>
  <c r="CI33" i="1"/>
  <c r="CJ33" i="1"/>
  <c r="CL33" i="1"/>
  <c r="CM33" i="1"/>
  <c r="CH34" i="1"/>
  <c r="CI34" i="1"/>
  <c r="CJ34" i="1"/>
  <c r="CL34" i="1"/>
  <c r="CM34" i="1"/>
  <c r="CH35" i="1"/>
  <c r="CI35" i="1"/>
  <c r="CJ35" i="1"/>
  <c r="CH36" i="1"/>
  <c r="CI36" i="1"/>
  <c r="CJ36" i="1"/>
  <c r="CL36" i="1"/>
  <c r="CM36" i="1"/>
  <c r="CH37" i="1"/>
  <c r="CI37" i="1"/>
  <c r="CJ37" i="1"/>
  <c r="CL37" i="1"/>
  <c r="CM37" i="1"/>
  <c r="CH38" i="1"/>
  <c r="CI38" i="1"/>
  <c r="CJ38" i="1"/>
  <c r="CH39" i="1"/>
  <c r="CH40" i="1"/>
  <c r="CI40" i="1"/>
  <c r="CJ40" i="1"/>
  <c r="CL40" i="1"/>
  <c r="CM40" i="1"/>
  <c r="CH41" i="1"/>
  <c r="CI41" i="1"/>
  <c r="CJ41" i="1"/>
  <c r="CL41" i="1"/>
  <c r="CM41" i="1"/>
  <c r="CH42" i="1"/>
  <c r="CI42" i="1"/>
  <c r="CJ42" i="1"/>
  <c r="CL42" i="1"/>
  <c r="CM42" i="1"/>
  <c r="CH43" i="1"/>
  <c r="CI43" i="1"/>
  <c r="CJ43" i="1"/>
  <c r="CH44" i="1"/>
  <c r="CI44" i="1"/>
  <c r="CJ44" i="1"/>
  <c r="CL44" i="1"/>
  <c r="CM44" i="1"/>
  <c r="CH45" i="1"/>
  <c r="CH46" i="1"/>
  <c r="CI46" i="1"/>
  <c r="CJ46" i="1"/>
  <c r="CL46" i="1"/>
  <c r="CM46" i="1"/>
  <c r="CH47" i="1"/>
  <c r="CI47" i="1"/>
  <c r="CJ47" i="1"/>
  <c r="CH48" i="1"/>
  <c r="CI48" i="1"/>
  <c r="CJ48" i="1"/>
  <c r="CH49" i="1"/>
  <c r="CI49" i="1"/>
  <c r="CJ49" i="1"/>
  <c r="CL49" i="1"/>
  <c r="CM49" i="1"/>
  <c r="CH50" i="1"/>
  <c r="CI50" i="1"/>
  <c r="CJ50" i="1"/>
  <c r="CK50" i="1" s="1"/>
  <c r="CL50" i="1"/>
  <c r="CM50" i="1"/>
  <c r="CH51" i="1"/>
  <c r="CI51" i="1"/>
  <c r="CJ51" i="1"/>
  <c r="CL51" i="1"/>
  <c r="CM51" i="1"/>
  <c r="CH52" i="1"/>
  <c r="CI52" i="1"/>
  <c r="CJ52" i="1"/>
  <c r="CL52" i="1"/>
  <c r="CM52" i="1"/>
  <c r="CH53" i="1"/>
  <c r="CI53" i="1"/>
  <c r="CJ53" i="1"/>
  <c r="CL53" i="1"/>
  <c r="CM53" i="1"/>
  <c r="CH54" i="1"/>
  <c r="CI54" i="1"/>
  <c r="CJ54" i="1"/>
  <c r="CL54" i="1"/>
  <c r="CM54" i="1"/>
  <c r="CH55" i="1"/>
  <c r="CI55" i="1"/>
  <c r="CJ55" i="1"/>
  <c r="CL55" i="1"/>
  <c r="CM55" i="1"/>
  <c r="CH56" i="1"/>
  <c r="CH57" i="1"/>
  <c r="CH58" i="1"/>
  <c r="CI58" i="1"/>
  <c r="CJ58" i="1"/>
  <c r="CK58" i="1" s="1"/>
  <c r="CL58" i="1"/>
  <c r="CM58" i="1"/>
  <c r="CH59" i="1"/>
  <c r="CI59" i="1"/>
  <c r="CM26" i="1"/>
  <c r="CL26" i="1"/>
  <c r="CJ26" i="1"/>
  <c r="CI26" i="1"/>
  <c r="CH26" i="1"/>
  <c r="CH4" i="1"/>
  <c r="CH5" i="1"/>
  <c r="CI5" i="1"/>
  <c r="CJ5" i="1"/>
  <c r="CH6" i="1"/>
  <c r="CH7" i="1"/>
  <c r="CI7" i="1"/>
  <c r="CJ7" i="1"/>
  <c r="CK7" i="1" s="1"/>
  <c r="CL7" i="1"/>
  <c r="CM7" i="1"/>
  <c r="CH8" i="1"/>
  <c r="CH9" i="1"/>
  <c r="CI9" i="1"/>
  <c r="CJ9" i="1"/>
  <c r="CL9" i="1"/>
  <c r="CM9" i="1"/>
  <c r="CH10" i="1"/>
  <c r="CI10" i="1"/>
  <c r="CJ10" i="1"/>
  <c r="CL10" i="1"/>
  <c r="CM10" i="1"/>
  <c r="CH11" i="1"/>
  <c r="CI11" i="1"/>
  <c r="CJ11" i="1"/>
  <c r="CL11" i="1"/>
  <c r="CM11" i="1"/>
  <c r="CH12" i="1"/>
  <c r="CH13" i="1"/>
  <c r="CI13" i="1"/>
  <c r="CJ13" i="1"/>
  <c r="CL13" i="1"/>
  <c r="CM13" i="1"/>
  <c r="CH14" i="1"/>
  <c r="CH15" i="1"/>
  <c r="CH16" i="1"/>
  <c r="CH17" i="1"/>
  <c r="CH18" i="1"/>
  <c r="CI18" i="1"/>
  <c r="CJ18" i="1"/>
  <c r="CH19" i="1"/>
  <c r="CH20" i="1"/>
  <c r="CI20" i="1"/>
  <c r="CJ20" i="1"/>
  <c r="CL20" i="1"/>
  <c r="CM20" i="1"/>
  <c r="CH21" i="1"/>
  <c r="CI21" i="1"/>
  <c r="CJ21" i="1"/>
  <c r="CH22" i="1"/>
  <c r="CH23" i="1"/>
  <c r="CI23" i="1"/>
  <c r="CJ23" i="1"/>
  <c r="CL23" i="1"/>
  <c r="CM23" i="1"/>
  <c r="CH24" i="1"/>
  <c r="CH25" i="1"/>
  <c r="CJ3" i="1"/>
  <c r="CI3" i="1"/>
  <c r="CH3" i="1"/>
  <c r="H260" i="16"/>
  <c r="CI14" i="1" s="1"/>
  <c r="I260" i="16"/>
  <c r="CJ14" i="1" s="1"/>
  <c r="J260" i="16"/>
  <c r="L260" i="16"/>
  <c r="M260" i="16"/>
  <c r="O260" i="16"/>
  <c r="H257" i="16"/>
  <c r="CI16" i="1" s="1"/>
  <c r="I257" i="16"/>
  <c r="CJ16" i="1" s="1"/>
  <c r="J257" i="16"/>
  <c r="L257" i="16"/>
  <c r="M257" i="16"/>
  <c r="O257" i="16"/>
  <c r="H252" i="16"/>
  <c r="CI24" i="1" s="1"/>
  <c r="I252" i="16"/>
  <c r="CJ24" i="1" s="1"/>
  <c r="CK24" i="1" s="1"/>
  <c r="J252" i="16"/>
  <c r="L252" i="16"/>
  <c r="M252" i="16"/>
  <c r="O252" i="16"/>
  <c r="H247" i="16"/>
  <c r="CI15" i="1" s="1"/>
  <c r="I247" i="16"/>
  <c r="CJ15" i="1" s="1"/>
  <c r="J247" i="16"/>
  <c r="L247" i="16"/>
  <c r="M247" i="16"/>
  <c r="O247" i="16"/>
  <c r="H244" i="16"/>
  <c r="CI12" i="1" s="1"/>
  <c r="I244" i="16"/>
  <c r="CJ12" i="1" s="1"/>
  <c r="J244" i="16"/>
  <c r="L244" i="16"/>
  <c r="M244" i="16"/>
  <c r="O244" i="16"/>
  <c r="H240" i="16"/>
  <c r="CI22" i="1" s="1"/>
  <c r="I240" i="16"/>
  <c r="CJ22" i="1" s="1"/>
  <c r="J240" i="16"/>
  <c r="L240" i="16"/>
  <c r="M240" i="16"/>
  <c r="O240" i="16"/>
  <c r="H234" i="16"/>
  <c r="I234" i="16"/>
  <c r="J234" i="16"/>
  <c r="L234" i="16"/>
  <c r="M234" i="16"/>
  <c r="O234" i="16"/>
  <c r="H230" i="16"/>
  <c r="CI8" i="1" s="1"/>
  <c r="I230" i="16"/>
  <c r="CJ8" i="1" s="1"/>
  <c r="J230" i="16"/>
  <c r="L230" i="16"/>
  <c r="M230" i="16"/>
  <c r="O230" i="16"/>
  <c r="H224" i="16"/>
  <c r="CI25" i="1" s="1"/>
  <c r="I224" i="16"/>
  <c r="CJ25" i="1" s="1"/>
  <c r="J224" i="16"/>
  <c r="L224" i="16"/>
  <c r="M224" i="16"/>
  <c r="O224" i="16"/>
  <c r="H221" i="16"/>
  <c r="CI17" i="1" s="1"/>
  <c r="I221" i="16"/>
  <c r="CJ17" i="1" s="1"/>
  <c r="J221" i="16"/>
  <c r="L221" i="16"/>
  <c r="M221" i="16"/>
  <c r="O221" i="16"/>
  <c r="H218" i="16"/>
  <c r="CI19" i="1" s="1"/>
  <c r="I218" i="16"/>
  <c r="CJ19" i="1" s="1"/>
  <c r="J218" i="16"/>
  <c r="L218" i="16"/>
  <c r="M218" i="16"/>
  <c r="O218" i="16"/>
  <c r="H213" i="16"/>
  <c r="CI6" i="1" s="1"/>
  <c r="I213" i="16"/>
  <c r="CJ6" i="1" s="1"/>
  <c r="J213" i="16"/>
  <c r="L213" i="16"/>
  <c r="M213" i="16"/>
  <c r="O213" i="16"/>
  <c r="H209" i="16"/>
  <c r="CI4" i="1" s="1"/>
  <c r="I209" i="16"/>
  <c r="CJ4" i="1" s="1"/>
  <c r="J209" i="16"/>
  <c r="L209" i="16"/>
  <c r="M209" i="16"/>
  <c r="O209" i="16"/>
  <c r="H201" i="16"/>
  <c r="CI57" i="1" s="1"/>
  <c r="I201" i="16"/>
  <c r="CJ57" i="1" s="1"/>
  <c r="J201" i="16"/>
  <c r="L201" i="16"/>
  <c r="M201" i="16"/>
  <c r="O201" i="16"/>
  <c r="H197" i="16"/>
  <c r="CI32" i="1" s="1"/>
  <c r="I197" i="16"/>
  <c r="CJ32" i="1" s="1"/>
  <c r="J197" i="16"/>
  <c r="L197" i="16"/>
  <c r="M197" i="16"/>
  <c r="O197" i="16"/>
  <c r="H193" i="16"/>
  <c r="CI39" i="1" s="1"/>
  <c r="I193" i="16"/>
  <c r="CJ39" i="1" s="1"/>
  <c r="J193" i="16"/>
  <c r="L193" i="16"/>
  <c r="M193" i="16"/>
  <c r="O193" i="16"/>
  <c r="H188" i="16"/>
  <c r="I188" i="16"/>
  <c r="J188" i="16"/>
  <c r="L188" i="16"/>
  <c r="M188" i="16"/>
  <c r="O188" i="16"/>
  <c r="H182" i="16"/>
  <c r="I182" i="16"/>
  <c r="J182" i="16"/>
  <c r="L182" i="16"/>
  <c r="M182" i="16"/>
  <c r="O182" i="16"/>
  <c r="H176" i="16"/>
  <c r="CI45" i="1" s="1"/>
  <c r="I176" i="16"/>
  <c r="CJ45" i="1" s="1"/>
  <c r="J176" i="16"/>
  <c r="L176" i="16"/>
  <c r="M176" i="16"/>
  <c r="O176" i="16"/>
  <c r="H169" i="16"/>
  <c r="CI56" i="1" s="1"/>
  <c r="I169" i="16"/>
  <c r="CJ56" i="1" s="1"/>
  <c r="J169" i="16"/>
  <c r="L169" i="16"/>
  <c r="M169" i="16"/>
  <c r="O169" i="16"/>
  <c r="H166" i="16"/>
  <c r="CI31" i="1" s="1"/>
  <c r="I166" i="16"/>
  <c r="CJ31" i="1" s="1"/>
  <c r="J166" i="16"/>
  <c r="L166" i="16"/>
  <c r="M166" i="16"/>
  <c r="O166" i="16"/>
  <c r="H158" i="16"/>
  <c r="CI73" i="1" s="1"/>
  <c r="I158" i="16"/>
  <c r="CJ73" i="1" s="1"/>
  <c r="J158" i="16"/>
  <c r="L158" i="16"/>
  <c r="M158" i="16"/>
  <c r="O158" i="16"/>
  <c r="H155" i="16"/>
  <c r="CI79" i="1" s="1"/>
  <c r="I155" i="16"/>
  <c r="CJ79" i="1" s="1"/>
  <c r="J155" i="16"/>
  <c r="L155" i="16"/>
  <c r="M155" i="16"/>
  <c r="O155" i="16"/>
  <c r="H152" i="16"/>
  <c r="CI60" i="1" s="1"/>
  <c r="I152" i="16"/>
  <c r="CJ60" i="1" s="1"/>
  <c r="J152" i="16"/>
  <c r="L152" i="16"/>
  <c r="M152" i="16"/>
  <c r="O152" i="16"/>
  <c r="H146" i="16"/>
  <c r="CI64" i="1" s="1"/>
  <c r="I146" i="16"/>
  <c r="CJ64" i="1" s="1"/>
  <c r="J146" i="16"/>
  <c r="L146" i="16"/>
  <c r="M146" i="16"/>
  <c r="O146" i="16"/>
  <c r="H138" i="16"/>
  <c r="CI124" i="1" s="1"/>
  <c r="I138" i="16"/>
  <c r="CJ124" i="1" s="1"/>
  <c r="J138" i="16"/>
  <c r="L138" i="16"/>
  <c r="M138" i="16"/>
  <c r="O138" i="16"/>
  <c r="H135" i="16"/>
  <c r="CI123" i="1" s="1"/>
  <c r="J135" i="16"/>
  <c r="L135" i="16"/>
  <c r="M135" i="16"/>
  <c r="O135" i="16"/>
  <c r="H132" i="16"/>
  <c r="CI116" i="1" s="1"/>
  <c r="I132" i="16"/>
  <c r="CJ116" i="1" s="1"/>
  <c r="J132" i="16"/>
  <c r="L132" i="16"/>
  <c r="M132" i="16"/>
  <c r="O132" i="16"/>
  <c r="H128" i="16"/>
  <c r="CI85" i="1" s="1"/>
  <c r="J128" i="16"/>
  <c r="L128" i="16"/>
  <c r="M128" i="16"/>
  <c r="O128" i="16"/>
  <c r="H122" i="16"/>
  <c r="CI117" i="1" s="1"/>
  <c r="I122" i="16"/>
  <c r="CJ117" i="1" s="1"/>
  <c r="J122" i="16"/>
  <c r="L122" i="16"/>
  <c r="M122" i="16"/>
  <c r="O122" i="16"/>
  <c r="H116" i="16"/>
  <c r="CI115" i="1" s="1"/>
  <c r="I116" i="16"/>
  <c r="CJ115" i="1" s="1"/>
  <c r="J116" i="16"/>
  <c r="L116" i="16"/>
  <c r="M116" i="16"/>
  <c r="O116" i="16"/>
  <c r="H109" i="16"/>
  <c r="CI86" i="1" s="1"/>
  <c r="I109" i="16"/>
  <c r="CJ86" i="1" s="1"/>
  <c r="J109" i="16"/>
  <c r="L109" i="16"/>
  <c r="M109" i="16"/>
  <c r="O109" i="16"/>
  <c r="H101" i="16"/>
  <c r="CI126" i="1" s="1"/>
  <c r="I101" i="16"/>
  <c r="CJ126" i="1" s="1"/>
  <c r="J101" i="16"/>
  <c r="L101" i="16"/>
  <c r="M101" i="16"/>
  <c r="O101" i="16"/>
  <c r="H96" i="16"/>
  <c r="CI121" i="1" s="1"/>
  <c r="I96" i="16"/>
  <c r="CJ121" i="1" s="1"/>
  <c r="J96" i="16"/>
  <c r="L96" i="16"/>
  <c r="M96" i="16"/>
  <c r="O96" i="16"/>
  <c r="H92" i="16"/>
  <c r="CI101" i="1" s="1"/>
  <c r="I92" i="16"/>
  <c r="CJ101" i="1" s="1"/>
  <c r="J92" i="16"/>
  <c r="L92" i="16"/>
  <c r="M92" i="16"/>
  <c r="O92" i="16"/>
  <c r="H87" i="16"/>
  <c r="CI110" i="1" s="1"/>
  <c r="I87" i="16"/>
  <c r="CJ110" i="1" s="1"/>
  <c r="J87" i="16"/>
  <c r="L87" i="16"/>
  <c r="M87" i="16"/>
  <c r="O87" i="16"/>
  <c r="H84" i="16"/>
  <c r="CI89" i="1" s="1"/>
  <c r="I84" i="16"/>
  <c r="CJ89" i="1" s="1"/>
  <c r="J84" i="16"/>
  <c r="L84" i="16"/>
  <c r="M84" i="16"/>
  <c r="O84" i="16"/>
  <c r="H65" i="16"/>
  <c r="I65" i="16"/>
  <c r="J65" i="16"/>
  <c r="L65" i="16"/>
  <c r="M65" i="16"/>
  <c r="O65" i="16"/>
  <c r="H62" i="16"/>
  <c r="CI104" i="1" s="1"/>
  <c r="I62" i="16"/>
  <c r="CJ104" i="1" s="1"/>
  <c r="J62" i="16"/>
  <c r="L62" i="16"/>
  <c r="M62" i="16"/>
  <c r="O62" i="16"/>
  <c r="H59" i="16"/>
  <c r="CI108" i="1" s="1"/>
  <c r="I59" i="16"/>
  <c r="J59" i="16"/>
  <c r="L59" i="16"/>
  <c r="M59" i="16"/>
  <c r="O59" i="16"/>
  <c r="H48" i="16"/>
  <c r="CI125" i="1" s="1"/>
  <c r="I48" i="16"/>
  <c r="CJ125" i="1" s="1"/>
  <c r="J48" i="16"/>
  <c r="L48" i="16"/>
  <c r="M48" i="16"/>
  <c r="O48" i="16"/>
  <c r="H43" i="16"/>
  <c r="CI107" i="1" s="1"/>
  <c r="I43" i="16"/>
  <c r="CJ107" i="1" s="1"/>
  <c r="CK107" i="1" s="1"/>
  <c r="J43" i="16"/>
  <c r="L43" i="16"/>
  <c r="M43" i="16"/>
  <c r="O43" i="16"/>
  <c r="H37" i="16"/>
  <c r="I37" i="16"/>
  <c r="CJ81" i="1" s="1"/>
  <c r="J37" i="16"/>
  <c r="L37" i="16"/>
  <c r="M37" i="16"/>
  <c r="O37" i="16"/>
  <c r="H34" i="16"/>
  <c r="CI94" i="1" s="1"/>
  <c r="I34" i="16"/>
  <c r="CJ94" i="1" s="1"/>
  <c r="J34" i="16"/>
  <c r="L34" i="16"/>
  <c r="M34" i="16"/>
  <c r="O34" i="16"/>
  <c r="H21" i="16"/>
  <c r="CI80" i="1" s="1"/>
  <c r="I21" i="16"/>
  <c r="CJ80" i="1" s="1"/>
  <c r="J21" i="16"/>
  <c r="L21" i="16"/>
  <c r="M21" i="16"/>
  <c r="O21" i="16"/>
  <c r="N262" i="16"/>
  <c r="P262" i="16" s="1"/>
  <c r="Q262" i="16" s="1"/>
  <c r="K262" i="16"/>
  <c r="G262" i="16"/>
  <c r="N261" i="16"/>
  <c r="K261" i="16"/>
  <c r="K260" i="16" s="1"/>
  <c r="G261" i="16"/>
  <c r="G260" i="16" s="1"/>
  <c r="N259" i="16"/>
  <c r="P259" i="16" s="1"/>
  <c r="Q259" i="16" s="1"/>
  <c r="K259" i="16"/>
  <c r="G259" i="16"/>
  <c r="N258" i="16"/>
  <c r="K258" i="16"/>
  <c r="K257" i="16" s="1"/>
  <c r="G258" i="16"/>
  <c r="G257" i="16" s="1"/>
  <c r="N256" i="16"/>
  <c r="K256" i="16"/>
  <c r="G256" i="16"/>
  <c r="N255" i="16"/>
  <c r="P255" i="16" s="1"/>
  <c r="Q255" i="16" s="1"/>
  <c r="K255" i="16"/>
  <c r="G255" i="16"/>
  <c r="N254" i="16"/>
  <c r="P254" i="16" s="1"/>
  <c r="Q254" i="16" s="1"/>
  <c r="K254" i="16"/>
  <c r="G254" i="16"/>
  <c r="N253" i="16"/>
  <c r="K253" i="16"/>
  <c r="K252" i="16" s="1"/>
  <c r="G253" i="16"/>
  <c r="G252" i="16" s="1"/>
  <c r="N251" i="16"/>
  <c r="K251" i="16"/>
  <c r="G251" i="16"/>
  <c r="N250" i="16"/>
  <c r="P250" i="16" s="1"/>
  <c r="Q250" i="16" s="1"/>
  <c r="K250" i="16"/>
  <c r="G250" i="16"/>
  <c r="N249" i="16"/>
  <c r="P249" i="16" s="1"/>
  <c r="Q249" i="16" s="1"/>
  <c r="K249" i="16"/>
  <c r="G249" i="16"/>
  <c r="N248" i="16"/>
  <c r="K248" i="16"/>
  <c r="K247" i="16" s="1"/>
  <c r="G248" i="16"/>
  <c r="G247" i="16" s="1"/>
  <c r="N246" i="16"/>
  <c r="P246" i="16" s="1"/>
  <c r="Q246" i="16" s="1"/>
  <c r="K246" i="16"/>
  <c r="G246" i="16"/>
  <c r="N245" i="16"/>
  <c r="K245" i="16"/>
  <c r="K244" i="16" s="1"/>
  <c r="G245" i="16"/>
  <c r="G244" i="16" s="1"/>
  <c r="N243" i="16"/>
  <c r="K243" i="16"/>
  <c r="G243" i="16"/>
  <c r="N242" i="16"/>
  <c r="P242" i="16" s="1"/>
  <c r="Q242" i="16" s="1"/>
  <c r="K242" i="16"/>
  <c r="G242" i="16"/>
  <c r="N241" i="16"/>
  <c r="K241" i="16"/>
  <c r="K240" i="16" s="1"/>
  <c r="G241" i="16"/>
  <c r="G240" i="16" s="1"/>
  <c r="N239" i="16"/>
  <c r="K239" i="16"/>
  <c r="G239" i="16"/>
  <c r="I238" i="16"/>
  <c r="H238" i="16"/>
  <c r="N237" i="16"/>
  <c r="P237" i="16" s="1"/>
  <c r="Q237" i="16" s="1"/>
  <c r="K237" i="16"/>
  <c r="G237" i="16"/>
  <c r="N236" i="16"/>
  <c r="P236" i="16" s="1"/>
  <c r="Q236" i="16" s="1"/>
  <c r="K236" i="16"/>
  <c r="G236" i="16"/>
  <c r="N235" i="16"/>
  <c r="K235" i="16"/>
  <c r="K234" i="16" s="1"/>
  <c r="G235" i="16"/>
  <c r="G234" i="16" s="1"/>
  <c r="N233" i="16"/>
  <c r="P233" i="16" s="1"/>
  <c r="Q233" i="16" s="1"/>
  <c r="K233" i="16"/>
  <c r="G233" i="16"/>
  <c r="N232" i="16"/>
  <c r="P232" i="16" s="1"/>
  <c r="Q232" i="16" s="1"/>
  <c r="K232" i="16"/>
  <c r="G232" i="16"/>
  <c r="N231" i="16"/>
  <c r="K231" i="16"/>
  <c r="K230" i="16" s="1"/>
  <c r="G231" i="16"/>
  <c r="G230" i="16" s="1"/>
  <c r="N229" i="16"/>
  <c r="P229" i="16" s="1"/>
  <c r="Q229" i="16" s="1"/>
  <c r="K229" i="16"/>
  <c r="G229" i="16"/>
  <c r="N228" i="16"/>
  <c r="P228" i="16" s="1"/>
  <c r="Q228" i="16" s="1"/>
  <c r="K228" i="16"/>
  <c r="G228" i="16"/>
  <c r="N227" i="16"/>
  <c r="P227" i="16" s="1"/>
  <c r="Q227" i="16" s="1"/>
  <c r="K227" i="16"/>
  <c r="G227" i="16"/>
  <c r="N226" i="16"/>
  <c r="P226" i="16" s="1"/>
  <c r="Q226" i="16" s="1"/>
  <c r="K226" i="16"/>
  <c r="G226" i="16"/>
  <c r="N225" i="16"/>
  <c r="K225" i="16"/>
  <c r="K224" i="16" s="1"/>
  <c r="G225" i="16"/>
  <c r="G224" i="16" s="1"/>
  <c r="N223" i="16"/>
  <c r="P223" i="16" s="1"/>
  <c r="Q223" i="16" s="1"/>
  <c r="K223" i="16"/>
  <c r="G223" i="16"/>
  <c r="N222" i="16"/>
  <c r="K222" i="16"/>
  <c r="K221" i="16" s="1"/>
  <c r="G222" i="16"/>
  <c r="G221" i="16" s="1"/>
  <c r="N220" i="16"/>
  <c r="P220" i="16" s="1"/>
  <c r="Q220" i="16" s="1"/>
  <c r="K220" i="16"/>
  <c r="G220" i="16"/>
  <c r="N219" i="16"/>
  <c r="K219" i="16"/>
  <c r="K218" i="16" s="1"/>
  <c r="G219" i="16"/>
  <c r="G218" i="16" s="1"/>
  <c r="N217" i="16"/>
  <c r="P217" i="16" s="1"/>
  <c r="Q217" i="16" s="1"/>
  <c r="K217" i="16"/>
  <c r="G217" i="16"/>
  <c r="N216" i="16"/>
  <c r="P216" i="16" s="1"/>
  <c r="Q216" i="16" s="1"/>
  <c r="K216" i="16"/>
  <c r="G216" i="16"/>
  <c r="N215" i="16"/>
  <c r="P215" i="16" s="1"/>
  <c r="Q215" i="16" s="1"/>
  <c r="K215" i="16"/>
  <c r="G215" i="16"/>
  <c r="N214" i="16"/>
  <c r="K214" i="16"/>
  <c r="K213" i="16" s="1"/>
  <c r="G214" i="16"/>
  <c r="G213" i="16" s="1"/>
  <c r="N212" i="16"/>
  <c r="P212" i="16" s="1"/>
  <c r="Q212" i="16" s="1"/>
  <c r="K212" i="16"/>
  <c r="G212" i="16"/>
  <c r="N211" i="16"/>
  <c r="P211" i="16" s="1"/>
  <c r="Q211" i="16" s="1"/>
  <c r="K211" i="16"/>
  <c r="G211" i="16"/>
  <c r="N210" i="16"/>
  <c r="K210" i="16"/>
  <c r="K209" i="16" s="1"/>
  <c r="G210" i="16"/>
  <c r="G209" i="16" s="1"/>
  <c r="N208" i="16"/>
  <c r="CL3" i="1" s="1"/>
  <c r="K208" i="16"/>
  <c r="G208" i="16"/>
  <c r="I207" i="16"/>
  <c r="H207" i="16"/>
  <c r="K204" i="16"/>
  <c r="G204" i="16"/>
  <c r="N204" i="16" s="1"/>
  <c r="P204" i="16" s="1"/>
  <c r="Q204" i="16" s="1"/>
  <c r="N203" i="16"/>
  <c r="P203" i="16" s="1"/>
  <c r="Q203" i="16" s="1"/>
  <c r="K203" i="16"/>
  <c r="G203" i="16"/>
  <c r="N202" i="16"/>
  <c r="K202" i="16"/>
  <c r="K201" i="16" s="1"/>
  <c r="G202" i="16"/>
  <c r="G201" i="16" s="1"/>
  <c r="N200" i="16"/>
  <c r="P200" i="16" s="1"/>
  <c r="Q200" i="16" s="1"/>
  <c r="K200" i="16"/>
  <c r="G200" i="16"/>
  <c r="N199" i="16"/>
  <c r="P199" i="16" s="1"/>
  <c r="Q199" i="16" s="1"/>
  <c r="K199" i="16"/>
  <c r="G199" i="16"/>
  <c r="N198" i="16"/>
  <c r="K198" i="16"/>
  <c r="K197" i="16" s="1"/>
  <c r="G198" i="16"/>
  <c r="G197" i="16" s="1"/>
  <c r="N196" i="16"/>
  <c r="K196" i="16"/>
  <c r="G196" i="16"/>
  <c r="N195" i="16"/>
  <c r="P195" i="16" s="1"/>
  <c r="Q195" i="16" s="1"/>
  <c r="K195" i="16"/>
  <c r="G195" i="16"/>
  <c r="N194" i="16"/>
  <c r="K194" i="16"/>
  <c r="K193" i="16" s="1"/>
  <c r="G194" i="16"/>
  <c r="G193" i="16" s="1"/>
  <c r="N192" i="16"/>
  <c r="K192" i="16"/>
  <c r="G192" i="16"/>
  <c r="N191" i="16"/>
  <c r="P191" i="16" s="1"/>
  <c r="Q191" i="16" s="1"/>
  <c r="K191" i="16"/>
  <c r="G191" i="16"/>
  <c r="N190" i="16"/>
  <c r="P190" i="16" s="1"/>
  <c r="Q190" i="16" s="1"/>
  <c r="K190" i="16"/>
  <c r="G190" i="16"/>
  <c r="N189" i="16"/>
  <c r="K189" i="16"/>
  <c r="K188" i="16" s="1"/>
  <c r="G189" i="16"/>
  <c r="G188" i="16" s="1"/>
  <c r="N187" i="16"/>
  <c r="K187" i="16"/>
  <c r="G187" i="16"/>
  <c r="K186" i="16"/>
  <c r="I186" i="16"/>
  <c r="H185" i="16"/>
  <c r="N184" i="16"/>
  <c r="P184" i="16" s="1"/>
  <c r="Q184" i="16" s="1"/>
  <c r="K184" i="16"/>
  <c r="G184" i="16"/>
  <c r="N183" i="16"/>
  <c r="K183" i="16"/>
  <c r="K182" i="16" s="1"/>
  <c r="G183" i="16"/>
  <c r="G182" i="16" s="1"/>
  <c r="N181" i="16"/>
  <c r="P181" i="16" s="1"/>
  <c r="Q181" i="16" s="1"/>
  <c r="K181" i="16"/>
  <c r="G181" i="16"/>
  <c r="N180" i="16"/>
  <c r="P180" i="16" s="1"/>
  <c r="Q180" i="16" s="1"/>
  <c r="K180" i="16"/>
  <c r="G180" i="16"/>
  <c r="N179" i="16"/>
  <c r="P179" i="16" s="1"/>
  <c r="Q179" i="16" s="1"/>
  <c r="K179" i="16"/>
  <c r="G179" i="16"/>
  <c r="N178" i="16"/>
  <c r="P178" i="16" s="1"/>
  <c r="Q178" i="16" s="1"/>
  <c r="K178" i="16"/>
  <c r="G178" i="16"/>
  <c r="N177" i="16"/>
  <c r="K177" i="16"/>
  <c r="K176" i="16" s="1"/>
  <c r="G177" i="16"/>
  <c r="G176" i="16" s="1"/>
  <c r="N175" i="16"/>
  <c r="K175" i="16"/>
  <c r="G175" i="16"/>
  <c r="N174" i="16"/>
  <c r="K174" i="16"/>
  <c r="G174" i="16"/>
  <c r="N173" i="16"/>
  <c r="K173" i="16"/>
  <c r="G173" i="16"/>
  <c r="N172" i="16"/>
  <c r="P172" i="16" s="1"/>
  <c r="Q172" i="16" s="1"/>
  <c r="K172" i="16"/>
  <c r="G172" i="16"/>
  <c r="N171" i="16"/>
  <c r="P171" i="16" s="1"/>
  <c r="Q171" i="16" s="1"/>
  <c r="K171" i="16"/>
  <c r="G171" i="16"/>
  <c r="N170" i="16"/>
  <c r="K170" i="16"/>
  <c r="K169" i="16" s="1"/>
  <c r="G170" i="16"/>
  <c r="G169" i="16" s="1"/>
  <c r="N168" i="16"/>
  <c r="P168" i="16" s="1"/>
  <c r="Q168" i="16" s="1"/>
  <c r="K168" i="16"/>
  <c r="G168" i="16"/>
  <c r="N167" i="16"/>
  <c r="N166" i="16" s="1"/>
  <c r="CL31" i="1" s="1"/>
  <c r="K167" i="16"/>
  <c r="K166" i="16" s="1"/>
  <c r="G167" i="16"/>
  <c r="G166" i="16" s="1"/>
  <c r="N165" i="16"/>
  <c r="K165" i="16"/>
  <c r="G165" i="16"/>
  <c r="I164" i="16"/>
  <c r="H164" i="16"/>
  <c r="K161" i="16"/>
  <c r="G161" i="16"/>
  <c r="N161" i="16" s="1"/>
  <c r="K160" i="16"/>
  <c r="G160" i="16"/>
  <c r="N160" i="16" s="1"/>
  <c r="P160" i="16" s="1"/>
  <c r="Q160" i="16" s="1"/>
  <c r="K159" i="16"/>
  <c r="K158" i="16" s="1"/>
  <c r="G159" i="16"/>
  <c r="K157" i="16"/>
  <c r="G157" i="16"/>
  <c r="N157" i="16" s="1"/>
  <c r="P157" i="16" s="1"/>
  <c r="Q157" i="16" s="1"/>
  <c r="K156" i="16"/>
  <c r="K155" i="16" s="1"/>
  <c r="G156" i="16"/>
  <c r="K154" i="16"/>
  <c r="G154" i="16"/>
  <c r="N154" i="16" s="1"/>
  <c r="P154" i="16" s="1"/>
  <c r="Q154" i="16" s="1"/>
  <c r="K153" i="16"/>
  <c r="K152" i="16" s="1"/>
  <c r="G153" i="16"/>
  <c r="K151" i="16"/>
  <c r="G151" i="16"/>
  <c r="N151" i="16" s="1"/>
  <c r="K150" i="16"/>
  <c r="G150" i="16"/>
  <c r="N150" i="16" s="1"/>
  <c r="I149" i="16"/>
  <c r="H149" i="16"/>
  <c r="K148" i="16"/>
  <c r="G148" i="16"/>
  <c r="N148" i="16" s="1"/>
  <c r="P148" i="16" s="1"/>
  <c r="Q148" i="16" s="1"/>
  <c r="K147" i="16"/>
  <c r="K146" i="16" s="1"/>
  <c r="G147" i="16"/>
  <c r="K145" i="16"/>
  <c r="G145" i="16"/>
  <c r="N145" i="16" s="1"/>
  <c r="K144" i="16"/>
  <c r="G144" i="16"/>
  <c r="I143" i="16"/>
  <c r="H143" i="16"/>
  <c r="N140" i="16"/>
  <c r="P140" i="16" s="1"/>
  <c r="Q140" i="16" s="1"/>
  <c r="K140" i="16"/>
  <c r="G140" i="16"/>
  <c r="N139" i="16"/>
  <c r="K139" i="16"/>
  <c r="K138" i="16" s="1"/>
  <c r="G139" i="16"/>
  <c r="G138" i="16" s="1"/>
  <c r="N137" i="16"/>
  <c r="P137" i="16" s="1"/>
  <c r="Q137" i="16" s="1"/>
  <c r="K137" i="16"/>
  <c r="G137" i="16"/>
  <c r="K136" i="16"/>
  <c r="K135" i="16" s="1"/>
  <c r="I136" i="16"/>
  <c r="N134" i="16"/>
  <c r="P134" i="16" s="1"/>
  <c r="Q134" i="16" s="1"/>
  <c r="K134" i="16"/>
  <c r="G134" i="16"/>
  <c r="N133" i="16"/>
  <c r="K133" i="16"/>
  <c r="K132" i="16" s="1"/>
  <c r="G133" i="16"/>
  <c r="G132" i="16" s="1"/>
  <c r="N131" i="16"/>
  <c r="P131" i="16" s="1"/>
  <c r="Q131" i="16" s="1"/>
  <c r="K131" i="16"/>
  <c r="G131" i="16"/>
  <c r="K130" i="16"/>
  <c r="I130" i="16"/>
  <c r="N129" i="16"/>
  <c r="K129" i="16"/>
  <c r="K128" i="16" s="1"/>
  <c r="G129" i="16"/>
  <c r="N127" i="16"/>
  <c r="P127" i="16" s="1"/>
  <c r="Q127" i="16" s="1"/>
  <c r="K127" i="16"/>
  <c r="G127" i="16"/>
  <c r="N126" i="16"/>
  <c r="P126" i="16" s="1"/>
  <c r="Q126" i="16" s="1"/>
  <c r="K126" i="16"/>
  <c r="G126" i="16"/>
  <c r="N125" i="16"/>
  <c r="P125" i="16" s="1"/>
  <c r="Q125" i="16" s="1"/>
  <c r="K125" i="16"/>
  <c r="G125" i="16"/>
  <c r="N124" i="16"/>
  <c r="P124" i="16" s="1"/>
  <c r="Q124" i="16" s="1"/>
  <c r="K124" i="16"/>
  <c r="G124" i="16"/>
  <c r="N123" i="16"/>
  <c r="K123" i="16"/>
  <c r="K122" i="16" s="1"/>
  <c r="G123" i="16"/>
  <c r="G122" i="16" s="1"/>
  <c r="N121" i="16"/>
  <c r="P121" i="16" s="1"/>
  <c r="Q121" i="16" s="1"/>
  <c r="K121" i="16"/>
  <c r="G121" i="16"/>
  <c r="N120" i="16"/>
  <c r="P120" i="16" s="1"/>
  <c r="Q120" i="16" s="1"/>
  <c r="K120" i="16"/>
  <c r="G120" i="16"/>
  <c r="N119" i="16"/>
  <c r="P119" i="16" s="1"/>
  <c r="Q119" i="16" s="1"/>
  <c r="K119" i="16"/>
  <c r="G119" i="16"/>
  <c r="N118" i="16"/>
  <c r="P118" i="16" s="1"/>
  <c r="Q118" i="16" s="1"/>
  <c r="K118" i="16"/>
  <c r="G118" i="16"/>
  <c r="N117" i="16"/>
  <c r="K117" i="16"/>
  <c r="K116" i="16" s="1"/>
  <c r="G117" i="16"/>
  <c r="G116" i="16" s="1"/>
  <c r="N115" i="16"/>
  <c r="P115" i="16" s="1"/>
  <c r="Q115" i="16" s="1"/>
  <c r="K115" i="16"/>
  <c r="G115" i="16"/>
  <c r="N114" i="16"/>
  <c r="P114" i="16" s="1"/>
  <c r="Q114" i="16" s="1"/>
  <c r="K114" i="16"/>
  <c r="G114" i="16"/>
  <c r="N113" i="16"/>
  <c r="P113" i="16" s="1"/>
  <c r="Q113" i="16" s="1"/>
  <c r="K113" i="16"/>
  <c r="G113" i="16"/>
  <c r="N112" i="16"/>
  <c r="P112" i="16" s="1"/>
  <c r="Q112" i="16" s="1"/>
  <c r="K112" i="16"/>
  <c r="G112" i="16"/>
  <c r="N111" i="16"/>
  <c r="P111" i="16" s="1"/>
  <c r="Q111" i="16" s="1"/>
  <c r="K111" i="16"/>
  <c r="G111" i="16"/>
  <c r="N110" i="16"/>
  <c r="K110" i="16"/>
  <c r="K109" i="16" s="1"/>
  <c r="G110" i="16"/>
  <c r="G109" i="16" s="1"/>
  <c r="N108" i="16"/>
  <c r="CL111" i="1" s="1"/>
  <c r="K108" i="16"/>
  <c r="G108" i="16"/>
  <c r="H107" i="16"/>
  <c r="E107" i="16"/>
  <c r="E19" i="16" s="1"/>
  <c r="E18" i="16" s="1"/>
  <c r="N105" i="16"/>
  <c r="P105" i="16" s="1"/>
  <c r="Q105" i="16" s="1"/>
  <c r="K105" i="16"/>
  <c r="G105" i="16"/>
  <c r="N104" i="16"/>
  <c r="P104" i="16" s="1"/>
  <c r="Q104" i="16" s="1"/>
  <c r="K104" i="16"/>
  <c r="G104" i="16"/>
  <c r="N103" i="16"/>
  <c r="P103" i="16" s="1"/>
  <c r="Q103" i="16" s="1"/>
  <c r="K103" i="16"/>
  <c r="G103" i="16"/>
  <c r="N102" i="16"/>
  <c r="K102" i="16"/>
  <c r="K101" i="16" s="1"/>
  <c r="G102" i="16"/>
  <c r="G101" i="16" s="1"/>
  <c r="N100" i="16"/>
  <c r="K100" i="16"/>
  <c r="G100" i="16"/>
  <c r="N99" i="16"/>
  <c r="K99" i="16"/>
  <c r="G99" i="16"/>
  <c r="N98" i="16"/>
  <c r="P98" i="16" s="1"/>
  <c r="Q98" i="16" s="1"/>
  <c r="K98" i="16"/>
  <c r="G98" i="16"/>
  <c r="N97" i="16"/>
  <c r="K97" i="16"/>
  <c r="K96" i="16" s="1"/>
  <c r="G97" i="16"/>
  <c r="G96" i="16" s="1"/>
  <c r="N95" i="16"/>
  <c r="P95" i="16" s="1"/>
  <c r="Q95" i="16" s="1"/>
  <c r="K95" i="16"/>
  <c r="G95" i="16"/>
  <c r="N94" i="16"/>
  <c r="P94" i="16" s="1"/>
  <c r="Q94" i="16" s="1"/>
  <c r="K94" i="16"/>
  <c r="G94" i="16"/>
  <c r="N93" i="16"/>
  <c r="K93" i="16"/>
  <c r="K92" i="16" s="1"/>
  <c r="G93" i="16"/>
  <c r="G92" i="16" s="1"/>
  <c r="N91" i="16"/>
  <c r="K91" i="16"/>
  <c r="G91" i="16"/>
  <c r="N90" i="16"/>
  <c r="P90" i="16" s="1"/>
  <c r="Q90" i="16" s="1"/>
  <c r="K90" i="16"/>
  <c r="G90" i="16"/>
  <c r="N89" i="16"/>
  <c r="P89" i="16" s="1"/>
  <c r="Q89" i="16" s="1"/>
  <c r="K89" i="16"/>
  <c r="G89" i="16"/>
  <c r="N88" i="16"/>
  <c r="K88" i="16"/>
  <c r="K87" i="16" s="1"/>
  <c r="G88" i="16"/>
  <c r="G87" i="16" s="1"/>
  <c r="N86" i="16"/>
  <c r="P86" i="16" s="1"/>
  <c r="Q86" i="16" s="1"/>
  <c r="K86" i="16"/>
  <c r="G86" i="16"/>
  <c r="N85" i="16"/>
  <c r="K85" i="16"/>
  <c r="K84" i="16" s="1"/>
  <c r="G85" i="16"/>
  <c r="G84" i="16" s="1"/>
  <c r="I83" i="16"/>
  <c r="H83" i="16"/>
  <c r="E83" i="16"/>
  <c r="N81" i="16"/>
  <c r="K81" i="16"/>
  <c r="G81" i="16"/>
  <c r="N80" i="16"/>
  <c r="K80" i="16"/>
  <c r="G80" i="16"/>
  <c r="N79" i="16"/>
  <c r="P79" i="16" s="1"/>
  <c r="Q79" i="16" s="1"/>
  <c r="K79" i="16"/>
  <c r="G79" i="16"/>
  <c r="N78" i="16"/>
  <c r="P78" i="16" s="1"/>
  <c r="Q78" i="16" s="1"/>
  <c r="K78" i="16"/>
  <c r="G78" i="16"/>
  <c r="N77" i="16"/>
  <c r="P77" i="16" s="1"/>
  <c r="Q77" i="16" s="1"/>
  <c r="K77" i="16"/>
  <c r="G77" i="16"/>
  <c r="N75" i="16"/>
  <c r="CL105" i="1" s="1"/>
  <c r="K75" i="16"/>
  <c r="G75" i="16"/>
  <c r="N74" i="16"/>
  <c r="P74" i="16" s="1"/>
  <c r="K74" i="16"/>
  <c r="G74" i="16"/>
  <c r="I73" i="16"/>
  <c r="H73" i="16"/>
  <c r="E73" i="16"/>
  <c r="P72" i="16"/>
  <c r="Q72" i="16" s="1"/>
  <c r="P71" i="16"/>
  <c r="Q71" i="16" s="1"/>
  <c r="N70" i="16"/>
  <c r="P70" i="16" s="1"/>
  <c r="Q70" i="16" s="1"/>
  <c r="K70" i="16"/>
  <c r="G70" i="16"/>
  <c r="N69" i="16"/>
  <c r="P69" i="16" s="1"/>
  <c r="Q69" i="16" s="1"/>
  <c r="K69" i="16"/>
  <c r="G69" i="16"/>
  <c r="N68" i="16"/>
  <c r="P68" i="16" s="1"/>
  <c r="Q68" i="16" s="1"/>
  <c r="K68" i="16"/>
  <c r="G68" i="16"/>
  <c r="N67" i="16"/>
  <c r="P67" i="16" s="1"/>
  <c r="Q67" i="16" s="1"/>
  <c r="K67" i="16"/>
  <c r="G67" i="16"/>
  <c r="N66" i="16"/>
  <c r="P66" i="16" s="1"/>
  <c r="Q66" i="16" s="1"/>
  <c r="Q65" i="16" s="1"/>
  <c r="K66" i="16"/>
  <c r="K65" i="16" s="1"/>
  <c r="G66" i="16"/>
  <c r="G65" i="16" s="1"/>
  <c r="N64" i="16"/>
  <c r="P64" i="16" s="1"/>
  <c r="Q64" i="16" s="1"/>
  <c r="K64" i="16"/>
  <c r="G64" i="16"/>
  <c r="N63" i="16"/>
  <c r="P63" i="16" s="1"/>
  <c r="Q63" i="16" s="1"/>
  <c r="Q62" i="16" s="1"/>
  <c r="K63" i="16"/>
  <c r="K62" i="16" s="1"/>
  <c r="G63" i="16"/>
  <c r="G62" i="16" s="1"/>
  <c r="N61" i="16"/>
  <c r="P61" i="16" s="1"/>
  <c r="Q61" i="16" s="1"/>
  <c r="K61" i="16"/>
  <c r="G61" i="16"/>
  <c r="N60" i="16"/>
  <c r="P60" i="16" s="1"/>
  <c r="Q60" i="16" s="1"/>
  <c r="Q59" i="16" s="1"/>
  <c r="K60" i="16"/>
  <c r="K59" i="16" s="1"/>
  <c r="G60" i="16"/>
  <c r="G59" i="16" s="1"/>
  <c r="N58" i="16"/>
  <c r="K58" i="16"/>
  <c r="G58" i="16"/>
  <c r="N57" i="16"/>
  <c r="P57" i="16" s="1"/>
  <c r="Q57" i="16" s="1"/>
  <c r="K57" i="16"/>
  <c r="G57" i="16"/>
  <c r="N56" i="16"/>
  <c r="P56" i="16" s="1"/>
  <c r="Q56" i="16" s="1"/>
  <c r="K56" i="16"/>
  <c r="G56" i="16"/>
  <c r="N55" i="16"/>
  <c r="P55" i="16" s="1"/>
  <c r="Q55" i="16" s="1"/>
  <c r="K55" i="16"/>
  <c r="G55" i="16"/>
  <c r="N54" i="16"/>
  <c r="CL90" i="1" s="1"/>
  <c r="K54" i="16"/>
  <c r="G54" i="16"/>
  <c r="H52" i="16"/>
  <c r="E52" i="16"/>
  <c r="N50" i="16"/>
  <c r="P50" i="16" s="1"/>
  <c r="Q50" i="16" s="1"/>
  <c r="K50" i="16"/>
  <c r="G50" i="16"/>
  <c r="N49" i="16"/>
  <c r="K49" i="16"/>
  <c r="K48" i="16" s="1"/>
  <c r="G49" i="16"/>
  <c r="G48" i="16" s="1"/>
  <c r="N47" i="16"/>
  <c r="P47" i="16" s="1"/>
  <c r="Q47" i="16" s="1"/>
  <c r="K47" i="16"/>
  <c r="G47" i="16"/>
  <c r="N46" i="16"/>
  <c r="P46" i="16" s="1"/>
  <c r="Q46" i="16" s="1"/>
  <c r="K46" i="16"/>
  <c r="G46" i="16"/>
  <c r="N45" i="16"/>
  <c r="P45" i="16" s="1"/>
  <c r="Q45" i="16" s="1"/>
  <c r="K45" i="16"/>
  <c r="G45" i="16"/>
  <c r="N44" i="16"/>
  <c r="P44" i="16" s="1"/>
  <c r="Q44" i="16" s="1"/>
  <c r="Q43" i="16" s="1"/>
  <c r="K44" i="16"/>
  <c r="K43" i="16" s="1"/>
  <c r="G44" i="16"/>
  <c r="G43" i="16" s="1"/>
  <c r="N42" i="16"/>
  <c r="K42" i="16"/>
  <c r="G42" i="16"/>
  <c r="N41" i="16"/>
  <c r="K41" i="16"/>
  <c r="G41" i="16"/>
  <c r="N40" i="16"/>
  <c r="K40" i="16"/>
  <c r="G40" i="16"/>
  <c r="N39" i="16"/>
  <c r="P39" i="16" s="1"/>
  <c r="K39" i="16"/>
  <c r="K37" i="16" s="1"/>
  <c r="G39" i="16"/>
  <c r="G38" i="16"/>
  <c r="G37" i="16" s="1"/>
  <c r="N36" i="16"/>
  <c r="P36" i="16" s="1"/>
  <c r="Q36" i="16" s="1"/>
  <c r="K36" i="16"/>
  <c r="G36" i="16"/>
  <c r="N35" i="16"/>
  <c r="P35" i="16" s="1"/>
  <c r="Q35" i="16" s="1"/>
  <c r="Q34" i="16" s="1"/>
  <c r="K35" i="16"/>
  <c r="K34" i="16" s="1"/>
  <c r="G35" i="16"/>
  <c r="G34" i="16" s="1"/>
  <c r="N33" i="16"/>
  <c r="K33" i="16"/>
  <c r="G33" i="16"/>
  <c r="I32" i="16"/>
  <c r="E32" i="16"/>
  <c r="N30" i="16"/>
  <c r="K30" i="16"/>
  <c r="G30" i="16"/>
  <c r="N29" i="16"/>
  <c r="K29" i="16"/>
  <c r="G29" i="16"/>
  <c r="N28" i="16"/>
  <c r="K28" i="16"/>
  <c r="G28" i="16"/>
  <c r="N27" i="16"/>
  <c r="CL93" i="1" s="1"/>
  <c r="K27" i="16"/>
  <c r="G27" i="16"/>
  <c r="N26" i="16"/>
  <c r="K26" i="16"/>
  <c r="G26" i="16"/>
  <c r="N25" i="16"/>
  <c r="K25" i="16"/>
  <c r="G25" i="16"/>
  <c r="N24" i="16"/>
  <c r="K24" i="16"/>
  <c r="G24" i="16"/>
  <c r="N23" i="16"/>
  <c r="P23" i="16" s="1"/>
  <c r="Q23" i="16" s="1"/>
  <c r="K23" i="16"/>
  <c r="G23" i="16"/>
  <c r="N22" i="16"/>
  <c r="P22" i="16" s="1"/>
  <c r="P21" i="16" s="1"/>
  <c r="CM80" i="1" s="1"/>
  <c r="K22" i="16"/>
  <c r="K21" i="16" s="1"/>
  <c r="G22" i="16"/>
  <c r="G21" i="16" s="1"/>
  <c r="I20" i="16"/>
  <c r="H20" i="16"/>
  <c r="E20" i="16"/>
  <c r="D18" i="16"/>
  <c r="R53" i="15"/>
  <c r="P53" i="15"/>
  <c r="O53" i="15"/>
  <c r="N53" i="15"/>
  <c r="M53" i="15"/>
  <c r="L53" i="15"/>
  <c r="K53" i="15"/>
  <c r="H23" i="15"/>
  <c r="Q23" i="15" s="1"/>
  <c r="J22" i="15"/>
  <c r="J21" i="15" s="1"/>
  <c r="J53" i="15" s="1"/>
  <c r="I22" i="15"/>
  <c r="I21" i="15" s="1"/>
  <c r="I53" i="15" s="1"/>
  <c r="BV89" i="1"/>
  <c r="BW89" i="1"/>
  <c r="BX89" i="1"/>
  <c r="BZ89" i="1"/>
  <c r="CA89" i="1"/>
  <c r="BV90" i="1"/>
  <c r="BW90" i="1"/>
  <c r="BX90" i="1"/>
  <c r="BZ90" i="1"/>
  <c r="CA90" i="1"/>
  <c r="BV91" i="1"/>
  <c r="BW91" i="1"/>
  <c r="BX91" i="1"/>
  <c r="BZ91" i="1"/>
  <c r="CA91" i="1"/>
  <c r="BV92" i="1"/>
  <c r="BW92" i="1"/>
  <c r="BX92" i="1"/>
  <c r="BZ92" i="1"/>
  <c r="CA92" i="1"/>
  <c r="BV93" i="1"/>
  <c r="BW93" i="1"/>
  <c r="BX93" i="1"/>
  <c r="BZ93" i="1"/>
  <c r="CA93" i="1"/>
  <c r="BV94" i="1"/>
  <c r="BW94" i="1"/>
  <c r="BX94" i="1"/>
  <c r="BZ94" i="1"/>
  <c r="CA94" i="1"/>
  <c r="BV95" i="1"/>
  <c r="BW95" i="1"/>
  <c r="BX95" i="1"/>
  <c r="BY95" i="1" s="1"/>
  <c r="BZ95" i="1"/>
  <c r="CA95" i="1"/>
  <c r="BV96" i="1"/>
  <c r="BW96" i="1"/>
  <c r="BX96" i="1"/>
  <c r="BZ96" i="1"/>
  <c r="CA96" i="1"/>
  <c r="BV97" i="1"/>
  <c r="BW97" i="1"/>
  <c r="BX97" i="1"/>
  <c r="BZ97" i="1"/>
  <c r="CA97" i="1"/>
  <c r="BV98" i="1"/>
  <c r="BW98" i="1"/>
  <c r="BX98" i="1"/>
  <c r="BZ98" i="1"/>
  <c r="CA98" i="1"/>
  <c r="BV99" i="1"/>
  <c r="BW99" i="1"/>
  <c r="BX99" i="1"/>
  <c r="BZ99" i="1"/>
  <c r="CA99" i="1"/>
  <c r="BV100" i="1"/>
  <c r="BW100" i="1"/>
  <c r="BX100" i="1"/>
  <c r="BZ100" i="1"/>
  <c r="CA100" i="1"/>
  <c r="BV101" i="1"/>
  <c r="BW101" i="1"/>
  <c r="BX101" i="1"/>
  <c r="BZ101" i="1"/>
  <c r="CA101" i="1"/>
  <c r="BV102" i="1"/>
  <c r="BW102" i="1"/>
  <c r="BX102" i="1"/>
  <c r="BZ102" i="1"/>
  <c r="CA102" i="1"/>
  <c r="BV103" i="1"/>
  <c r="BW103" i="1"/>
  <c r="BX103" i="1"/>
  <c r="BZ103" i="1"/>
  <c r="CA103" i="1"/>
  <c r="BV104" i="1"/>
  <c r="BW104" i="1"/>
  <c r="BX104" i="1"/>
  <c r="BZ104" i="1"/>
  <c r="CA104" i="1"/>
  <c r="BV105" i="1"/>
  <c r="BW105" i="1"/>
  <c r="BX105" i="1"/>
  <c r="BZ105" i="1"/>
  <c r="CA105" i="1"/>
  <c r="BV106" i="1"/>
  <c r="BW106" i="1"/>
  <c r="BX106" i="1"/>
  <c r="BZ106" i="1"/>
  <c r="CA106" i="1"/>
  <c r="BV107" i="1"/>
  <c r="BW107" i="1"/>
  <c r="BX107" i="1"/>
  <c r="BZ107" i="1"/>
  <c r="CA107" i="1"/>
  <c r="BV108" i="1"/>
  <c r="BW108" i="1"/>
  <c r="BX108" i="1"/>
  <c r="BZ108" i="1"/>
  <c r="CA108" i="1"/>
  <c r="BV109" i="1"/>
  <c r="BW109" i="1"/>
  <c r="BX109" i="1"/>
  <c r="BZ109" i="1"/>
  <c r="CA109" i="1"/>
  <c r="BV110" i="1"/>
  <c r="BW110" i="1"/>
  <c r="BX110" i="1"/>
  <c r="BZ110" i="1"/>
  <c r="CA110" i="1"/>
  <c r="BV111" i="1"/>
  <c r="BW111" i="1"/>
  <c r="BX111" i="1"/>
  <c r="BY111" i="1" s="1"/>
  <c r="BZ111" i="1"/>
  <c r="CA111" i="1"/>
  <c r="BV112" i="1"/>
  <c r="BW112" i="1"/>
  <c r="BX112" i="1"/>
  <c r="BZ112" i="1"/>
  <c r="CA112" i="1"/>
  <c r="BV113" i="1"/>
  <c r="BW113" i="1"/>
  <c r="BX113" i="1"/>
  <c r="BZ113" i="1"/>
  <c r="CA113" i="1"/>
  <c r="BV114" i="1"/>
  <c r="BW114" i="1"/>
  <c r="BX114" i="1"/>
  <c r="BZ114" i="1"/>
  <c r="CA114" i="1"/>
  <c r="BV115" i="1"/>
  <c r="BW115" i="1"/>
  <c r="BX115" i="1"/>
  <c r="BZ115" i="1"/>
  <c r="CA115" i="1"/>
  <c r="BV116" i="1"/>
  <c r="BW116" i="1"/>
  <c r="BX116" i="1"/>
  <c r="BZ116" i="1"/>
  <c r="CA116" i="1"/>
  <c r="BV117" i="1"/>
  <c r="BW117" i="1"/>
  <c r="BX117" i="1"/>
  <c r="BZ117" i="1"/>
  <c r="CA117" i="1"/>
  <c r="BV118" i="1"/>
  <c r="BW118" i="1"/>
  <c r="BX118" i="1"/>
  <c r="BZ118" i="1"/>
  <c r="CA118" i="1"/>
  <c r="BV119" i="1"/>
  <c r="BW119" i="1"/>
  <c r="BX119" i="1"/>
  <c r="BZ119" i="1"/>
  <c r="CA119" i="1"/>
  <c r="BV120" i="1"/>
  <c r="BW120" i="1"/>
  <c r="BX120" i="1"/>
  <c r="BZ120" i="1"/>
  <c r="CA120" i="1"/>
  <c r="BV121" i="1"/>
  <c r="BW121" i="1"/>
  <c r="BX121" i="1"/>
  <c r="BZ121" i="1"/>
  <c r="CA121" i="1"/>
  <c r="BV122" i="1"/>
  <c r="BW122" i="1"/>
  <c r="BX122" i="1"/>
  <c r="BZ122" i="1"/>
  <c r="CA122" i="1"/>
  <c r="BV123" i="1"/>
  <c r="BW123" i="1"/>
  <c r="BX123" i="1"/>
  <c r="BZ123" i="1"/>
  <c r="CA123" i="1"/>
  <c r="BV124" i="1"/>
  <c r="BW124" i="1"/>
  <c r="BX124" i="1"/>
  <c r="BZ124" i="1"/>
  <c r="CA124" i="1"/>
  <c r="BV125" i="1"/>
  <c r="BW125" i="1"/>
  <c r="BX125" i="1"/>
  <c r="BZ125" i="1"/>
  <c r="CA125" i="1"/>
  <c r="BV126" i="1"/>
  <c r="BV127" i="1"/>
  <c r="BW127" i="1"/>
  <c r="BX127" i="1"/>
  <c r="BZ127" i="1"/>
  <c r="BV80" i="1"/>
  <c r="BW80" i="1"/>
  <c r="BX80" i="1"/>
  <c r="BZ80" i="1"/>
  <c r="CA80" i="1"/>
  <c r="BV81" i="1"/>
  <c r="BW81" i="1"/>
  <c r="BX81" i="1"/>
  <c r="BZ81" i="1"/>
  <c r="CA81" i="1"/>
  <c r="BV82" i="1"/>
  <c r="BW82" i="1"/>
  <c r="BX82" i="1"/>
  <c r="BZ82" i="1"/>
  <c r="CA82" i="1"/>
  <c r="BV83" i="1"/>
  <c r="BW83" i="1"/>
  <c r="BX83" i="1"/>
  <c r="BZ83" i="1"/>
  <c r="CA83" i="1"/>
  <c r="BV84" i="1"/>
  <c r="BW84" i="1"/>
  <c r="BX84" i="1"/>
  <c r="BZ84" i="1"/>
  <c r="CA84" i="1"/>
  <c r="BV85" i="1"/>
  <c r="BW85" i="1"/>
  <c r="BX85" i="1"/>
  <c r="BZ85" i="1"/>
  <c r="CA85" i="1"/>
  <c r="BV86" i="1"/>
  <c r="BW86" i="1"/>
  <c r="BX86" i="1"/>
  <c r="BZ86" i="1"/>
  <c r="CA86" i="1"/>
  <c r="BV87" i="1"/>
  <c r="BW87" i="1"/>
  <c r="BX87" i="1"/>
  <c r="BZ87" i="1"/>
  <c r="CA87" i="1"/>
  <c r="BY90" i="1" l="1"/>
  <c r="P24" i="16"/>
  <c r="CL84" i="1"/>
  <c r="P25" i="16"/>
  <c r="CL82" i="1"/>
  <c r="P26" i="16"/>
  <c r="CL103" i="1"/>
  <c r="P28" i="16"/>
  <c r="CL95" i="1"/>
  <c r="P29" i="16"/>
  <c r="CL98" i="1"/>
  <c r="P30" i="16"/>
  <c r="CL99" i="1"/>
  <c r="P33" i="16"/>
  <c r="CM88" i="1" s="1"/>
  <c r="CL88" i="1"/>
  <c r="Q39" i="16"/>
  <c r="P40" i="16"/>
  <c r="CL100" i="1"/>
  <c r="P41" i="16"/>
  <c r="CL102" i="1"/>
  <c r="P42" i="16"/>
  <c r="CL92" i="1"/>
  <c r="P49" i="16"/>
  <c r="Q49" i="16" s="1"/>
  <c r="Q48" i="16" s="1"/>
  <c r="N48" i="16"/>
  <c r="CL125" i="1" s="1"/>
  <c r="P58" i="16"/>
  <c r="CL96" i="1"/>
  <c r="P80" i="16"/>
  <c r="CL114" i="1"/>
  <c r="P81" i="16"/>
  <c r="CL106" i="1"/>
  <c r="P85" i="16"/>
  <c r="P84" i="16" s="1"/>
  <c r="CM89" i="1" s="1"/>
  <c r="N84" i="16"/>
  <c r="CL89" i="1" s="1"/>
  <c r="P88" i="16"/>
  <c r="N87" i="16"/>
  <c r="CL110" i="1" s="1"/>
  <c r="P91" i="16"/>
  <c r="CL91" i="1"/>
  <c r="P93" i="16"/>
  <c r="N92" i="16"/>
  <c r="CL101" i="1" s="1"/>
  <c r="P97" i="16"/>
  <c r="N96" i="16"/>
  <c r="CL121" i="1" s="1"/>
  <c r="P99" i="16"/>
  <c r="CL83" i="1"/>
  <c r="P100" i="16"/>
  <c r="CL127" i="1"/>
  <c r="P102" i="16"/>
  <c r="N101" i="16"/>
  <c r="CL126" i="1" s="1"/>
  <c r="P110" i="16"/>
  <c r="N109" i="16"/>
  <c r="CL86" i="1" s="1"/>
  <c r="P117" i="16"/>
  <c r="N116" i="16"/>
  <c r="CL115" i="1" s="1"/>
  <c r="P123" i="16"/>
  <c r="N122" i="16"/>
  <c r="CL117" i="1" s="1"/>
  <c r="P129" i="16"/>
  <c r="N130" i="16"/>
  <c r="I128" i="16"/>
  <c r="CJ85" i="1" s="1"/>
  <c r="P133" i="16"/>
  <c r="N132" i="16"/>
  <c r="CL116" i="1" s="1"/>
  <c r="G136" i="16"/>
  <c r="G135" i="16" s="1"/>
  <c r="I135" i="16"/>
  <c r="CJ123" i="1" s="1"/>
  <c r="P139" i="16"/>
  <c r="N138" i="16"/>
  <c r="CL124" i="1" s="1"/>
  <c r="P145" i="16"/>
  <c r="CL70" i="1"/>
  <c r="N147" i="16"/>
  <c r="G146" i="16"/>
  <c r="P151" i="16"/>
  <c r="CL68" i="1"/>
  <c r="N153" i="16"/>
  <c r="G152" i="16"/>
  <c r="N156" i="16"/>
  <c r="G155" i="16"/>
  <c r="N159" i="16"/>
  <c r="G158" i="16"/>
  <c r="P161" i="16"/>
  <c r="CL67" i="1"/>
  <c r="P165" i="16"/>
  <c r="CM30" i="1" s="1"/>
  <c r="CL30" i="1"/>
  <c r="P170" i="16"/>
  <c r="N169" i="16"/>
  <c r="CL56" i="1" s="1"/>
  <c r="P173" i="16"/>
  <c r="CL28" i="1"/>
  <c r="P174" i="16"/>
  <c r="CL38" i="1"/>
  <c r="P175" i="16"/>
  <c r="CL47" i="1"/>
  <c r="P177" i="16"/>
  <c r="N176" i="16"/>
  <c r="CL45" i="1" s="1"/>
  <c r="P183" i="16"/>
  <c r="N182" i="16"/>
  <c r="I185" i="16"/>
  <c r="CJ59" i="1"/>
  <c r="P187" i="16"/>
  <c r="CL48" i="1"/>
  <c r="P189" i="16"/>
  <c r="N188" i="16"/>
  <c r="P192" i="16"/>
  <c r="CL43" i="1"/>
  <c r="P194" i="16"/>
  <c r="N193" i="16"/>
  <c r="CL39" i="1" s="1"/>
  <c r="P196" i="16"/>
  <c r="CL35" i="1"/>
  <c r="P198" i="16"/>
  <c r="N197" i="16"/>
  <c r="CL32" i="1" s="1"/>
  <c r="P202" i="16"/>
  <c r="N201" i="16"/>
  <c r="CL57" i="1" s="1"/>
  <c r="P210" i="16"/>
  <c r="N209" i="16"/>
  <c r="CL4" i="1" s="1"/>
  <c r="P214" i="16"/>
  <c r="N213" i="16"/>
  <c r="CL6" i="1" s="1"/>
  <c r="P219" i="16"/>
  <c r="N218" i="16"/>
  <c r="CL19" i="1" s="1"/>
  <c r="P222" i="16"/>
  <c r="N221" i="16"/>
  <c r="CL17" i="1" s="1"/>
  <c r="P225" i="16"/>
  <c r="N224" i="16"/>
  <c r="CL25" i="1" s="1"/>
  <c r="P231" i="16"/>
  <c r="N230" i="16"/>
  <c r="CL8" i="1" s="1"/>
  <c r="P235" i="16"/>
  <c r="N234" i="16"/>
  <c r="P241" i="16"/>
  <c r="N240" i="16"/>
  <c r="CL22" i="1" s="1"/>
  <c r="P243" i="16"/>
  <c r="CL5" i="1"/>
  <c r="P245" i="16"/>
  <c r="N244" i="16"/>
  <c r="CL12" i="1" s="1"/>
  <c r="P248" i="16"/>
  <c r="N247" i="16"/>
  <c r="CL15" i="1" s="1"/>
  <c r="P251" i="16"/>
  <c r="CL18" i="1"/>
  <c r="P253" i="16"/>
  <c r="N252" i="16"/>
  <c r="CL24" i="1" s="1"/>
  <c r="P256" i="16"/>
  <c r="CL21" i="1"/>
  <c r="P258" i="16"/>
  <c r="N257" i="16"/>
  <c r="CL16" i="1" s="1"/>
  <c r="P261" i="16"/>
  <c r="N260" i="16"/>
  <c r="CL14" i="1" s="1"/>
  <c r="CK94" i="1"/>
  <c r="H32" i="16"/>
  <c r="CI81" i="1"/>
  <c r="CK81" i="1" s="1"/>
  <c r="I52" i="16"/>
  <c r="CJ108" i="1"/>
  <c r="CK110" i="1"/>
  <c r="CK85" i="1"/>
  <c r="CK73" i="1"/>
  <c r="CK45" i="1"/>
  <c r="CK14" i="1"/>
  <c r="CK59" i="1"/>
  <c r="CK53" i="1"/>
  <c r="CK37" i="1"/>
  <c r="CK29" i="1"/>
  <c r="CK76" i="1"/>
  <c r="CK69" i="1"/>
  <c r="CK127" i="1"/>
  <c r="CK102" i="1"/>
  <c r="CK90" i="1"/>
  <c r="CK83" i="1"/>
  <c r="Q23" i="17"/>
  <c r="CR19" i="1"/>
  <c r="Q24" i="17"/>
  <c r="CS4" i="1" s="1"/>
  <c r="CR4" i="1"/>
  <c r="Q37" i="17"/>
  <c r="CS10" i="1" s="1"/>
  <c r="CR10" i="1"/>
  <c r="CR12" i="1"/>
  <c r="Q39" i="17"/>
  <c r="CS12" i="1" s="1"/>
  <c r="CR16" i="1"/>
  <c r="Q40" i="17"/>
  <c r="CS16" i="1" s="1"/>
  <c r="H43" i="17"/>
  <c r="CO28" i="1"/>
  <c r="I43" i="17"/>
  <c r="CP30" i="1"/>
  <c r="G57" i="17"/>
  <c r="CQ54" i="1"/>
  <c r="Q64" i="17"/>
  <c r="CS31" i="1" s="1"/>
  <c r="CR31" i="1"/>
  <c r="CR45" i="1"/>
  <c r="Q66" i="17"/>
  <c r="CS45" i="1" s="1"/>
  <c r="K72" i="17"/>
  <c r="I71" i="17"/>
  <c r="CP40" i="1"/>
  <c r="H71" i="17"/>
  <c r="CO59" i="1"/>
  <c r="G71" i="17"/>
  <c r="Q96" i="17"/>
  <c r="CS37" i="1" s="1"/>
  <c r="CR37" i="1"/>
  <c r="CR35" i="1"/>
  <c r="Q97" i="17"/>
  <c r="CS35" i="1" s="1"/>
  <c r="Q98" i="17"/>
  <c r="CS36" i="1" s="1"/>
  <c r="CR36" i="1"/>
  <c r="CQ33" i="1"/>
  <c r="CR50" i="1"/>
  <c r="Q105" i="17"/>
  <c r="CS50" i="1" s="1"/>
  <c r="CR42" i="1"/>
  <c r="Q119" i="17"/>
  <c r="CS42" i="1" s="1"/>
  <c r="H122" i="17"/>
  <c r="H121" i="17" s="1"/>
  <c r="CO78" i="1"/>
  <c r="CR72" i="1"/>
  <c r="Q134" i="17"/>
  <c r="CS72" i="1" s="1"/>
  <c r="Q135" i="17"/>
  <c r="CS65" i="1" s="1"/>
  <c r="CR65" i="1"/>
  <c r="N129" i="17"/>
  <c r="N121" i="17" s="1"/>
  <c r="CR68" i="1"/>
  <c r="Q139" i="17"/>
  <c r="CS66" i="1" s="1"/>
  <c r="CR66" i="1"/>
  <c r="K143" i="17"/>
  <c r="N146" i="17"/>
  <c r="Q147" i="17"/>
  <c r="K149" i="17"/>
  <c r="N149" i="17"/>
  <c r="CR82" i="1" s="1"/>
  <c r="N152" i="17"/>
  <c r="CR103" i="1" s="1"/>
  <c r="Q153" i="17"/>
  <c r="Q152" i="17" s="1"/>
  <c r="CS103" i="1" s="1"/>
  <c r="K152" i="17"/>
  <c r="K158" i="17"/>
  <c r="G161" i="17"/>
  <c r="K162" i="17"/>
  <c r="I161" i="17"/>
  <c r="CP102" i="1"/>
  <c r="CQ102" i="1" s="1"/>
  <c r="CQ107" i="1"/>
  <c r="N172" i="17"/>
  <c r="CR107" i="1" s="1"/>
  <c r="Q173" i="17"/>
  <c r="H161" i="17"/>
  <c r="CO125" i="1"/>
  <c r="K175" i="17"/>
  <c r="Q178" i="17"/>
  <c r="CS88" i="1" s="1"/>
  <c r="CR88" i="1"/>
  <c r="Q184" i="17"/>
  <c r="CS108" i="1" s="1"/>
  <c r="CR108" i="1"/>
  <c r="H183" i="17"/>
  <c r="CO96" i="1"/>
  <c r="CQ96" i="1"/>
  <c r="K185" i="17"/>
  <c r="CQ104" i="1"/>
  <c r="K188" i="17"/>
  <c r="K194" i="17"/>
  <c r="CQ112" i="1"/>
  <c r="N197" i="17"/>
  <c r="CR112" i="1" s="1"/>
  <c r="Q198" i="17"/>
  <c r="Q197" i="17" s="1"/>
  <c r="CS112" i="1" s="1"/>
  <c r="CR105" i="1"/>
  <c r="Q201" i="17"/>
  <c r="CS105" i="1" s="1"/>
  <c r="Q202" i="17"/>
  <c r="CS114" i="1" s="1"/>
  <c r="CR114" i="1"/>
  <c r="N203" i="17"/>
  <c r="Q204" i="17"/>
  <c r="Q203" i="17" s="1"/>
  <c r="CS97" i="1" s="1"/>
  <c r="Q209" i="17"/>
  <c r="CR89" i="1"/>
  <c r="CR127" i="1"/>
  <c r="Q210" i="17"/>
  <c r="CS127" i="1" s="1"/>
  <c r="N208" i="17"/>
  <c r="CR91" i="1"/>
  <c r="G211" i="17"/>
  <c r="CR126" i="1"/>
  <c r="Q215" i="17"/>
  <c r="CS126" i="1" s="1"/>
  <c r="Q216" i="17"/>
  <c r="CS101" i="1" s="1"/>
  <c r="CR101" i="1"/>
  <c r="CR121" i="1"/>
  <c r="Q217" i="17"/>
  <c r="CS121" i="1" s="1"/>
  <c r="CR115" i="1"/>
  <c r="Q219" i="17"/>
  <c r="CS115" i="1" s="1"/>
  <c r="Q220" i="17"/>
  <c r="CS116" i="1" s="1"/>
  <c r="CR116" i="1"/>
  <c r="CR111" i="1"/>
  <c r="Q221" i="17"/>
  <c r="CS111" i="1" s="1"/>
  <c r="Q222" i="17"/>
  <c r="CS119" i="1" s="1"/>
  <c r="CR119" i="1"/>
  <c r="I218" i="17"/>
  <c r="CP109" i="1"/>
  <c r="G218" i="17"/>
  <c r="K223" i="17"/>
  <c r="K226" i="17"/>
  <c r="CW20" i="1"/>
  <c r="G22" i="18"/>
  <c r="N26" i="18"/>
  <c r="Q27" i="18"/>
  <c r="CX23" i="1"/>
  <c r="Q29" i="18"/>
  <c r="CY23" i="1" s="1"/>
  <c r="Q30" i="18"/>
  <c r="CY25" i="1" s="1"/>
  <c r="CX25" i="1"/>
  <c r="CW14" i="1"/>
  <c r="G32" i="18"/>
  <c r="Q39" i="18"/>
  <c r="CY18" i="1" s="1"/>
  <c r="CX18" i="1"/>
  <c r="H32" i="18"/>
  <c r="H21" i="18" s="1"/>
  <c r="H19" i="18" s="1"/>
  <c r="I32" i="18"/>
  <c r="N43" i="18"/>
  <c r="CX12" i="1" s="1"/>
  <c r="Q44" i="18"/>
  <c r="Q43" i="18"/>
  <c r="CY12" i="1" s="1"/>
  <c r="G53" i="18"/>
  <c r="G52" i="18" s="1"/>
  <c r="DA4" i="1"/>
  <c r="DC4" i="1" s="1"/>
  <c r="Q24" i="19"/>
  <c r="DD4" i="1" s="1"/>
  <c r="DA8" i="1"/>
  <c r="Q28" i="19"/>
  <c r="I23" i="19"/>
  <c r="I22" i="19" s="1"/>
  <c r="DB17" i="1"/>
  <c r="H29" i="19"/>
  <c r="DA17" i="1" s="1"/>
  <c r="Q30" i="19"/>
  <c r="S30" i="19" s="1"/>
  <c r="DA19" i="1"/>
  <c r="Q32" i="19"/>
  <c r="DA20" i="1"/>
  <c r="Q33" i="19"/>
  <c r="DA25" i="1"/>
  <c r="DC25" i="1" s="1"/>
  <c r="Q34" i="19"/>
  <c r="Q36" i="19"/>
  <c r="DD5" i="1" s="1"/>
  <c r="DA5" i="1"/>
  <c r="DC5" i="1" s="1"/>
  <c r="DA11" i="1"/>
  <c r="Q41" i="19"/>
  <c r="DC14" i="1"/>
  <c r="Q45" i="19"/>
  <c r="DA15" i="1"/>
  <c r="DA16" i="1"/>
  <c r="Q46" i="19"/>
  <c r="DA24" i="1"/>
  <c r="Q56" i="19"/>
  <c r="DA30" i="1"/>
  <c r="Q60" i="19"/>
  <c r="CQ23" i="1"/>
  <c r="CQ22" i="1"/>
  <c r="CQ14" i="1"/>
  <c r="CQ10" i="1"/>
  <c r="CQ9" i="1"/>
  <c r="CQ6" i="1"/>
  <c r="CQ31" i="1"/>
  <c r="CQ75" i="1"/>
  <c r="CQ69" i="1"/>
  <c r="CQ66" i="1"/>
  <c r="CQ63" i="1"/>
  <c r="CQ62" i="1"/>
  <c r="CQ126" i="1"/>
  <c r="CQ110" i="1"/>
  <c r="CQ86" i="1"/>
  <c r="CW22" i="1"/>
  <c r="CW21" i="1"/>
  <c r="CW16" i="1"/>
  <c r="CW13" i="1"/>
  <c r="CW56" i="1"/>
  <c r="CW53" i="1"/>
  <c r="CW50" i="1"/>
  <c r="CW46" i="1"/>
  <c r="CW44" i="1"/>
  <c r="CW34" i="1"/>
  <c r="CW32" i="1"/>
  <c r="CW31" i="1"/>
  <c r="CW28" i="1"/>
  <c r="DC23" i="1"/>
  <c r="DC19" i="1"/>
  <c r="DC9" i="1"/>
  <c r="DC7" i="1"/>
  <c r="DC57" i="1"/>
  <c r="DC55" i="1"/>
  <c r="DC53" i="1"/>
  <c r="DC49" i="1"/>
  <c r="DC46" i="1"/>
  <c r="DC41" i="1"/>
  <c r="DC39" i="1"/>
  <c r="DC38" i="1"/>
  <c r="DC35" i="1"/>
  <c r="DC33" i="1"/>
  <c r="DC32" i="1"/>
  <c r="DC29" i="1"/>
  <c r="DC27" i="1"/>
  <c r="N22" i="20"/>
  <c r="DJ64" i="1" s="1"/>
  <c r="P24" i="20"/>
  <c r="DJ65" i="1"/>
  <c r="P27" i="20"/>
  <c r="Q27" i="20" s="1"/>
  <c r="DK65" i="1" s="1"/>
  <c r="G28" i="20"/>
  <c r="K28" i="20"/>
  <c r="K34" i="20"/>
  <c r="N34" i="20"/>
  <c r="DJ74" i="1" s="1"/>
  <c r="O21" i="20"/>
  <c r="G37" i="20"/>
  <c r="DH60" i="1"/>
  <c r="N37" i="20"/>
  <c r="K41" i="20"/>
  <c r="DI79" i="1"/>
  <c r="K48" i="20"/>
  <c r="N48" i="20"/>
  <c r="DJ71" i="1" s="1"/>
  <c r="P50" i="20"/>
  <c r="DI75" i="1"/>
  <c r="K52" i="20"/>
  <c r="G55" i="20"/>
  <c r="P62" i="20"/>
  <c r="Q62" i="20" s="1"/>
  <c r="DK58" i="1" s="1"/>
  <c r="DJ58" i="1"/>
  <c r="P63" i="20"/>
  <c r="Q63" i="20" s="1"/>
  <c r="DK47" i="1" s="1"/>
  <c r="DJ47" i="1"/>
  <c r="P64" i="20"/>
  <c r="Q64" i="20" s="1"/>
  <c r="DK49" i="1" s="1"/>
  <c r="DJ49" i="1"/>
  <c r="P65" i="20"/>
  <c r="Q65" i="20" s="1"/>
  <c r="DK31" i="1" s="1"/>
  <c r="DJ31" i="1"/>
  <c r="I61" i="20"/>
  <c r="DH59" i="1"/>
  <c r="DI59" i="1" s="1"/>
  <c r="N61" i="20"/>
  <c r="DJ59" i="1"/>
  <c r="DJ51" i="1"/>
  <c r="P69" i="20"/>
  <c r="Q69" i="20" s="1"/>
  <c r="DK51" i="1" s="1"/>
  <c r="P70" i="20"/>
  <c r="Q70" i="20" s="1"/>
  <c r="DK34" i="1" s="1"/>
  <c r="DJ34" i="1"/>
  <c r="H61" i="20"/>
  <c r="DG30" i="1"/>
  <c r="K71" i="20"/>
  <c r="P81" i="20"/>
  <c r="Q81" i="20" s="1"/>
  <c r="DK84" i="1" s="1"/>
  <c r="DJ84" i="1"/>
  <c r="DJ87" i="1"/>
  <c r="P82" i="20"/>
  <c r="Q82" i="20" s="1"/>
  <c r="DK87" i="1" s="1"/>
  <c r="P83" i="20"/>
  <c r="Q83" i="20" s="1"/>
  <c r="DK95" i="1" s="1"/>
  <c r="DJ95" i="1"/>
  <c r="H76" i="20"/>
  <c r="DG99" i="1"/>
  <c r="DI99" i="1"/>
  <c r="K84" i="20"/>
  <c r="DJ103" i="1"/>
  <c r="P94" i="20"/>
  <c r="Q94" i="20" s="1"/>
  <c r="DK103" i="1" s="1"/>
  <c r="P95" i="20"/>
  <c r="Q95" i="20" s="1"/>
  <c r="DK98" i="1" s="1"/>
  <c r="DJ98" i="1"/>
  <c r="DJ92" i="1"/>
  <c r="P97" i="20"/>
  <c r="Q97" i="20" s="1"/>
  <c r="DK92" i="1" s="1"/>
  <c r="P98" i="20"/>
  <c r="Q98" i="20" s="1"/>
  <c r="DK100" i="1" s="1"/>
  <c r="DJ100" i="1"/>
  <c r="K103" i="20"/>
  <c r="DI125" i="1"/>
  <c r="G118" i="20"/>
  <c r="K118" i="20"/>
  <c r="N118" i="20"/>
  <c r="DJ90" i="1" s="1"/>
  <c r="K123" i="20"/>
  <c r="N123" i="20"/>
  <c r="DJ104" i="1" s="1"/>
  <c r="P126" i="20"/>
  <c r="Q126" i="20" s="1"/>
  <c r="DK108" i="1" s="1"/>
  <c r="DJ108" i="1"/>
  <c r="K127" i="20"/>
  <c r="P130" i="20"/>
  <c r="Q130" i="20" s="1"/>
  <c r="DK112" i="1" s="1"/>
  <c r="DJ112" i="1"/>
  <c r="G131" i="20"/>
  <c r="K131" i="20"/>
  <c r="P137" i="20"/>
  <c r="Q137" i="20" s="1"/>
  <c r="DK106" i="1" s="1"/>
  <c r="DJ106" i="1"/>
  <c r="K138" i="20"/>
  <c r="N138" i="20"/>
  <c r="DJ113" i="1" s="1"/>
  <c r="K142" i="20"/>
  <c r="P146" i="20"/>
  <c r="Q146" i="20" s="1"/>
  <c r="DK114" i="1" s="1"/>
  <c r="DJ114" i="1"/>
  <c r="P147" i="20"/>
  <c r="Q147" i="20" s="1"/>
  <c r="DK83" i="1" s="1"/>
  <c r="DJ83" i="1"/>
  <c r="K154" i="20"/>
  <c r="K160" i="20"/>
  <c r="K169" i="20"/>
  <c r="K176" i="20"/>
  <c r="N176" i="20"/>
  <c r="DJ86" i="1" s="1"/>
  <c r="P182" i="20"/>
  <c r="Q183" i="20"/>
  <c r="Q182" i="20" s="1"/>
  <c r="DK119" i="1" s="1"/>
  <c r="K182" i="20"/>
  <c r="N189" i="20"/>
  <c r="DJ116" i="1" s="1"/>
  <c r="P190" i="20"/>
  <c r="Q190" i="20" s="1"/>
  <c r="K189" i="20"/>
  <c r="DI117" i="1"/>
  <c r="K196" i="20"/>
  <c r="N196" i="20"/>
  <c r="DJ117" i="1" s="1"/>
  <c r="G199" i="20"/>
  <c r="DJ111" i="1"/>
  <c r="P204" i="20"/>
  <c r="Q204" i="20" s="1"/>
  <c r="DK111" i="1" s="1"/>
  <c r="DI55" i="1"/>
  <c r="DI51" i="1"/>
  <c r="DI35" i="1"/>
  <c r="DI28" i="1"/>
  <c r="DI27" i="1"/>
  <c r="DI77" i="1"/>
  <c r="DI69" i="1"/>
  <c r="DI66" i="1"/>
  <c r="DI61" i="1"/>
  <c r="DI84" i="1"/>
  <c r="DI82" i="1"/>
  <c r="F15" i="21"/>
  <c r="DN98" i="1"/>
  <c r="DO98" i="1" s="1"/>
  <c r="J22" i="21"/>
  <c r="DP93" i="1" s="1"/>
  <c r="K22" i="21"/>
  <c r="DQ93" i="1" s="1"/>
  <c r="G32" i="21"/>
  <c r="K33" i="21"/>
  <c r="G34" i="21"/>
  <c r="G35" i="21"/>
  <c r="K38" i="21"/>
  <c r="DQ109" i="1"/>
  <c r="DO77" i="1"/>
  <c r="DO74" i="1"/>
  <c r="DO72" i="1"/>
  <c r="DO71" i="1"/>
  <c r="DO69" i="1"/>
  <c r="DO65" i="1"/>
  <c r="DO61" i="1"/>
  <c r="DO127" i="1"/>
  <c r="DO124" i="1"/>
  <c r="DO121" i="1"/>
  <c r="DO119" i="1"/>
  <c r="DO116" i="1"/>
  <c r="DO113" i="1"/>
  <c r="DO111" i="1"/>
  <c r="DO108" i="1"/>
  <c r="DO105" i="1"/>
  <c r="DO103" i="1"/>
  <c r="DO100" i="1"/>
  <c r="DO97" i="1"/>
  <c r="DO95" i="1"/>
  <c r="DO92" i="1"/>
  <c r="DO89" i="1"/>
  <c r="DO87" i="1"/>
  <c r="DO84" i="1"/>
  <c r="DO81" i="1"/>
  <c r="DO80" i="1"/>
  <c r="DO78" i="1"/>
  <c r="DO66" i="1"/>
  <c r="DO70" i="1"/>
  <c r="DO62" i="1"/>
  <c r="DO73" i="1"/>
  <c r="CK108" i="1"/>
  <c r="CK92" i="1"/>
  <c r="CQ53" i="1"/>
  <c r="CQ72" i="1"/>
  <c r="CQ64" i="1"/>
  <c r="CQ121" i="1"/>
  <c r="CQ113" i="1"/>
  <c r="CQ105" i="1"/>
  <c r="CQ81" i="1"/>
  <c r="DC11" i="1"/>
  <c r="DI48" i="1"/>
  <c r="DI108" i="1"/>
  <c r="DI81" i="1"/>
  <c r="CK75" i="1"/>
  <c r="CK67" i="1"/>
  <c r="CQ67" i="1"/>
  <c r="DC34" i="1"/>
  <c r="DI87" i="1"/>
  <c r="CK23" i="1"/>
  <c r="CQ11" i="1"/>
  <c r="CQ32" i="1"/>
  <c r="CQ78" i="1"/>
  <c r="DI109" i="1"/>
  <c r="DI93" i="1"/>
  <c r="CQ25" i="1"/>
  <c r="CQ76" i="1"/>
  <c r="CW48" i="1"/>
  <c r="CW37" i="1"/>
  <c r="DC15" i="1"/>
  <c r="DI30" i="1"/>
  <c r="DI85" i="1"/>
  <c r="CQ99" i="1"/>
  <c r="CQ91" i="1"/>
  <c r="CQ83" i="1"/>
  <c r="CW18" i="1"/>
  <c r="DI123" i="1"/>
  <c r="DI115" i="1"/>
  <c r="DI107" i="1"/>
  <c r="DI91" i="1"/>
  <c r="DI83" i="1"/>
  <c r="CQ58" i="1"/>
  <c r="CW8" i="1"/>
  <c r="CW49" i="1"/>
  <c r="DC24" i="1"/>
  <c r="DC16" i="1"/>
  <c r="DC8" i="1"/>
  <c r="DC30" i="1"/>
  <c r="DI97" i="1"/>
  <c r="DI94" i="1"/>
  <c r="J19" i="21"/>
  <c r="K31" i="21"/>
  <c r="DQ81" i="1" s="1"/>
  <c r="G42" i="21"/>
  <c r="G41" i="21" s="1"/>
  <c r="K45" i="21"/>
  <c r="E14" i="21"/>
  <c r="E12" i="21" s="1"/>
  <c r="G15" i="21"/>
  <c r="G25" i="21"/>
  <c r="J17" i="21"/>
  <c r="DP103" i="1" s="1"/>
  <c r="K19" i="21"/>
  <c r="K18" i="21" s="1"/>
  <c r="DQ98" i="1" s="1"/>
  <c r="J28" i="21"/>
  <c r="F14" i="21"/>
  <c r="F12" i="21" s="1"/>
  <c r="G24" i="21"/>
  <c r="J33" i="21"/>
  <c r="G38" i="21"/>
  <c r="G14" i="21" s="1"/>
  <c r="G12" i="21" s="1"/>
  <c r="CK123" i="1"/>
  <c r="CK115" i="1"/>
  <c r="CQ100" i="1"/>
  <c r="CQ92" i="1"/>
  <c r="CQ84" i="1"/>
  <c r="CK20" i="1"/>
  <c r="CK64" i="1"/>
  <c r="CK121" i="1"/>
  <c r="CQ15" i="1"/>
  <c r="CQ57" i="1"/>
  <c r="CQ43" i="1"/>
  <c r="CQ35" i="1"/>
  <c r="CQ27" i="1"/>
  <c r="CQ65" i="1"/>
  <c r="CW25" i="1"/>
  <c r="CW5" i="1"/>
  <c r="CW54" i="1"/>
  <c r="CW40" i="1"/>
  <c r="DC58" i="1"/>
  <c r="DC44" i="1"/>
  <c r="CQ114" i="1"/>
  <c r="CQ106" i="1"/>
  <c r="CQ98" i="1"/>
  <c r="CW11" i="1"/>
  <c r="CW57" i="1"/>
  <c r="DC21" i="1"/>
  <c r="CK48" i="1"/>
  <c r="CK40" i="1"/>
  <c r="CK32" i="1"/>
  <c r="CK78" i="1"/>
  <c r="CK70" i="1"/>
  <c r="CK87" i="1"/>
  <c r="CQ41" i="1"/>
  <c r="CQ79" i="1"/>
  <c r="CQ71" i="1"/>
  <c r="CQ68" i="1"/>
  <c r="CQ125" i="1"/>
  <c r="CQ117" i="1"/>
  <c r="CQ109" i="1"/>
  <c r="CQ101" i="1"/>
  <c r="CQ93" i="1"/>
  <c r="CQ85" i="1"/>
  <c r="CW38" i="1"/>
  <c r="DC13" i="1"/>
  <c r="DC10" i="1"/>
  <c r="DC56" i="1"/>
  <c r="DC42" i="1"/>
  <c r="DC28" i="1"/>
  <c r="BY106" i="1"/>
  <c r="CK13" i="1"/>
  <c r="CK5" i="1"/>
  <c r="CK51" i="1"/>
  <c r="CQ50" i="1"/>
  <c r="CQ28" i="1"/>
  <c r="CQ77" i="1"/>
  <c r="CQ74" i="1"/>
  <c r="CW9" i="1"/>
  <c r="CW6" i="1"/>
  <c r="CW41" i="1"/>
  <c r="CW27" i="1"/>
  <c r="DC51" i="1"/>
  <c r="DC48" i="1"/>
  <c r="DC45" i="1"/>
  <c r="DC37" i="1"/>
  <c r="CQ19" i="1"/>
  <c r="DC54" i="1"/>
  <c r="DC40" i="1"/>
  <c r="CK22" i="1"/>
  <c r="CK11" i="1"/>
  <c r="CK49" i="1"/>
  <c r="CK88" i="1"/>
  <c r="CQ8" i="1"/>
  <c r="CQ45" i="1"/>
  <c r="DI76" i="1"/>
  <c r="DI68" i="1"/>
  <c r="DI65" i="1"/>
  <c r="DI120" i="1"/>
  <c r="DI112" i="1"/>
  <c r="DI104" i="1"/>
  <c r="DI98" i="1"/>
  <c r="DI71" i="1"/>
  <c r="DI63" i="1"/>
  <c r="J36" i="21"/>
  <c r="DI46" i="1"/>
  <c r="DI38" i="1"/>
  <c r="DI90" i="1"/>
  <c r="J20" i="21"/>
  <c r="J18" i="21" s="1"/>
  <c r="DP98" i="1" s="1"/>
  <c r="J26" i="21"/>
  <c r="K36" i="21"/>
  <c r="DI126" i="1"/>
  <c r="DI121" i="1"/>
  <c r="DI118" i="1"/>
  <c r="DI113" i="1"/>
  <c r="DI110" i="1"/>
  <c r="DI105" i="1"/>
  <c r="DI102" i="1"/>
  <c r="DI96" i="1"/>
  <c r="J16" i="21"/>
  <c r="DP99" i="1" s="1"/>
  <c r="J23" i="21"/>
  <c r="DP95" i="1" s="1"/>
  <c r="K26" i="21"/>
  <c r="J44" i="21"/>
  <c r="DI29" i="1"/>
  <c r="DI72" i="1"/>
  <c r="DI64" i="1"/>
  <c r="DI124" i="1"/>
  <c r="DI116" i="1"/>
  <c r="K16" i="21"/>
  <c r="J30" i="21"/>
  <c r="DP102" i="1" s="1"/>
  <c r="J37" i="21"/>
  <c r="K44" i="21"/>
  <c r="DI88" i="1"/>
  <c r="J21" i="21"/>
  <c r="DP80" i="1" s="1"/>
  <c r="J27" i="21"/>
  <c r="J39" i="21"/>
  <c r="DI127" i="1"/>
  <c r="DI119" i="1"/>
  <c r="DI111" i="1"/>
  <c r="DI103" i="1"/>
  <c r="DI78" i="1"/>
  <c r="DI70" i="1"/>
  <c r="DI62" i="1"/>
  <c r="DI122" i="1"/>
  <c r="DI114" i="1"/>
  <c r="DI106" i="1"/>
  <c r="DI86" i="1"/>
  <c r="DI80" i="1"/>
  <c r="DI60" i="1"/>
  <c r="DI52" i="1"/>
  <c r="DI44" i="1"/>
  <c r="DI36" i="1"/>
  <c r="DI31" i="1"/>
  <c r="DI47" i="1"/>
  <c r="DI39" i="1"/>
  <c r="DI34" i="1"/>
  <c r="DI32" i="1"/>
  <c r="DI56" i="1"/>
  <c r="DI40" i="1"/>
  <c r="DI54" i="1"/>
  <c r="DI43" i="1"/>
  <c r="DI33" i="1"/>
  <c r="DI57" i="1"/>
  <c r="DI49" i="1"/>
  <c r="DI41" i="1"/>
  <c r="CK34" i="1"/>
  <c r="H19" i="20"/>
  <c r="N99" i="20"/>
  <c r="DJ107" i="1" s="1"/>
  <c r="P101" i="20"/>
  <c r="Q119" i="20"/>
  <c r="P173" i="20"/>
  <c r="Q174" i="20"/>
  <c r="Q173" i="20" s="1"/>
  <c r="DK85" i="1" s="1"/>
  <c r="CK6" i="1"/>
  <c r="CK55" i="1"/>
  <c r="CK33" i="1"/>
  <c r="CK79" i="1"/>
  <c r="CK119" i="1"/>
  <c r="CK113" i="1"/>
  <c r="CK105" i="1"/>
  <c r="CK100" i="1"/>
  <c r="CK89" i="1"/>
  <c r="CK86" i="1"/>
  <c r="CQ20" i="1"/>
  <c r="CQ13" i="1"/>
  <c r="CW29" i="1"/>
  <c r="Q35" i="20"/>
  <c r="N41" i="20"/>
  <c r="DJ76" i="1" s="1"/>
  <c r="P43" i="20"/>
  <c r="Q43" i="20" s="1"/>
  <c r="P48" i="20"/>
  <c r="Q50" i="20"/>
  <c r="K22" i="20"/>
  <c r="P28" i="20"/>
  <c r="P71" i="20"/>
  <c r="Q73" i="20"/>
  <c r="Q78" i="20"/>
  <c r="Q161" i="20"/>
  <c r="Q160" i="20" s="1"/>
  <c r="DK120" i="1" s="1"/>
  <c r="CK15" i="1"/>
  <c r="BY127" i="1"/>
  <c r="CK18" i="1"/>
  <c r="CK77" i="1"/>
  <c r="CK71" i="1"/>
  <c r="CK68" i="1"/>
  <c r="CK111" i="1"/>
  <c r="CK95" i="1"/>
  <c r="CK84" i="1"/>
  <c r="CQ24" i="1"/>
  <c r="CQ17" i="1"/>
  <c r="Q28" i="20"/>
  <c r="DK62" i="1" s="1"/>
  <c r="N44" i="20"/>
  <c r="P45" i="20"/>
  <c r="P103" i="20"/>
  <c r="N106" i="20"/>
  <c r="DJ88" i="1" s="1"/>
  <c r="P107" i="20"/>
  <c r="CK21" i="1"/>
  <c r="CK10" i="1"/>
  <c r="CK56" i="1"/>
  <c r="CK63" i="1"/>
  <c r="CK106" i="1"/>
  <c r="CK98" i="1"/>
  <c r="CW58" i="1"/>
  <c r="P22" i="20"/>
  <c r="Q24" i="20"/>
  <c r="Q22" i="20" s="1"/>
  <c r="DK64" i="1" s="1"/>
  <c r="P115" i="20"/>
  <c r="Q116" i="20"/>
  <c r="Q115" i="20" s="1"/>
  <c r="DK125" i="1" s="1"/>
  <c r="N163" i="20"/>
  <c r="DJ121" i="1" s="1"/>
  <c r="P165" i="20"/>
  <c r="Q165" i="20" s="1"/>
  <c r="CK19" i="1"/>
  <c r="CK112" i="1"/>
  <c r="CK104" i="1"/>
  <c r="CK96" i="1"/>
  <c r="CK82" i="1"/>
  <c r="G21" i="20"/>
  <c r="G22" i="20"/>
  <c r="N28" i="20"/>
  <c r="DJ62" i="1" s="1"/>
  <c r="Q48" i="20"/>
  <c r="DK71" i="1" s="1"/>
  <c r="P52" i="20"/>
  <c r="P55" i="20"/>
  <c r="Q56" i="20"/>
  <c r="Q55" i="20" s="1"/>
  <c r="DK73" i="1" s="1"/>
  <c r="N77" i="20"/>
  <c r="DJ80" i="1" s="1"/>
  <c r="P79" i="20"/>
  <c r="I76" i="20"/>
  <c r="G76" i="20" s="1"/>
  <c r="P90" i="20"/>
  <c r="O76" i="20"/>
  <c r="O19" i="20" s="1"/>
  <c r="CK99" i="1"/>
  <c r="CK91" i="1"/>
  <c r="CQ37" i="1"/>
  <c r="CW10" i="1"/>
  <c r="CW42" i="1"/>
  <c r="P41" i="20"/>
  <c r="Q42" i="20"/>
  <c r="Q41" i="20" s="1"/>
  <c r="DK76" i="1" s="1"/>
  <c r="G61" i="20"/>
  <c r="Q71" i="20"/>
  <c r="DK30" i="1" s="1"/>
  <c r="Q91" i="20"/>
  <c r="Q90" i="20" s="1"/>
  <c r="DK93" i="1" s="1"/>
  <c r="Q103" i="20"/>
  <c r="P127" i="20"/>
  <c r="N131" i="20"/>
  <c r="P132" i="20"/>
  <c r="Q191" i="20"/>
  <c r="Q189" i="20" s="1"/>
  <c r="DK116" i="1" s="1"/>
  <c r="P189" i="20"/>
  <c r="BY83" i="1"/>
  <c r="CK25" i="1"/>
  <c r="CK26" i="1"/>
  <c r="CK43" i="1"/>
  <c r="CK35" i="1"/>
  <c r="CK27" i="1"/>
  <c r="CK61" i="1"/>
  <c r="CK126" i="1"/>
  <c r="CK118" i="1"/>
  <c r="CQ16" i="1"/>
  <c r="CQ40" i="1"/>
  <c r="CW45" i="1"/>
  <c r="P38" i="20"/>
  <c r="Q84" i="20"/>
  <c r="DK99" i="1" s="1"/>
  <c r="P109" i="20"/>
  <c r="P112" i="20"/>
  <c r="Q127" i="20"/>
  <c r="DK118" i="1" s="1"/>
  <c r="P142" i="20"/>
  <c r="P151" i="20"/>
  <c r="Q152" i="20"/>
  <c r="Q151" i="20" s="1"/>
  <c r="DK91" i="1" s="1"/>
  <c r="N166" i="20"/>
  <c r="DJ127" i="1" s="1"/>
  <c r="P167" i="20"/>
  <c r="P193" i="20"/>
  <c r="Q194" i="20"/>
  <c r="Q193" i="20" s="1"/>
  <c r="DK123" i="1" s="1"/>
  <c r="CQ70" i="1"/>
  <c r="CW23" i="1"/>
  <c r="CW7" i="1"/>
  <c r="CW4" i="1"/>
  <c r="CW55" i="1"/>
  <c r="CW39" i="1"/>
  <c r="DC17" i="1"/>
  <c r="DC52" i="1"/>
  <c r="DC36" i="1"/>
  <c r="P36" i="20"/>
  <c r="CQ4" i="1"/>
  <c r="CQ55" i="1"/>
  <c r="CQ52" i="1"/>
  <c r="CQ38" i="1"/>
  <c r="CW17" i="1"/>
  <c r="CW52" i="1"/>
  <c r="CW36" i="1"/>
  <c r="DC59" i="1"/>
  <c r="DC43" i="1"/>
  <c r="P88" i="20"/>
  <c r="P125" i="20"/>
  <c r="P140" i="20"/>
  <c r="P158" i="20"/>
  <c r="P178" i="20"/>
  <c r="P180" i="20"/>
  <c r="P198" i="20"/>
  <c r="P200" i="20"/>
  <c r="CW59" i="1"/>
  <c r="CW43" i="1"/>
  <c r="DC12" i="1"/>
  <c r="N55" i="20"/>
  <c r="DJ73" i="1" s="1"/>
  <c r="P120" i="20"/>
  <c r="P149" i="20"/>
  <c r="CQ47" i="1"/>
  <c r="CQ44" i="1"/>
  <c r="CQ30" i="1"/>
  <c r="CQ61" i="1"/>
  <c r="CQ124" i="1"/>
  <c r="CQ116" i="1"/>
  <c r="CQ108" i="1"/>
  <c r="CQ97" i="1"/>
  <c r="CQ89" i="1"/>
  <c r="DC47" i="1"/>
  <c r="DC31" i="1"/>
  <c r="P67" i="20"/>
  <c r="P186" i="20"/>
  <c r="CQ21" i="1"/>
  <c r="CQ12" i="1"/>
  <c r="CQ5" i="1"/>
  <c r="CQ59" i="1"/>
  <c r="CQ56" i="1"/>
  <c r="CQ42" i="1"/>
  <c r="CQ103" i="1"/>
  <c r="CQ95" i="1"/>
  <c r="CQ87" i="1"/>
  <c r="CW15" i="1"/>
  <c r="CW47" i="1"/>
  <c r="P155" i="20"/>
  <c r="Q164" i="20"/>
  <c r="CQ39" i="1"/>
  <c r="CQ36" i="1"/>
  <c r="P170" i="20"/>
  <c r="CQ51" i="1"/>
  <c r="CQ48" i="1"/>
  <c r="CQ34" i="1"/>
  <c r="CQ73" i="1"/>
  <c r="CQ82" i="1"/>
  <c r="CW19" i="1"/>
  <c r="CW51" i="1"/>
  <c r="CW35" i="1"/>
  <c r="DC20" i="1"/>
  <c r="DC26" i="1"/>
  <c r="DC3" i="1"/>
  <c r="CW26" i="1"/>
  <c r="CW3" i="1"/>
  <c r="CQ80" i="1"/>
  <c r="CQ60" i="1"/>
  <c r="CQ26" i="1"/>
  <c r="BY124" i="1"/>
  <c r="BY116" i="1"/>
  <c r="BY108" i="1"/>
  <c r="BY122" i="1"/>
  <c r="BY114" i="1"/>
  <c r="BY125" i="1"/>
  <c r="BY117" i="1"/>
  <c r="BY82" i="1"/>
  <c r="BY96" i="1"/>
  <c r="Q59" i="17"/>
  <c r="N57" i="17"/>
  <c r="Q162" i="17"/>
  <c r="CS94" i="1" s="1"/>
  <c r="T30" i="19"/>
  <c r="T29" i="19" s="1"/>
  <c r="DE17" i="1" s="1"/>
  <c r="S29" i="19"/>
  <c r="CK57" i="1"/>
  <c r="CK72" i="1"/>
  <c r="Q72" i="17"/>
  <c r="CS52" i="1" s="1"/>
  <c r="Q106" i="17"/>
  <c r="CS43" i="1" s="1"/>
  <c r="G21" i="18"/>
  <c r="G19" i="18" s="1"/>
  <c r="Q33" i="18"/>
  <c r="CY14" i="1" s="1"/>
  <c r="CK9" i="1"/>
  <c r="N161" i="17"/>
  <c r="Q195" i="17"/>
  <c r="Q194" i="17" s="1"/>
  <c r="CS118" i="1" s="1"/>
  <c r="N194" i="17"/>
  <c r="N218" i="17"/>
  <c r="S48" i="19"/>
  <c r="Q47" i="19"/>
  <c r="DD18" i="1" s="1"/>
  <c r="Q50" i="19"/>
  <c r="DD21" i="1" s="1"/>
  <c r="S51" i="19"/>
  <c r="CK16" i="1"/>
  <c r="CK52" i="1"/>
  <c r="CK41" i="1"/>
  <c r="N26" i="17"/>
  <c r="N21" i="17" s="1"/>
  <c r="H42" i="17"/>
  <c r="Q172" i="17"/>
  <c r="CS107" i="1" s="1"/>
  <c r="Q200" i="17"/>
  <c r="Q26" i="18"/>
  <c r="CY20" i="1" s="1"/>
  <c r="S36" i="19"/>
  <c r="Q146" i="17"/>
  <c r="CS95" i="1" s="1"/>
  <c r="G200" i="17"/>
  <c r="I21" i="18"/>
  <c r="I19" i="18" s="1"/>
  <c r="I61" i="19"/>
  <c r="CK4" i="1"/>
  <c r="Q57" i="17"/>
  <c r="CS47" i="1" s="1"/>
  <c r="J61" i="19"/>
  <c r="CK65" i="1"/>
  <c r="G43" i="17"/>
  <c r="G42" i="17" s="1"/>
  <c r="Q99" i="17"/>
  <c r="CS57" i="1" s="1"/>
  <c r="Q130" i="17"/>
  <c r="CS73" i="1" s="1"/>
  <c r="G142" i="17"/>
  <c r="G208" i="17"/>
  <c r="S27" i="19"/>
  <c r="Q25" i="19"/>
  <c r="S40" i="19"/>
  <c r="T40" i="19" s="1"/>
  <c r="Q38" i="19"/>
  <c r="S55" i="19"/>
  <c r="T55" i="19" s="1"/>
  <c r="Q53" i="19"/>
  <c r="DD22" i="1" s="1"/>
  <c r="CK42" i="1"/>
  <c r="CK120" i="1"/>
  <c r="Q31" i="17"/>
  <c r="Q30" i="17" s="1"/>
  <c r="CS18" i="1" s="1"/>
  <c r="Q34" i="17"/>
  <c r="Q33" i="17" s="1"/>
  <c r="CS5" i="1" s="1"/>
  <c r="Q44" i="17"/>
  <c r="N89" i="17"/>
  <c r="N32" i="18"/>
  <c r="Q29" i="19"/>
  <c r="DD17" i="1" s="1"/>
  <c r="H47" i="19"/>
  <c r="DA18" i="1" s="1"/>
  <c r="DC18" i="1" s="1"/>
  <c r="CK12" i="1"/>
  <c r="CK54" i="1"/>
  <c r="CK39" i="1"/>
  <c r="CK36" i="1"/>
  <c r="CK117" i="1"/>
  <c r="CK114" i="1"/>
  <c r="Q28" i="17"/>
  <c r="N92" i="17"/>
  <c r="CR39" i="1" s="1"/>
  <c r="N106" i="17"/>
  <c r="CR43" i="1" s="1"/>
  <c r="S60" i="19"/>
  <c r="Q137" i="17"/>
  <c r="Q136" i="17" s="1"/>
  <c r="G143" i="17"/>
  <c r="Q151" i="17"/>
  <c r="Q149" i="17" s="1"/>
  <c r="CS82" i="1" s="1"/>
  <c r="Q24" i="18"/>
  <c r="Q55" i="18"/>
  <c r="H25" i="19"/>
  <c r="T26" i="19"/>
  <c r="H38" i="19"/>
  <c r="H35" i="19" s="1"/>
  <c r="T39" i="19"/>
  <c r="T54" i="19"/>
  <c r="T53" i="19" s="1"/>
  <c r="DE22" i="1" s="1"/>
  <c r="CK46" i="1"/>
  <c r="CK31" i="1"/>
  <c r="CK28" i="1"/>
  <c r="CK124" i="1"/>
  <c r="CK109" i="1"/>
  <c r="CK93" i="1"/>
  <c r="Q69" i="17"/>
  <c r="Q68" i="17" s="1"/>
  <c r="CS38" i="1" s="1"/>
  <c r="N72" i="17"/>
  <c r="CR52" i="1" s="1"/>
  <c r="Q103" i="17"/>
  <c r="Q102" i="17" s="1"/>
  <c r="CS33" i="1" s="1"/>
  <c r="Q117" i="17"/>
  <c r="Q116" i="17" s="1"/>
  <c r="CS27" i="1" s="1"/>
  <c r="G123" i="17"/>
  <c r="CK62" i="1"/>
  <c r="Q84" i="17"/>
  <c r="Q83" i="17" s="1"/>
  <c r="Q145" i="17"/>
  <c r="Q156" i="17"/>
  <c r="Q155" i="17" s="1"/>
  <c r="CS122" i="1" s="1"/>
  <c r="Q167" i="17"/>
  <c r="Q166" i="17" s="1"/>
  <c r="Q192" i="17"/>
  <c r="Q191" i="17" s="1"/>
  <c r="CS90" i="1" s="1"/>
  <c r="G195" i="17"/>
  <c r="G194" i="17" s="1"/>
  <c r="G183" i="17" s="1"/>
  <c r="Q41" i="18"/>
  <c r="Q40" i="18" s="1"/>
  <c r="Q32" i="18" s="1"/>
  <c r="S24" i="19"/>
  <c r="CK38" i="1"/>
  <c r="CK66" i="1"/>
  <c r="CK116" i="1"/>
  <c r="CK97" i="1"/>
  <c r="Q87" i="17"/>
  <c r="Q86" i="17" s="1"/>
  <c r="CS40" i="1" s="1"/>
  <c r="Q180" i="17"/>
  <c r="Q179" i="17" s="1"/>
  <c r="CS81" i="1" s="1"/>
  <c r="Q43" i="19"/>
  <c r="Q53" i="17"/>
  <c r="Q52" i="17" s="1"/>
  <c r="CS30" i="1" s="1"/>
  <c r="Q176" i="17"/>
  <c r="Q175" i="17" s="1"/>
  <c r="CS125" i="1" s="1"/>
  <c r="Q186" i="17"/>
  <c r="Q185" i="17" s="1"/>
  <c r="Q224" i="17"/>
  <c r="Q223" i="17" s="1"/>
  <c r="CK17" i="1"/>
  <c r="CK8" i="1"/>
  <c r="CK47" i="1"/>
  <c r="CK44" i="1"/>
  <c r="CK30" i="1"/>
  <c r="CK74" i="1"/>
  <c r="CK125" i="1"/>
  <c r="CK122" i="1"/>
  <c r="CK101" i="1"/>
  <c r="CK80" i="1"/>
  <c r="CK60" i="1"/>
  <c r="P59" i="16"/>
  <c r="CM108" i="1" s="1"/>
  <c r="N65" i="16"/>
  <c r="N37" i="16"/>
  <c r="CL81" i="1" s="1"/>
  <c r="P43" i="16"/>
  <c r="CM107" i="1" s="1"/>
  <c r="N59" i="16"/>
  <c r="CL108" i="1" s="1"/>
  <c r="N21" i="16"/>
  <c r="CL80" i="1" s="1"/>
  <c r="P62" i="16"/>
  <c r="CM104" i="1" s="1"/>
  <c r="P34" i="16"/>
  <c r="N43" i="16"/>
  <c r="CL107" i="1" s="1"/>
  <c r="P48" i="16"/>
  <c r="CM125" i="1" s="1"/>
  <c r="N62" i="16"/>
  <c r="N34" i="16"/>
  <c r="P65" i="16"/>
  <c r="H163" i="16"/>
  <c r="H206" i="16"/>
  <c r="H19" i="16"/>
  <c r="G32" i="16"/>
  <c r="I142" i="16"/>
  <c r="G143" i="16"/>
  <c r="I107" i="16"/>
  <c r="I19" i="16" s="1"/>
  <c r="G186" i="16"/>
  <c r="G185" i="16" s="1"/>
  <c r="G20" i="16"/>
  <c r="N20" i="16"/>
  <c r="N136" i="16"/>
  <c r="N144" i="16"/>
  <c r="G238" i="16"/>
  <c r="G52" i="16"/>
  <c r="P27" i="16"/>
  <c r="G130" i="16"/>
  <c r="G164" i="16"/>
  <c r="N73" i="16"/>
  <c r="G83" i="16"/>
  <c r="N207" i="16"/>
  <c r="N238" i="16"/>
  <c r="H142" i="16"/>
  <c r="G73" i="16"/>
  <c r="N83" i="16"/>
  <c r="N164" i="16"/>
  <c r="I163" i="16"/>
  <c r="G207" i="16"/>
  <c r="I206" i="16"/>
  <c r="BY86" i="1"/>
  <c r="BY113" i="1"/>
  <c r="BY105" i="1"/>
  <c r="BY120" i="1"/>
  <c r="BY104" i="1"/>
  <c r="BY118" i="1"/>
  <c r="BY94" i="1"/>
  <c r="BY97" i="1"/>
  <c r="BY89" i="1"/>
  <c r="BY87" i="1"/>
  <c r="BY100" i="1"/>
  <c r="BY92" i="1"/>
  <c r="BY112" i="1"/>
  <c r="BY93" i="1"/>
  <c r="BY84" i="1"/>
  <c r="BY123" i="1"/>
  <c r="BY115" i="1"/>
  <c r="BY107" i="1"/>
  <c r="Q165" i="16"/>
  <c r="Q22" i="15"/>
  <c r="Q21" i="15" s="1"/>
  <c r="Q53" i="15" s="1"/>
  <c r="S23" i="15"/>
  <c r="Q33" i="16"/>
  <c r="Q74" i="16"/>
  <c r="Q22" i="16"/>
  <c r="Q21" i="16" s="1"/>
  <c r="Q85" i="16"/>
  <c r="P150" i="16"/>
  <c r="BY85" i="1"/>
  <c r="BY110" i="1"/>
  <c r="BY102" i="1"/>
  <c r="H22" i="15"/>
  <c r="H21" i="15" s="1"/>
  <c r="H53" i="15" s="1"/>
  <c r="BY121" i="1"/>
  <c r="BY91" i="1"/>
  <c r="P75" i="16"/>
  <c r="P208" i="16"/>
  <c r="P239" i="16"/>
  <c r="Q239" i="16" s="1"/>
  <c r="BY119" i="1"/>
  <c r="BY103" i="1"/>
  <c r="P108" i="16"/>
  <c r="CM111" i="1" s="1"/>
  <c r="P167" i="16"/>
  <c r="P54" i="16"/>
  <c r="CM90" i="1" s="1"/>
  <c r="G149" i="16"/>
  <c r="N186" i="16"/>
  <c r="CL59" i="1" s="1"/>
  <c r="BY80" i="1"/>
  <c r="BY109" i="1"/>
  <c r="BY101" i="1"/>
  <c r="BY98" i="1"/>
  <c r="BY81" i="1"/>
  <c r="BY99" i="1"/>
  <c r="I27" i="14"/>
  <c r="BW126" i="1" s="1"/>
  <c r="J27" i="14"/>
  <c r="BX126" i="1" s="1"/>
  <c r="K27" i="14"/>
  <c r="M27" i="14"/>
  <c r="O27" i="14"/>
  <c r="Q27" i="14"/>
  <c r="BZ126" i="1" s="1"/>
  <c r="R27" i="14"/>
  <c r="S27" i="14"/>
  <c r="E22" i="14"/>
  <c r="F22" i="14"/>
  <c r="G22" i="14"/>
  <c r="I22" i="14"/>
  <c r="BW88" i="1" s="1"/>
  <c r="J22" i="14"/>
  <c r="BX88" i="1" s="1"/>
  <c r="K22" i="14"/>
  <c r="M22" i="14"/>
  <c r="N22" i="14"/>
  <c r="O22" i="14"/>
  <c r="Q22" i="14"/>
  <c r="BZ88" i="1" s="1"/>
  <c r="R22" i="14"/>
  <c r="S22" i="14"/>
  <c r="D22" i="14"/>
  <c r="BV88" i="1" s="1"/>
  <c r="BP81" i="1"/>
  <c r="BP82" i="1"/>
  <c r="BP83" i="1"/>
  <c r="BP84" i="1"/>
  <c r="BP85" i="1"/>
  <c r="BP86" i="1"/>
  <c r="BP87" i="1"/>
  <c r="BP88" i="1"/>
  <c r="BP89" i="1"/>
  <c r="BQ89" i="1"/>
  <c r="BR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Q104" i="1"/>
  <c r="BR104" i="1"/>
  <c r="BP105" i="1"/>
  <c r="BP106" i="1"/>
  <c r="BP107" i="1"/>
  <c r="BP108" i="1"/>
  <c r="BQ108" i="1"/>
  <c r="BR108" i="1"/>
  <c r="BP109" i="1"/>
  <c r="BP110" i="1"/>
  <c r="BP111" i="1"/>
  <c r="BP112" i="1"/>
  <c r="BQ112" i="1"/>
  <c r="BR112" i="1"/>
  <c r="BP113" i="1"/>
  <c r="BQ113" i="1"/>
  <c r="BR113" i="1"/>
  <c r="BP114" i="1"/>
  <c r="BP115" i="1"/>
  <c r="BP116" i="1"/>
  <c r="BQ116" i="1"/>
  <c r="BR116" i="1"/>
  <c r="BP117" i="1"/>
  <c r="BP118" i="1"/>
  <c r="BP119" i="1"/>
  <c r="BP120" i="1"/>
  <c r="BP121" i="1"/>
  <c r="BP122" i="1"/>
  <c r="BP123" i="1"/>
  <c r="BP124" i="1"/>
  <c r="BP125" i="1"/>
  <c r="BQ125" i="1"/>
  <c r="BR125" i="1"/>
  <c r="BP126" i="1"/>
  <c r="BP127" i="1"/>
  <c r="BP80" i="1"/>
  <c r="BP61" i="1"/>
  <c r="BQ61" i="1"/>
  <c r="BR61" i="1"/>
  <c r="BP62" i="1"/>
  <c r="BP63" i="1"/>
  <c r="BP64" i="1"/>
  <c r="BQ64" i="1"/>
  <c r="BR64" i="1"/>
  <c r="BP65" i="1"/>
  <c r="BP66" i="1"/>
  <c r="BP67" i="1"/>
  <c r="BP68" i="1"/>
  <c r="BP69" i="1"/>
  <c r="BQ69" i="1"/>
  <c r="BR69" i="1"/>
  <c r="BT69" i="1"/>
  <c r="BU69" i="1"/>
  <c r="BP70" i="1"/>
  <c r="BQ70" i="1"/>
  <c r="BR70" i="1"/>
  <c r="BP71" i="1"/>
  <c r="BQ71" i="1"/>
  <c r="BR71" i="1"/>
  <c r="BP72" i="1"/>
  <c r="BP73" i="1"/>
  <c r="BQ73" i="1"/>
  <c r="BR73" i="1"/>
  <c r="BP74" i="1"/>
  <c r="BP75" i="1"/>
  <c r="BQ75" i="1"/>
  <c r="BR75" i="1"/>
  <c r="BP76" i="1"/>
  <c r="BQ76" i="1"/>
  <c r="BR76" i="1"/>
  <c r="BP77" i="1"/>
  <c r="BP78" i="1"/>
  <c r="BP79" i="1"/>
  <c r="BQ60" i="1"/>
  <c r="BR60" i="1"/>
  <c r="BP60" i="1"/>
  <c r="BP27" i="1"/>
  <c r="BQ27" i="1"/>
  <c r="BR27" i="1"/>
  <c r="BP28" i="1"/>
  <c r="BQ28" i="1"/>
  <c r="BR28" i="1"/>
  <c r="BP29" i="1"/>
  <c r="BP30" i="1"/>
  <c r="BQ30" i="1"/>
  <c r="BR30" i="1"/>
  <c r="BP31" i="1"/>
  <c r="BP32" i="1"/>
  <c r="BP33" i="1"/>
  <c r="BQ33" i="1"/>
  <c r="BR33" i="1"/>
  <c r="BT33" i="1"/>
  <c r="BU33" i="1"/>
  <c r="BP34" i="1"/>
  <c r="BQ34" i="1"/>
  <c r="BR34" i="1"/>
  <c r="BT34" i="1"/>
  <c r="BU34" i="1"/>
  <c r="BP35" i="1"/>
  <c r="BP36" i="1"/>
  <c r="BP37" i="1"/>
  <c r="BQ37" i="1"/>
  <c r="BR37" i="1"/>
  <c r="BT37" i="1"/>
  <c r="BU37" i="1"/>
  <c r="BP38" i="1"/>
  <c r="BQ38" i="1"/>
  <c r="BR38" i="1"/>
  <c r="BP39" i="1"/>
  <c r="BQ39" i="1"/>
  <c r="BR39" i="1"/>
  <c r="BP40" i="1"/>
  <c r="BQ40" i="1"/>
  <c r="BR40" i="1"/>
  <c r="BP41" i="1"/>
  <c r="BQ41" i="1"/>
  <c r="BR41" i="1"/>
  <c r="BT41" i="1"/>
  <c r="BU41" i="1"/>
  <c r="BP42" i="1"/>
  <c r="BQ42" i="1"/>
  <c r="BR42" i="1"/>
  <c r="BT42" i="1"/>
  <c r="BU42" i="1"/>
  <c r="BP43" i="1"/>
  <c r="BQ43" i="1"/>
  <c r="BR43" i="1"/>
  <c r="BT43" i="1"/>
  <c r="BU43" i="1"/>
  <c r="BP44" i="1"/>
  <c r="BQ44" i="1"/>
  <c r="BR44" i="1"/>
  <c r="BT44" i="1"/>
  <c r="BU44" i="1"/>
  <c r="BP45" i="1"/>
  <c r="BQ45" i="1"/>
  <c r="BR45" i="1"/>
  <c r="BP46" i="1"/>
  <c r="BQ46" i="1"/>
  <c r="BR46" i="1"/>
  <c r="BT46" i="1"/>
  <c r="BU46" i="1"/>
  <c r="BP47" i="1"/>
  <c r="BQ47" i="1"/>
  <c r="BR47" i="1"/>
  <c r="BP48" i="1"/>
  <c r="BQ48" i="1"/>
  <c r="BR48" i="1"/>
  <c r="BP49" i="1"/>
  <c r="BQ49" i="1"/>
  <c r="BR49" i="1"/>
  <c r="BP50" i="1"/>
  <c r="BQ50" i="1"/>
  <c r="BR50" i="1"/>
  <c r="BT50" i="1"/>
  <c r="BU50" i="1"/>
  <c r="BP51" i="1"/>
  <c r="BQ51" i="1"/>
  <c r="BR51" i="1"/>
  <c r="BP52" i="1"/>
  <c r="BQ52" i="1"/>
  <c r="BR52" i="1"/>
  <c r="BT52" i="1"/>
  <c r="BU52" i="1"/>
  <c r="BP53" i="1"/>
  <c r="BQ53" i="1"/>
  <c r="BR53" i="1"/>
  <c r="BP54" i="1"/>
  <c r="BQ54" i="1"/>
  <c r="BR54" i="1"/>
  <c r="BP55" i="1"/>
  <c r="BQ55" i="1"/>
  <c r="BR55" i="1"/>
  <c r="BP56" i="1"/>
  <c r="BQ56" i="1"/>
  <c r="BR56" i="1"/>
  <c r="BP57" i="1"/>
  <c r="BP58" i="1"/>
  <c r="BQ58" i="1"/>
  <c r="BR58" i="1"/>
  <c r="BP59" i="1"/>
  <c r="BQ59" i="1"/>
  <c r="BR59" i="1"/>
  <c r="BP26" i="1"/>
  <c r="BP4" i="1"/>
  <c r="BP5" i="1"/>
  <c r="BQ5" i="1"/>
  <c r="BR5" i="1"/>
  <c r="BP6" i="1"/>
  <c r="BP7" i="1"/>
  <c r="BQ7" i="1"/>
  <c r="BR7" i="1"/>
  <c r="BT7" i="1"/>
  <c r="BU7" i="1"/>
  <c r="BP8" i="1"/>
  <c r="BP9" i="1"/>
  <c r="BQ9" i="1"/>
  <c r="BR9" i="1"/>
  <c r="BT9" i="1"/>
  <c r="BU9" i="1"/>
  <c r="BP10" i="1"/>
  <c r="BQ10" i="1"/>
  <c r="BR10" i="1"/>
  <c r="BT10" i="1"/>
  <c r="BU10" i="1"/>
  <c r="BP11" i="1"/>
  <c r="BP12" i="1"/>
  <c r="BQ12" i="1"/>
  <c r="BR12" i="1"/>
  <c r="BP13" i="1"/>
  <c r="BP14" i="1"/>
  <c r="BP15" i="1"/>
  <c r="BQ15" i="1"/>
  <c r="BR15" i="1"/>
  <c r="BP16" i="1"/>
  <c r="BP17" i="1"/>
  <c r="BP18" i="1"/>
  <c r="BQ18" i="1"/>
  <c r="BR18" i="1"/>
  <c r="BP19" i="1"/>
  <c r="BP20" i="1"/>
  <c r="BQ20" i="1"/>
  <c r="BR20" i="1"/>
  <c r="BT20" i="1"/>
  <c r="BU20" i="1"/>
  <c r="BP21" i="1"/>
  <c r="BQ21" i="1"/>
  <c r="BR21" i="1"/>
  <c r="BT21" i="1"/>
  <c r="BU21" i="1"/>
  <c r="BP22" i="1"/>
  <c r="BQ22" i="1"/>
  <c r="BR22" i="1"/>
  <c r="BS22" i="1" s="1"/>
  <c r="BT22" i="1"/>
  <c r="BU22" i="1"/>
  <c r="BP23" i="1"/>
  <c r="BQ23" i="1"/>
  <c r="BR23" i="1"/>
  <c r="BP24" i="1"/>
  <c r="BQ24" i="1"/>
  <c r="BR24" i="1"/>
  <c r="BP25" i="1"/>
  <c r="BQ25" i="1"/>
  <c r="BR25" i="1"/>
  <c r="BT25" i="1"/>
  <c r="BU25" i="1"/>
  <c r="BR3" i="1"/>
  <c r="BQ3" i="1"/>
  <c r="BP3" i="1"/>
  <c r="F387" i="13"/>
  <c r="H387" i="13"/>
  <c r="BQ123" i="1" s="1"/>
  <c r="I387" i="13"/>
  <c r="BR123" i="1" s="1"/>
  <c r="J387" i="13"/>
  <c r="L387" i="13"/>
  <c r="M387" i="13"/>
  <c r="N387" i="13"/>
  <c r="Q387" i="13"/>
  <c r="E387" i="13"/>
  <c r="F382" i="13"/>
  <c r="H382" i="13"/>
  <c r="BQ111" i="1" s="1"/>
  <c r="I382" i="13"/>
  <c r="BR111" i="1" s="1"/>
  <c r="J382" i="13"/>
  <c r="L382" i="13"/>
  <c r="M382" i="13"/>
  <c r="N382" i="13"/>
  <c r="O382" i="13"/>
  <c r="Q382" i="13"/>
  <c r="E382" i="13"/>
  <c r="F379" i="13"/>
  <c r="H379" i="13"/>
  <c r="BQ115" i="1" s="1"/>
  <c r="I379" i="13"/>
  <c r="BR115" i="1" s="1"/>
  <c r="J379" i="13"/>
  <c r="L379" i="13"/>
  <c r="M379" i="13"/>
  <c r="N379" i="13"/>
  <c r="O379" i="13"/>
  <c r="Q379" i="13"/>
  <c r="E379" i="13"/>
  <c r="F374" i="13"/>
  <c r="H374" i="13"/>
  <c r="BQ86" i="1" s="1"/>
  <c r="I374" i="13"/>
  <c r="BR86" i="1" s="1"/>
  <c r="J374" i="13"/>
  <c r="L374" i="13"/>
  <c r="M374" i="13"/>
  <c r="N374" i="13"/>
  <c r="Q374" i="13"/>
  <c r="E374" i="13"/>
  <c r="F370" i="13"/>
  <c r="H370" i="13"/>
  <c r="BQ85" i="1" s="1"/>
  <c r="I370" i="13"/>
  <c r="BR85" i="1" s="1"/>
  <c r="J370" i="13"/>
  <c r="L370" i="13"/>
  <c r="M370" i="13"/>
  <c r="N370" i="13"/>
  <c r="O370" i="13"/>
  <c r="Q370" i="13"/>
  <c r="E370" i="13"/>
  <c r="F367" i="13"/>
  <c r="H367" i="13"/>
  <c r="BQ124" i="1" s="1"/>
  <c r="I367" i="13"/>
  <c r="BR124" i="1" s="1"/>
  <c r="J367" i="13"/>
  <c r="L367" i="13"/>
  <c r="M367" i="13"/>
  <c r="N367" i="13"/>
  <c r="O367" i="13"/>
  <c r="Q367" i="13"/>
  <c r="E367" i="13"/>
  <c r="F363" i="13"/>
  <c r="H363" i="13"/>
  <c r="BQ117" i="1" s="1"/>
  <c r="J363" i="13"/>
  <c r="L363" i="13"/>
  <c r="M363" i="13"/>
  <c r="N363" i="13"/>
  <c r="Q363" i="13"/>
  <c r="E363" i="13"/>
  <c r="F360" i="13"/>
  <c r="H360" i="13"/>
  <c r="BQ109" i="1" s="1"/>
  <c r="I360" i="13"/>
  <c r="BR109" i="1" s="1"/>
  <c r="J360" i="13"/>
  <c r="L360" i="13"/>
  <c r="M360" i="13"/>
  <c r="N360" i="13"/>
  <c r="O360" i="13"/>
  <c r="Q360" i="13"/>
  <c r="E360" i="13"/>
  <c r="F355" i="13"/>
  <c r="H355" i="13"/>
  <c r="BQ119" i="1" s="1"/>
  <c r="I355" i="13"/>
  <c r="BR119" i="1" s="1"/>
  <c r="J355" i="13"/>
  <c r="L355" i="13"/>
  <c r="M355" i="13"/>
  <c r="N355" i="13"/>
  <c r="Q355" i="13"/>
  <c r="E355" i="13"/>
  <c r="F348" i="13"/>
  <c r="H348" i="13"/>
  <c r="BQ126" i="1" s="1"/>
  <c r="I348" i="13"/>
  <c r="BR126" i="1" s="1"/>
  <c r="J348" i="13"/>
  <c r="L348" i="13"/>
  <c r="M348" i="13"/>
  <c r="N348" i="13"/>
  <c r="O348" i="13"/>
  <c r="Q348" i="13"/>
  <c r="E348" i="13"/>
  <c r="F344" i="13"/>
  <c r="H344" i="13"/>
  <c r="BQ120" i="1" s="1"/>
  <c r="I344" i="13"/>
  <c r="BR120" i="1" s="1"/>
  <c r="J344" i="13"/>
  <c r="L344" i="13"/>
  <c r="M344" i="13"/>
  <c r="N344" i="13"/>
  <c r="O344" i="13"/>
  <c r="Q344" i="13"/>
  <c r="E344" i="13"/>
  <c r="F339" i="13"/>
  <c r="H339" i="13"/>
  <c r="BQ101" i="1" s="1"/>
  <c r="I339" i="13"/>
  <c r="BR101" i="1" s="1"/>
  <c r="J339" i="13"/>
  <c r="L339" i="13"/>
  <c r="M339" i="13"/>
  <c r="N339" i="13"/>
  <c r="O339" i="13"/>
  <c r="Q339" i="13"/>
  <c r="E339" i="13"/>
  <c r="F335" i="13"/>
  <c r="H335" i="13"/>
  <c r="BQ83" i="1" s="1"/>
  <c r="I335" i="13"/>
  <c r="BR83" i="1" s="1"/>
  <c r="J335" i="13"/>
  <c r="L335" i="13"/>
  <c r="M335" i="13"/>
  <c r="N335" i="13"/>
  <c r="O335" i="13"/>
  <c r="Q335" i="13"/>
  <c r="E335" i="13"/>
  <c r="F331" i="13"/>
  <c r="H331" i="13"/>
  <c r="BQ91" i="1" s="1"/>
  <c r="I331" i="13"/>
  <c r="BR91" i="1" s="1"/>
  <c r="J331" i="13"/>
  <c r="L331" i="13"/>
  <c r="M331" i="13"/>
  <c r="N331" i="13"/>
  <c r="O331" i="13"/>
  <c r="Q331" i="13"/>
  <c r="E331" i="13"/>
  <c r="F327" i="13"/>
  <c r="H327" i="13"/>
  <c r="BQ110" i="1" s="1"/>
  <c r="I327" i="13"/>
  <c r="BR110" i="1" s="1"/>
  <c r="J327" i="13"/>
  <c r="L327" i="13"/>
  <c r="M327" i="13"/>
  <c r="N327" i="13"/>
  <c r="O327" i="13"/>
  <c r="Q327" i="13"/>
  <c r="E327" i="13"/>
  <c r="F320" i="13"/>
  <c r="H320" i="13"/>
  <c r="BQ121" i="1" s="1"/>
  <c r="I320" i="13"/>
  <c r="BR121" i="1" s="1"/>
  <c r="J320" i="13"/>
  <c r="L320" i="13"/>
  <c r="M320" i="13"/>
  <c r="N320" i="13"/>
  <c r="O320" i="13"/>
  <c r="Q320" i="13"/>
  <c r="E320" i="13"/>
  <c r="F316" i="13"/>
  <c r="H316" i="13"/>
  <c r="BQ127" i="1" s="1"/>
  <c r="I316" i="13"/>
  <c r="BR127" i="1" s="1"/>
  <c r="J316" i="13"/>
  <c r="L316" i="13"/>
  <c r="M316" i="13"/>
  <c r="N316" i="13"/>
  <c r="Q316" i="13"/>
  <c r="E316" i="13"/>
  <c r="F311" i="13"/>
  <c r="H311" i="13"/>
  <c r="BQ97" i="1" s="1"/>
  <c r="I311" i="13"/>
  <c r="BR97" i="1" s="1"/>
  <c r="J311" i="13"/>
  <c r="L311" i="13"/>
  <c r="M311" i="13"/>
  <c r="N311" i="13"/>
  <c r="O311" i="13"/>
  <c r="Q311" i="13"/>
  <c r="E311" i="13"/>
  <c r="F305" i="13"/>
  <c r="H305" i="13"/>
  <c r="BQ114" i="1" s="1"/>
  <c r="I305" i="13"/>
  <c r="BR114" i="1" s="1"/>
  <c r="J305" i="13"/>
  <c r="L305" i="13"/>
  <c r="M305" i="13"/>
  <c r="N305" i="13"/>
  <c r="O305" i="13"/>
  <c r="Q305" i="13"/>
  <c r="E305" i="13"/>
  <c r="F300" i="13"/>
  <c r="H300" i="13"/>
  <c r="BQ106" i="1" s="1"/>
  <c r="I300" i="13"/>
  <c r="BR106" i="1" s="1"/>
  <c r="J300" i="13"/>
  <c r="L300" i="13"/>
  <c r="M300" i="13"/>
  <c r="N300" i="13"/>
  <c r="O300" i="13"/>
  <c r="O295" i="13" s="1"/>
  <c r="Q300" i="13"/>
  <c r="E300" i="13"/>
  <c r="F296" i="13"/>
  <c r="H296" i="13"/>
  <c r="BQ105" i="1" s="1"/>
  <c r="I296" i="13"/>
  <c r="BR105" i="1" s="1"/>
  <c r="J296" i="13"/>
  <c r="L296" i="13"/>
  <c r="M296" i="13"/>
  <c r="N296" i="13"/>
  <c r="O296" i="13"/>
  <c r="Q296" i="13"/>
  <c r="E296" i="13"/>
  <c r="F292" i="13"/>
  <c r="H292" i="13"/>
  <c r="BQ96" i="1" s="1"/>
  <c r="I292" i="13"/>
  <c r="J292" i="13"/>
  <c r="L292" i="13"/>
  <c r="M292" i="13"/>
  <c r="N292" i="13"/>
  <c r="O292" i="13"/>
  <c r="Q292" i="13"/>
  <c r="E292" i="13"/>
  <c r="F285" i="13"/>
  <c r="H285" i="13"/>
  <c r="BQ118" i="1" s="1"/>
  <c r="I285" i="13"/>
  <c r="BR118" i="1" s="1"/>
  <c r="J285" i="13"/>
  <c r="L285" i="13"/>
  <c r="M285" i="13"/>
  <c r="N285" i="13"/>
  <c r="Q285" i="13"/>
  <c r="E285" i="13"/>
  <c r="F278" i="13"/>
  <c r="H278" i="13"/>
  <c r="BQ90" i="1" s="1"/>
  <c r="I278" i="13"/>
  <c r="BR90" i="1" s="1"/>
  <c r="J278" i="13"/>
  <c r="L278" i="13"/>
  <c r="M278" i="13"/>
  <c r="N278" i="13"/>
  <c r="O278" i="13"/>
  <c r="Q278" i="13"/>
  <c r="E278" i="13"/>
  <c r="F270" i="13"/>
  <c r="H270" i="13"/>
  <c r="BQ81" i="1" s="1"/>
  <c r="I270" i="13"/>
  <c r="BR81" i="1" s="1"/>
  <c r="J270" i="13"/>
  <c r="L270" i="13"/>
  <c r="M270" i="13"/>
  <c r="N270" i="13"/>
  <c r="Q270" i="13"/>
  <c r="E270" i="13"/>
  <c r="F262" i="13"/>
  <c r="H262" i="13"/>
  <c r="BQ107" i="1" s="1"/>
  <c r="I262" i="13"/>
  <c r="BR107" i="1" s="1"/>
  <c r="J262" i="13"/>
  <c r="L262" i="13"/>
  <c r="N262" i="13"/>
  <c r="Q262" i="13"/>
  <c r="E262" i="13"/>
  <c r="F256" i="13"/>
  <c r="H256" i="13"/>
  <c r="BQ92" i="1" s="1"/>
  <c r="I256" i="13"/>
  <c r="BR92" i="1" s="1"/>
  <c r="J256" i="13"/>
  <c r="L256" i="13"/>
  <c r="M256" i="13"/>
  <c r="N256" i="13"/>
  <c r="O256" i="13"/>
  <c r="Q256" i="13"/>
  <c r="E256" i="13"/>
  <c r="F247" i="13"/>
  <c r="H247" i="13"/>
  <c r="BQ102" i="1" s="1"/>
  <c r="I247" i="13"/>
  <c r="BR102" i="1" s="1"/>
  <c r="J247" i="13"/>
  <c r="L247" i="13"/>
  <c r="M247" i="13"/>
  <c r="N247" i="13"/>
  <c r="O247" i="13"/>
  <c r="Q247" i="13"/>
  <c r="E247" i="13"/>
  <c r="F234" i="13"/>
  <c r="H234" i="13"/>
  <c r="I234" i="13"/>
  <c r="BR94" i="1" s="1"/>
  <c r="J234" i="13"/>
  <c r="L234" i="13"/>
  <c r="N234" i="13"/>
  <c r="Q234" i="13"/>
  <c r="E234" i="13"/>
  <c r="F230" i="13"/>
  <c r="H230" i="13"/>
  <c r="BQ100" i="1" s="1"/>
  <c r="I230" i="13"/>
  <c r="J230" i="13"/>
  <c r="L230" i="13"/>
  <c r="M230" i="13"/>
  <c r="N230" i="13"/>
  <c r="O230" i="13"/>
  <c r="Q230" i="13"/>
  <c r="E230" i="13"/>
  <c r="Q227" i="13"/>
  <c r="O227" i="13"/>
  <c r="N227" i="13"/>
  <c r="M227" i="13"/>
  <c r="L227" i="13"/>
  <c r="J227" i="13"/>
  <c r="I227" i="13"/>
  <c r="BR88" i="1" s="1"/>
  <c r="H227" i="13"/>
  <c r="BQ88" i="1" s="1"/>
  <c r="F227" i="13"/>
  <c r="E227" i="13"/>
  <c r="E221" i="13"/>
  <c r="Q221" i="13"/>
  <c r="O221" i="13"/>
  <c r="N221" i="13"/>
  <c r="M221" i="13"/>
  <c r="L221" i="13"/>
  <c r="J221" i="13"/>
  <c r="I221" i="13"/>
  <c r="BR84" i="1" s="1"/>
  <c r="H221" i="13"/>
  <c r="BQ84" i="1" s="1"/>
  <c r="F221" i="13"/>
  <c r="Q216" i="13"/>
  <c r="O216" i="13"/>
  <c r="N216" i="13"/>
  <c r="M216" i="13"/>
  <c r="L216" i="13"/>
  <c r="J216" i="13"/>
  <c r="I216" i="13"/>
  <c r="BR93" i="1" s="1"/>
  <c r="H216" i="13"/>
  <c r="BQ93" i="1" s="1"/>
  <c r="F216" i="13"/>
  <c r="E216" i="13"/>
  <c r="F211" i="13"/>
  <c r="H211" i="13"/>
  <c r="BQ103" i="1" s="1"/>
  <c r="I211" i="13"/>
  <c r="BR103" i="1" s="1"/>
  <c r="J211" i="13"/>
  <c r="L211" i="13"/>
  <c r="M211" i="13"/>
  <c r="N211" i="13"/>
  <c r="O211" i="13"/>
  <c r="Q211" i="13"/>
  <c r="E211" i="13"/>
  <c r="F204" i="13"/>
  <c r="H204" i="13"/>
  <c r="BQ98" i="1" s="1"/>
  <c r="I204" i="13"/>
  <c r="BR98" i="1" s="1"/>
  <c r="J204" i="13"/>
  <c r="L204" i="13"/>
  <c r="M204" i="13"/>
  <c r="N204" i="13"/>
  <c r="O204" i="13"/>
  <c r="Q204" i="13"/>
  <c r="E204" i="13"/>
  <c r="F200" i="13"/>
  <c r="H200" i="13"/>
  <c r="BQ87" i="1" s="1"/>
  <c r="I200" i="13"/>
  <c r="BR87" i="1" s="1"/>
  <c r="J200" i="13"/>
  <c r="L200" i="13"/>
  <c r="M200" i="13"/>
  <c r="N200" i="13"/>
  <c r="O200" i="13"/>
  <c r="Q200" i="13"/>
  <c r="E200" i="13"/>
  <c r="F192" i="13"/>
  <c r="H192" i="13"/>
  <c r="BQ82" i="1" s="1"/>
  <c r="I192" i="13"/>
  <c r="BR82" i="1" s="1"/>
  <c r="J192" i="13"/>
  <c r="L192" i="13"/>
  <c r="M192" i="13"/>
  <c r="N192" i="13"/>
  <c r="O192" i="13"/>
  <c r="Q192" i="13"/>
  <c r="E192" i="13"/>
  <c r="Q189" i="13"/>
  <c r="O189" i="13"/>
  <c r="N189" i="13"/>
  <c r="M189" i="13"/>
  <c r="L189" i="13"/>
  <c r="J189" i="13"/>
  <c r="I189" i="13"/>
  <c r="BR80" i="1" s="1"/>
  <c r="H189" i="13"/>
  <c r="F189" i="13"/>
  <c r="E189" i="13"/>
  <c r="F182" i="13"/>
  <c r="H182" i="13"/>
  <c r="BQ95" i="1" s="1"/>
  <c r="I182" i="13"/>
  <c r="BR95" i="1" s="1"/>
  <c r="J182" i="13"/>
  <c r="L182" i="13"/>
  <c r="N182" i="13"/>
  <c r="Q182" i="13"/>
  <c r="E182" i="13"/>
  <c r="Q179" i="13"/>
  <c r="O179" i="13"/>
  <c r="N179" i="13"/>
  <c r="M179" i="13"/>
  <c r="L179" i="13"/>
  <c r="J179" i="13"/>
  <c r="I179" i="13"/>
  <c r="BR122" i="1" s="1"/>
  <c r="H179" i="13"/>
  <c r="BQ122" i="1" s="1"/>
  <c r="F179" i="13"/>
  <c r="E179" i="13"/>
  <c r="F172" i="13"/>
  <c r="H172" i="13"/>
  <c r="BQ99" i="1" s="1"/>
  <c r="I172" i="13"/>
  <c r="BR99" i="1" s="1"/>
  <c r="J172" i="13"/>
  <c r="L172" i="13"/>
  <c r="N172" i="13"/>
  <c r="Q172" i="13"/>
  <c r="E172" i="13"/>
  <c r="Q165" i="13"/>
  <c r="N165" i="13"/>
  <c r="M165" i="13"/>
  <c r="L165" i="13"/>
  <c r="J165" i="13"/>
  <c r="I165" i="13"/>
  <c r="H165" i="13"/>
  <c r="F165" i="13"/>
  <c r="E165" i="13"/>
  <c r="Q159" i="13"/>
  <c r="O159" i="13"/>
  <c r="N159" i="13"/>
  <c r="M159" i="13"/>
  <c r="L159" i="13"/>
  <c r="J159" i="13"/>
  <c r="I159" i="13"/>
  <c r="BR32" i="1" s="1"/>
  <c r="H159" i="13"/>
  <c r="BQ32" i="1" s="1"/>
  <c r="F159" i="13"/>
  <c r="E159" i="13"/>
  <c r="Q152" i="13"/>
  <c r="O152" i="13"/>
  <c r="N152" i="13"/>
  <c r="M152" i="13"/>
  <c r="L152" i="13"/>
  <c r="J152" i="13"/>
  <c r="H152" i="13"/>
  <c r="BQ29" i="1" s="1"/>
  <c r="F152" i="13"/>
  <c r="E152" i="13"/>
  <c r="Q149" i="13"/>
  <c r="O149" i="13"/>
  <c r="N149" i="13"/>
  <c r="M149" i="13"/>
  <c r="L149" i="13"/>
  <c r="J149" i="13"/>
  <c r="I149" i="13"/>
  <c r="BR36" i="1" s="1"/>
  <c r="H149" i="13"/>
  <c r="BQ36" i="1" s="1"/>
  <c r="F149" i="13"/>
  <c r="E149" i="13"/>
  <c r="F144" i="13"/>
  <c r="H144" i="13"/>
  <c r="BQ57" i="1" s="1"/>
  <c r="I144" i="13"/>
  <c r="BR57" i="1" s="1"/>
  <c r="J144" i="13"/>
  <c r="L144" i="13"/>
  <c r="M144" i="13"/>
  <c r="N144" i="13"/>
  <c r="O144" i="13"/>
  <c r="Q144" i="13"/>
  <c r="E144" i="13"/>
  <c r="Q140" i="13"/>
  <c r="O140" i="13"/>
  <c r="N140" i="13"/>
  <c r="M140" i="13"/>
  <c r="L140" i="13"/>
  <c r="J140" i="13"/>
  <c r="I140" i="13"/>
  <c r="BR35" i="1" s="1"/>
  <c r="H140" i="13"/>
  <c r="BQ35" i="1" s="1"/>
  <c r="F140" i="13"/>
  <c r="E140" i="13"/>
  <c r="Q137" i="13"/>
  <c r="O137" i="13"/>
  <c r="N137" i="13"/>
  <c r="M137" i="13"/>
  <c r="L137" i="13"/>
  <c r="J137" i="13"/>
  <c r="I137" i="13"/>
  <c r="BR26" i="1" s="1"/>
  <c r="H137" i="13"/>
  <c r="BQ26" i="1" s="1"/>
  <c r="F137" i="13"/>
  <c r="E137" i="13"/>
  <c r="Q124" i="13"/>
  <c r="O124" i="13"/>
  <c r="N124" i="13"/>
  <c r="M124" i="13"/>
  <c r="M120" i="13" s="1"/>
  <c r="L124" i="13"/>
  <c r="J124" i="13"/>
  <c r="I124" i="13"/>
  <c r="BR31" i="1" s="1"/>
  <c r="H124" i="13"/>
  <c r="BQ31" i="1" s="1"/>
  <c r="F124" i="13"/>
  <c r="E124" i="13"/>
  <c r="Q108" i="13"/>
  <c r="O108" i="13"/>
  <c r="N108" i="13"/>
  <c r="M108" i="13"/>
  <c r="L108" i="13"/>
  <c r="J108" i="13"/>
  <c r="I108" i="13"/>
  <c r="BR11" i="1" s="1"/>
  <c r="H108" i="13"/>
  <c r="BQ11" i="1" s="1"/>
  <c r="F108" i="13"/>
  <c r="E108" i="13"/>
  <c r="F102" i="13"/>
  <c r="H102" i="13"/>
  <c r="BQ16" i="1" s="1"/>
  <c r="I102" i="13"/>
  <c r="BR16" i="1" s="1"/>
  <c r="J102" i="13"/>
  <c r="L102" i="13"/>
  <c r="M102" i="13"/>
  <c r="N102" i="13"/>
  <c r="O102" i="13"/>
  <c r="Q102" i="13"/>
  <c r="E102" i="13"/>
  <c r="F98" i="13"/>
  <c r="H98" i="13"/>
  <c r="I98" i="13"/>
  <c r="J98" i="13"/>
  <c r="L98" i="13"/>
  <c r="M98" i="13"/>
  <c r="N98" i="13"/>
  <c r="O98" i="13"/>
  <c r="Q98" i="13"/>
  <c r="E98" i="13"/>
  <c r="Q95" i="13"/>
  <c r="O95" i="13"/>
  <c r="N95" i="13"/>
  <c r="M95" i="13"/>
  <c r="L95" i="13"/>
  <c r="J95" i="13"/>
  <c r="I95" i="13"/>
  <c r="BR14" i="1" s="1"/>
  <c r="H95" i="13"/>
  <c r="BQ14" i="1" s="1"/>
  <c r="F95" i="13"/>
  <c r="E95" i="13"/>
  <c r="Q89" i="13"/>
  <c r="O89" i="13"/>
  <c r="N89" i="13"/>
  <c r="M89" i="13"/>
  <c r="L89" i="13"/>
  <c r="J89" i="13"/>
  <c r="I89" i="13"/>
  <c r="BR8" i="1" s="1"/>
  <c r="H89" i="13"/>
  <c r="F89" i="13"/>
  <c r="E89" i="13"/>
  <c r="Q86" i="13"/>
  <c r="O86" i="13"/>
  <c r="N86" i="13"/>
  <c r="M86" i="13"/>
  <c r="L86" i="13"/>
  <c r="J86" i="13"/>
  <c r="I86" i="13"/>
  <c r="BR19" i="1" s="1"/>
  <c r="H86" i="13"/>
  <c r="BQ19" i="1" s="1"/>
  <c r="F86" i="13"/>
  <c r="E86" i="13"/>
  <c r="Q83" i="13"/>
  <c r="O83" i="13"/>
  <c r="N83" i="13"/>
  <c r="M83" i="13"/>
  <c r="L83" i="13"/>
  <c r="J83" i="13"/>
  <c r="I83" i="13"/>
  <c r="BR17" i="1" s="1"/>
  <c r="H83" i="13"/>
  <c r="BQ17" i="1" s="1"/>
  <c r="F83" i="13"/>
  <c r="E83" i="13"/>
  <c r="Q79" i="13"/>
  <c r="O79" i="13"/>
  <c r="N79" i="13"/>
  <c r="M79" i="13"/>
  <c r="L79" i="13"/>
  <c r="J79" i="13"/>
  <c r="I79" i="13"/>
  <c r="BR13" i="1" s="1"/>
  <c r="H79" i="13"/>
  <c r="BQ13" i="1" s="1"/>
  <c r="F79" i="13"/>
  <c r="E79" i="13"/>
  <c r="F75" i="13"/>
  <c r="H75" i="13"/>
  <c r="BQ4" i="1" s="1"/>
  <c r="I75" i="13"/>
  <c r="BR4" i="1" s="1"/>
  <c r="J75" i="13"/>
  <c r="L75" i="13"/>
  <c r="M75" i="13"/>
  <c r="N75" i="13"/>
  <c r="O75" i="13"/>
  <c r="Q75" i="13"/>
  <c r="E75" i="13"/>
  <c r="F69" i="13"/>
  <c r="H69" i="13"/>
  <c r="BQ6" i="1" s="1"/>
  <c r="I69" i="13"/>
  <c r="BR6" i="1" s="1"/>
  <c r="J69" i="13"/>
  <c r="L69" i="13"/>
  <c r="M69" i="13"/>
  <c r="N69" i="13"/>
  <c r="O69" i="13"/>
  <c r="Q69" i="13"/>
  <c r="E69" i="13"/>
  <c r="Q64" i="13"/>
  <c r="O64" i="13"/>
  <c r="N64" i="13"/>
  <c r="M64" i="13"/>
  <c r="L64" i="13"/>
  <c r="J64" i="13"/>
  <c r="I64" i="13"/>
  <c r="BR79" i="1" s="1"/>
  <c r="H64" i="13"/>
  <c r="BQ79" i="1" s="1"/>
  <c r="F64" i="13"/>
  <c r="E64" i="13"/>
  <c r="F58" i="13"/>
  <c r="H58" i="13"/>
  <c r="BQ72" i="1" s="1"/>
  <c r="I58" i="13"/>
  <c r="BR72" i="1" s="1"/>
  <c r="J58" i="13"/>
  <c r="L58" i="13"/>
  <c r="M58" i="13"/>
  <c r="N58" i="13"/>
  <c r="Q58" i="13"/>
  <c r="E58" i="13"/>
  <c r="Q54" i="13"/>
  <c r="O54" i="13"/>
  <c r="N54" i="13"/>
  <c r="M54" i="13"/>
  <c r="L54" i="13"/>
  <c r="J54" i="13"/>
  <c r="I54" i="13"/>
  <c r="BR68" i="1" s="1"/>
  <c r="H54" i="13"/>
  <c r="F54" i="13"/>
  <c r="E54" i="13"/>
  <c r="Q51" i="13"/>
  <c r="O51" i="13"/>
  <c r="N51" i="13"/>
  <c r="M51" i="13"/>
  <c r="L51" i="13"/>
  <c r="J51" i="13"/>
  <c r="I51" i="13"/>
  <c r="BR67" i="1" s="1"/>
  <c r="H51" i="13"/>
  <c r="BQ67" i="1" s="1"/>
  <c r="F51" i="13"/>
  <c r="E51" i="13"/>
  <c r="Q48" i="13"/>
  <c r="O48" i="13"/>
  <c r="N48" i="13"/>
  <c r="M48" i="13"/>
  <c r="L48" i="13"/>
  <c r="J48" i="13"/>
  <c r="I48" i="13"/>
  <c r="BR66" i="1" s="1"/>
  <c r="H48" i="13"/>
  <c r="BQ66" i="1" s="1"/>
  <c r="F48" i="13"/>
  <c r="E48" i="13"/>
  <c r="F45" i="13"/>
  <c r="H45" i="13"/>
  <c r="BQ63" i="1" s="1"/>
  <c r="I45" i="13"/>
  <c r="BR63" i="1" s="1"/>
  <c r="J45" i="13"/>
  <c r="L45" i="13"/>
  <c r="M45" i="13"/>
  <c r="N45" i="13"/>
  <c r="O45" i="13"/>
  <c r="Q45" i="13"/>
  <c r="E45" i="13"/>
  <c r="F39" i="13"/>
  <c r="H39" i="13"/>
  <c r="BQ78" i="1" s="1"/>
  <c r="I39" i="13"/>
  <c r="BR78" i="1" s="1"/>
  <c r="J39" i="13"/>
  <c r="L39" i="13"/>
  <c r="M39" i="13"/>
  <c r="N39" i="13"/>
  <c r="O39" i="13"/>
  <c r="Q39" i="13"/>
  <c r="E39" i="13"/>
  <c r="F36" i="13"/>
  <c r="H36" i="13"/>
  <c r="BQ77" i="1" s="1"/>
  <c r="I36" i="13"/>
  <c r="BR77" i="1" s="1"/>
  <c r="J36" i="13"/>
  <c r="L36" i="13"/>
  <c r="M36" i="13"/>
  <c r="N36" i="13"/>
  <c r="O36" i="13"/>
  <c r="Q36" i="13"/>
  <c r="E36" i="13"/>
  <c r="F32" i="13"/>
  <c r="H32" i="13"/>
  <c r="BQ74" i="1" s="1"/>
  <c r="I32" i="13"/>
  <c r="BR74" i="1" s="1"/>
  <c r="J32" i="13"/>
  <c r="L32" i="13"/>
  <c r="M32" i="13"/>
  <c r="N32" i="13"/>
  <c r="O32" i="13"/>
  <c r="Q32" i="13"/>
  <c r="E32" i="13"/>
  <c r="F27" i="13"/>
  <c r="H27" i="13"/>
  <c r="BQ65" i="1" s="1"/>
  <c r="I27" i="13"/>
  <c r="BR65" i="1" s="1"/>
  <c r="J27" i="13"/>
  <c r="L27" i="13"/>
  <c r="M27" i="13"/>
  <c r="N27" i="13"/>
  <c r="O27" i="13"/>
  <c r="Q27" i="13"/>
  <c r="E27" i="13"/>
  <c r="F22" i="13"/>
  <c r="H22" i="13"/>
  <c r="BQ62" i="1" s="1"/>
  <c r="I22" i="13"/>
  <c r="BR62" i="1" s="1"/>
  <c r="J22" i="13"/>
  <c r="L22" i="13"/>
  <c r="M22" i="13"/>
  <c r="N22" i="13"/>
  <c r="O22" i="13"/>
  <c r="Q22" i="13"/>
  <c r="E22" i="13"/>
  <c r="BJ81" i="1"/>
  <c r="BK81" i="1"/>
  <c r="BL81" i="1"/>
  <c r="BN81" i="1"/>
  <c r="BO81" i="1"/>
  <c r="BJ82" i="1"/>
  <c r="BK82" i="1"/>
  <c r="BL82" i="1"/>
  <c r="BN82" i="1"/>
  <c r="BO82" i="1"/>
  <c r="BJ83" i="1"/>
  <c r="BK83" i="1"/>
  <c r="BL83" i="1"/>
  <c r="BN83" i="1"/>
  <c r="BO83" i="1"/>
  <c r="BJ84" i="1"/>
  <c r="BK84" i="1"/>
  <c r="BL84" i="1"/>
  <c r="BN84" i="1"/>
  <c r="BO84" i="1"/>
  <c r="BJ85" i="1"/>
  <c r="BK85" i="1"/>
  <c r="BL85" i="1"/>
  <c r="BN85" i="1"/>
  <c r="BO85" i="1"/>
  <c r="BJ86" i="1"/>
  <c r="BL86" i="1"/>
  <c r="BJ87" i="1"/>
  <c r="BK87" i="1"/>
  <c r="BL87" i="1"/>
  <c r="BN87" i="1"/>
  <c r="BO87" i="1"/>
  <c r="BJ88" i="1"/>
  <c r="BL88" i="1"/>
  <c r="BJ89" i="1"/>
  <c r="BK89" i="1"/>
  <c r="BL89" i="1"/>
  <c r="BN89" i="1"/>
  <c r="BO89" i="1"/>
  <c r="BJ90" i="1"/>
  <c r="BK90" i="1"/>
  <c r="BL90" i="1"/>
  <c r="BN90" i="1"/>
  <c r="BO90" i="1"/>
  <c r="BJ91" i="1"/>
  <c r="BK91" i="1"/>
  <c r="BL91" i="1"/>
  <c r="BN91" i="1"/>
  <c r="BO91" i="1"/>
  <c r="BJ92" i="1"/>
  <c r="BK92" i="1"/>
  <c r="BL92" i="1"/>
  <c r="BN92" i="1"/>
  <c r="BO92" i="1"/>
  <c r="BJ93" i="1"/>
  <c r="BK93" i="1"/>
  <c r="BL93" i="1"/>
  <c r="BN93" i="1"/>
  <c r="BO93" i="1"/>
  <c r="BJ94" i="1"/>
  <c r="BK94" i="1"/>
  <c r="BL94" i="1"/>
  <c r="BN94" i="1"/>
  <c r="BO94" i="1"/>
  <c r="BJ95" i="1"/>
  <c r="BK95" i="1"/>
  <c r="BL95" i="1"/>
  <c r="BN95" i="1"/>
  <c r="BO95" i="1"/>
  <c r="BJ96" i="1"/>
  <c r="BK96" i="1"/>
  <c r="BL96" i="1"/>
  <c r="BN96" i="1"/>
  <c r="BO96" i="1"/>
  <c r="BJ97" i="1"/>
  <c r="BK97" i="1"/>
  <c r="BL97" i="1"/>
  <c r="BN97" i="1"/>
  <c r="BO97" i="1"/>
  <c r="BJ98" i="1"/>
  <c r="BK98" i="1"/>
  <c r="BL98" i="1"/>
  <c r="BN98" i="1"/>
  <c r="BO98" i="1"/>
  <c r="BJ99" i="1"/>
  <c r="BK99" i="1"/>
  <c r="BL99" i="1"/>
  <c r="BN99" i="1"/>
  <c r="BO99" i="1"/>
  <c r="BJ100" i="1"/>
  <c r="BK100" i="1"/>
  <c r="BL100" i="1"/>
  <c r="BN100" i="1"/>
  <c r="BO100" i="1"/>
  <c r="BJ101" i="1"/>
  <c r="BK101" i="1"/>
  <c r="BL101" i="1"/>
  <c r="BN101" i="1"/>
  <c r="BO101" i="1"/>
  <c r="BJ102" i="1"/>
  <c r="BK102" i="1"/>
  <c r="BL102" i="1"/>
  <c r="BN102" i="1"/>
  <c r="BO102" i="1"/>
  <c r="BL103" i="1"/>
  <c r="BJ104" i="1"/>
  <c r="BK104" i="1"/>
  <c r="BL104" i="1"/>
  <c r="BN104" i="1"/>
  <c r="BO104" i="1"/>
  <c r="BJ105" i="1"/>
  <c r="BK105" i="1"/>
  <c r="BL105" i="1"/>
  <c r="BN105" i="1"/>
  <c r="BO105" i="1"/>
  <c r="BJ106" i="1"/>
  <c r="BK106" i="1"/>
  <c r="BL106" i="1"/>
  <c r="BN106" i="1"/>
  <c r="BO106" i="1"/>
  <c r="BJ107" i="1"/>
  <c r="BK107" i="1"/>
  <c r="BL107" i="1"/>
  <c r="BN107" i="1"/>
  <c r="BO107" i="1"/>
  <c r="BJ108" i="1"/>
  <c r="BL108" i="1"/>
  <c r="BJ109" i="1"/>
  <c r="BL109" i="1"/>
  <c r="BJ110" i="1"/>
  <c r="BK110" i="1"/>
  <c r="BL110" i="1"/>
  <c r="BN110" i="1"/>
  <c r="BO110" i="1"/>
  <c r="BJ111" i="1"/>
  <c r="BK111" i="1"/>
  <c r="BL111" i="1"/>
  <c r="BN111" i="1"/>
  <c r="BO111" i="1"/>
  <c r="BJ112" i="1"/>
  <c r="BK112" i="1"/>
  <c r="BL112" i="1"/>
  <c r="BN112" i="1"/>
  <c r="BO112" i="1"/>
  <c r="BJ113" i="1"/>
  <c r="BK113" i="1"/>
  <c r="BL113" i="1"/>
  <c r="BN113" i="1"/>
  <c r="BO113" i="1"/>
  <c r="BJ114" i="1"/>
  <c r="BK114" i="1"/>
  <c r="BL114" i="1"/>
  <c r="BN114" i="1"/>
  <c r="BO114" i="1"/>
  <c r="BJ115" i="1"/>
  <c r="BL115" i="1"/>
  <c r="BJ116" i="1"/>
  <c r="BK116" i="1"/>
  <c r="BL116" i="1"/>
  <c r="BN116" i="1"/>
  <c r="BO116" i="1"/>
  <c r="BJ117" i="1"/>
  <c r="BJ118" i="1"/>
  <c r="BK118" i="1"/>
  <c r="BL118" i="1"/>
  <c r="BN118" i="1"/>
  <c r="BO118" i="1"/>
  <c r="BJ119" i="1"/>
  <c r="BK119" i="1"/>
  <c r="BL119" i="1"/>
  <c r="BN119" i="1"/>
  <c r="BO119" i="1"/>
  <c r="BJ120" i="1"/>
  <c r="BK120" i="1"/>
  <c r="BL120" i="1"/>
  <c r="BN120" i="1"/>
  <c r="BO120" i="1"/>
  <c r="BJ121" i="1"/>
  <c r="BL121" i="1"/>
  <c r="BJ122" i="1"/>
  <c r="BK122" i="1"/>
  <c r="BL122" i="1"/>
  <c r="BN122" i="1"/>
  <c r="BO122" i="1"/>
  <c r="BJ123" i="1"/>
  <c r="BJ124" i="1"/>
  <c r="BL124" i="1"/>
  <c r="BJ125" i="1"/>
  <c r="BL125" i="1"/>
  <c r="BJ126" i="1"/>
  <c r="BL126" i="1"/>
  <c r="BJ127" i="1"/>
  <c r="BL127" i="1"/>
  <c r="BO80" i="1"/>
  <c r="BN80" i="1"/>
  <c r="BL80" i="1"/>
  <c r="BK80" i="1"/>
  <c r="BJ80" i="1"/>
  <c r="CY79" i="1"/>
  <c r="CX79" i="1"/>
  <c r="CV79" i="1"/>
  <c r="CU79" i="1"/>
  <c r="CT79" i="1"/>
  <c r="CY78" i="1"/>
  <c r="CX78" i="1"/>
  <c r="CV78" i="1"/>
  <c r="CU78" i="1"/>
  <c r="CT78" i="1"/>
  <c r="CY77" i="1"/>
  <c r="CX77" i="1"/>
  <c r="CV77" i="1"/>
  <c r="CU77" i="1"/>
  <c r="CT77" i="1"/>
  <c r="CY76" i="1"/>
  <c r="CX76" i="1"/>
  <c r="CV76" i="1"/>
  <c r="CU76" i="1"/>
  <c r="CT76" i="1"/>
  <c r="CY75" i="1"/>
  <c r="CX75" i="1"/>
  <c r="CV75" i="1"/>
  <c r="CU75" i="1"/>
  <c r="CT75" i="1"/>
  <c r="CY74" i="1"/>
  <c r="CX74" i="1"/>
  <c r="CV74" i="1"/>
  <c r="CU74" i="1"/>
  <c r="CT74" i="1"/>
  <c r="CY73" i="1"/>
  <c r="CX73" i="1"/>
  <c r="CV73" i="1"/>
  <c r="CU73" i="1"/>
  <c r="CT73" i="1"/>
  <c r="CY72" i="1"/>
  <c r="CX72" i="1"/>
  <c r="CV72" i="1"/>
  <c r="CU72" i="1"/>
  <c r="CT72" i="1"/>
  <c r="CY71" i="1"/>
  <c r="CX71" i="1"/>
  <c r="CV71" i="1"/>
  <c r="CU71" i="1"/>
  <c r="CT71" i="1"/>
  <c r="CY70" i="1"/>
  <c r="CX70" i="1"/>
  <c r="CV70" i="1"/>
  <c r="CU70" i="1"/>
  <c r="CT70" i="1"/>
  <c r="CY69" i="1"/>
  <c r="CX69" i="1"/>
  <c r="CV69" i="1"/>
  <c r="CU69" i="1"/>
  <c r="CT69" i="1"/>
  <c r="CY68" i="1"/>
  <c r="CX68" i="1"/>
  <c r="CV68" i="1"/>
  <c r="CU68" i="1"/>
  <c r="CT68" i="1"/>
  <c r="CY67" i="1"/>
  <c r="CX67" i="1"/>
  <c r="CV67" i="1"/>
  <c r="CU67" i="1"/>
  <c r="CT67" i="1"/>
  <c r="CY66" i="1"/>
  <c r="CX66" i="1"/>
  <c r="CV66" i="1"/>
  <c r="CU66" i="1"/>
  <c r="CT66" i="1"/>
  <c r="CY65" i="1"/>
  <c r="CX65" i="1"/>
  <c r="CV65" i="1"/>
  <c r="CU65" i="1"/>
  <c r="CT65" i="1"/>
  <c r="CY64" i="1"/>
  <c r="CX64" i="1"/>
  <c r="CV64" i="1"/>
  <c r="CU64" i="1"/>
  <c r="CT64" i="1"/>
  <c r="CY63" i="1"/>
  <c r="CX63" i="1"/>
  <c r="CV63" i="1"/>
  <c r="CU63" i="1"/>
  <c r="CT63" i="1"/>
  <c r="CY62" i="1"/>
  <c r="CX62" i="1"/>
  <c r="CV62" i="1"/>
  <c r="CU62" i="1"/>
  <c r="CT62" i="1"/>
  <c r="CY61" i="1"/>
  <c r="CX61" i="1"/>
  <c r="CV61" i="1"/>
  <c r="CU61" i="1"/>
  <c r="CT61" i="1"/>
  <c r="CG59" i="1"/>
  <c r="CF59" i="1"/>
  <c r="CD59" i="1"/>
  <c r="CC59" i="1"/>
  <c r="CB59" i="1"/>
  <c r="CG58" i="1"/>
  <c r="CF58" i="1"/>
  <c r="CD58" i="1"/>
  <c r="CC58" i="1"/>
  <c r="CB58" i="1"/>
  <c r="CG57" i="1"/>
  <c r="CF57" i="1"/>
  <c r="CD57" i="1"/>
  <c r="CC57" i="1"/>
  <c r="CB57" i="1"/>
  <c r="CG56" i="1"/>
  <c r="CF56" i="1"/>
  <c r="CD56" i="1"/>
  <c r="CC56" i="1"/>
  <c r="CB56" i="1"/>
  <c r="CG55" i="1"/>
  <c r="CF55" i="1"/>
  <c r="CD55" i="1"/>
  <c r="CC55" i="1"/>
  <c r="CB55" i="1"/>
  <c r="CG54" i="1"/>
  <c r="CF54" i="1"/>
  <c r="CD54" i="1"/>
  <c r="CC54" i="1"/>
  <c r="CB54" i="1"/>
  <c r="CG53" i="1"/>
  <c r="CF53" i="1"/>
  <c r="CD53" i="1"/>
  <c r="CC53" i="1"/>
  <c r="CB53" i="1"/>
  <c r="CG52" i="1"/>
  <c r="CF52" i="1"/>
  <c r="CD52" i="1"/>
  <c r="CC52" i="1"/>
  <c r="CB52" i="1"/>
  <c r="CG51" i="1"/>
  <c r="CF51" i="1"/>
  <c r="CD51" i="1"/>
  <c r="CC51" i="1"/>
  <c r="CB51" i="1"/>
  <c r="CG50" i="1"/>
  <c r="CF50" i="1"/>
  <c r="CD50" i="1"/>
  <c r="CC50" i="1"/>
  <c r="CB50" i="1"/>
  <c r="CG49" i="1"/>
  <c r="CF49" i="1"/>
  <c r="CD49" i="1"/>
  <c r="CC49" i="1"/>
  <c r="CB49" i="1"/>
  <c r="CG48" i="1"/>
  <c r="CF48" i="1"/>
  <c r="CD48" i="1"/>
  <c r="CC48" i="1"/>
  <c r="CE48" i="1" s="1"/>
  <c r="CB48" i="1"/>
  <c r="CG47" i="1"/>
  <c r="CF47" i="1"/>
  <c r="CD47" i="1"/>
  <c r="CC47" i="1"/>
  <c r="CB47" i="1"/>
  <c r="CG46" i="1"/>
  <c r="CF46" i="1"/>
  <c r="CD46" i="1"/>
  <c r="CC46" i="1"/>
  <c r="CB46" i="1"/>
  <c r="CG45" i="1"/>
  <c r="CF45" i="1"/>
  <c r="CD45" i="1"/>
  <c r="CC45" i="1"/>
  <c r="CB45" i="1"/>
  <c r="CG44" i="1"/>
  <c r="CF44" i="1"/>
  <c r="CD44" i="1"/>
  <c r="CC44" i="1"/>
  <c r="CB44" i="1"/>
  <c r="CG43" i="1"/>
  <c r="CF43" i="1"/>
  <c r="CD43" i="1"/>
  <c r="CC43" i="1"/>
  <c r="CB43" i="1"/>
  <c r="CG42" i="1"/>
  <c r="CF42" i="1"/>
  <c r="CD42" i="1"/>
  <c r="CC42" i="1"/>
  <c r="CB42" i="1"/>
  <c r="CG41" i="1"/>
  <c r="CF41" i="1"/>
  <c r="CD41" i="1"/>
  <c r="CC41" i="1"/>
  <c r="CB41" i="1"/>
  <c r="CG40" i="1"/>
  <c r="CF40" i="1"/>
  <c r="CD40" i="1"/>
  <c r="CC40" i="1"/>
  <c r="CB40" i="1"/>
  <c r="CG39" i="1"/>
  <c r="CF39" i="1"/>
  <c r="CD39" i="1"/>
  <c r="CC39" i="1"/>
  <c r="CB39" i="1"/>
  <c r="CG38" i="1"/>
  <c r="CF38" i="1"/>
  <c r="CD38" i="1"/>
  <c r="CC38" i="1"/>
  <c r="CB38" i="1"/>
  <c r="CG37" i="1"/>
  <c r="CF37" i="1"/>
  <c r="CD37" i="1"/>
  <c r="CC37" i="1"/>
  <c r="CB37" i="1"/>
  <c r="CG36" i="1"/>
  <c r="CF36" i="1"/>
  <c r="CD36" i="1"/>
  <c r="CC36" i="1"/>
  <c r="CB36" i="1"/>
  <c r="CG35" i="1"/>
  <c r="CF35" i="1"/>
  <c r="CD35" i="1"/>
  <c r="CC35" i="1"/>
  <c r="CB35" i="1"/>
  <c r="CG34" i="1"/>
  <c r="CF34" i="1"/>
  <c r="CD34" i="1"/>
  <c r="CC34" i="1"/>
  <c r="CB34" i="1"/>
  <c r="CG33" i="1"/>
  <c r="CF33" i="1"/>
  <c r="CD33" i="1"/>
  <c r="CC33" i="1"/>
  <c r="CB33" i="1"/>
  <c r="CG32" i="1"/>
  <c r="CF32" i="1"/>
  <c r="CD32" i="1"/>
  <c r="CC32" i="1"/>
  <c r="CE32" i="1" s="1"/>
  <c r="CB32" i="1"/>
  <c r="CG31" i="1"/>
  <c r="CF31" i="1"/>
  <c r="CD31" i="1"/>
  <c r="CC31" i="1"/>
  <c r="CB31" i="1"/>
  <c r="CG30" i="1"/>
  <c r="CF30" i="1"/>
  <c r="CD30" i="1"/>
  <c r="CC30" i="1"/>
  <c r="CB30" i="1"/>
  <c r="CG29" i="1"/>
  <c r="CF29" i="1"/>
  <c r="CD29" i="1"/>
  <c r="CC29" i="1"/>
  <c r="CB29" i="1"/>
  <c r="CG28" i="1"/>
  <c r="CF28" i="1"/>
  <c r="CD28" i="1"/>
  <c r="CC28" i="1"/>
  <c r="CB28" i="1"/>
  <c r="CG27" i="1"/>
  <c r="CF27" i="1"/>
  <c r="CD27" i="1"/>
  <c r="CC27" i="1"/>
  <c r="CB27" i="1"/>
  <c r="CG26" i="1"/>
  <c r="CF26" i="1"/>
  <c r="CD26" i="1"/>
  <c r="CC26" i="1"/>
  <c r="CB26" i="1"/>
  <c r="CG25" i="1"/>
  <c r="CF25" i="1"/>
  <c r="CD25" i="1"/>
  <c r="CC25" i="1"/>
  <c r="CB25" i="1"/>
  <c r="CG24" i="1"/>
  <c r="CF24" i="1"/>
  <c r="CD24" i="1"/>
  <c r="CC24" i="1"/>
  <c r="CB24" i="1"/>
  <c r="CG23" i="1"/>
  <c r="CF23" i="1"/>
  <c r="CD23" i="1"/>
  <c r="CC23" i="1"/>
  <c r="CE23" i="1" s="1"/>
  <c r="CB23" i="1"/>
  <c r="CG22" i="1"/>
  <c r="CF22" i="1"/>
  <c r="CD22" i="1"/>
  <c r="CC22" i="1"/>
  <c r="CB22" i="1"/>
  <c r="CG21" i="1"/>
  <c r="CF21" i="1"/>
  <c r="CD21" i="1"/>
  <c r="CC21" i="1"/>
  <c r="CB21" i="1"/>
  <c r="CG20" i="1"/>
  <c r="CF20" i="1"/>
  <c r="CD20" i="1"/>
  <c r="CC20" i="1"/>
  <c r="CB20" i="1"/>
  <c r="CG19" i="1"/>
  <c r="CF19" i="1"/>
  <c r="CD19" i="1"/>
  <c r="CC19" i="1"/>
  <c r="CB19" i="1"/>
  <c r="CG18" i="1"/>
  <c r="CF18" i="1"/>
  <c r="CD18" i="1"/>
  <c r="CC18" i="1"/>
  <c r="CB18" i="1"/>
  <c r="CG17" i="1"/>
  <c r="CF17" i="1"/>
  <c r="CD17" i="1"/>
  <c r="CC17" i="1"/>
  <c r="CB17" i="1"/>
  <c r="CG16" i="1"/>
  <c r="CF16" i="1"/>
  <c r="CD16" i="1"/>
  <c r="CC16" i="1"/>
  <c r="CB16" i="1"/>
  <c r="CG15" i="1"/>
  <c r="CF15" i="1"/>
  <c r="CD15" i="1"/>
  <c r="CC15" i="1"/>
  <c r="CE15" i="1" s="1"/>
  <c r="CB15" i="1"/>
  <c r="CG14" i="1"/>
  <c r="CF14" i="1"/>
  <c r="CD14" i="1"/>
  <c r="CC14" i="1"/>
  <c r="CB14" i="1"/>
  <c r="CG13" i="1"/>
  <c r="CF13" i="1"/>
  <c r="CD13" i="1"/>
  <c r="CC13" i="1"/>
  <c r="CB13" i="1"/>
  <c r="CG12" i="1"/>
  <c r="CF12" i="1"/>
  <c r="CD12" i="1"/>
  <c r="CC12" i="1"/>
  <c r="CB12" i="1"/>
  <c r="CG11" i="1"/>
  <c r="CF11" i="1"/>
  <c r="CD11" i="1"/>
  <c r="CC11" i="1"/>
  <c r="CB11" i="1"/>
  <c r="CG10" i="1"/>
  <c r="CF10" i="1"/>
  <c r="CD10" i="1"/>
  <c r="CC10" i="1"/>
  <c r="CB10" i="1"/>
  <c r="CG9" i="1"/>
  <c r="CF9" i="1"/>
  <c r="CD9" i="1"/>
  <c r="CC9" i="1"/>
  <c r="CB9" i="1"/>
  <c r="CG8" i="1"/>
  <c r="CF8" i="1"/>
  <c r="CD8" i="1"/>
  <c r="CC8" i="1"/>
  <c r="CE8" i="1" s="1"/>
  <c r="CB8" i="1"/>
  <c r="CG7" i="1"/>
  <c r="CF7" i="1"/>
  <c r="CD7" i="1"/>
  <c r="CC7" i="1"/>
  <c r="CE7" i="1" s="1"/>
  <c r="CB7" i="1"/>
  <c r="CG6" i="1"/>
  <c r="CF6" i="1"/>
  <c r="CD6" i="1"/>
  <c r="CC6" i="1"/>
  <c r="CB6" i="1"/>
  <c r="CG5" i="1"/>
  <c r="CF5" i="1"/>
  <c r="CD5" i="1"/>
  <c r="CC5" i="1"/>
  <c r="CB5" i="1"/>
  <c r="CG4" i="1"/>
  <c r="CF4" i="1"/>
  <c r="CD4" i="1"/>
  <c r="CC4" i="1"/>
  <c r="CB4" i="1"/>
  <c r="CA79" i="1"/>
  <c r="BZ79" i="1"/>
  <c r="BX79" i="1"/>
  <c r="BW79" i="1"/>
  <c r="BV79" i="1"/>
  <c r="CA78" i="1"/>
  <c r="BZ78" i="1"/>
  <c r="BX78" i="1"/>
  <c r="BW78" i="1"/>
  <c r="BV78" i="1"/>
  <c r="CA77" i="1"/>
  <c r="BZ77" i="1"/>
  <c r="BX77" i="1"/>
  <c r="BW77" i="1"/>
  <c r="BV77" i="1"/>
  <c r="CA76" i="1"/>
  <c r="BZ76" i="1"/>
  <c r="BX76" i="1"/>
  <c r="BW76" i="1"/>
  <c r="BY76" i="1" s="1"/>
  <c r="BV76" i="1"/>
  <c r="CA75" i="1"/>
  <c r="BZ75" i="1"/>
  <c r="BX75" i="1"/>
  <c r="BW75" i="1"/>
  <c r="BV75" i="1"/>
  <c r="CA74" i="1"/>
  <c r="BZ74" i="1"/>
  <c r="BX74" i="1"/>
  <c r="BW74" i="1"/>
  <c r="BV74" i="1"/>
  <c r="CA73" i="1"/>
  <c r="BZ73" i="1"/>
  <c r="BX73" i="1"/>
  <c r="BW73" i="1"/>
  <c r="BV73" i="1"/>
  <c r="CA72" i="1"/>
  <c r="BZ72" i="1"/>
  <c r="BX72" i="1"/>
  <c r="BW72" i="1"/>
  <c r="BV72" i="1"/>
  <c r="CA71" i="1"/>
  <c r="BZ71" i="1"/>
  <c r="BX71" i="1"/>
  <c r="BW71" i="1"/>
  <c r="BV71" i="1"/>
  <c r="CA70" i="1"/>
  <c r="BZ70" i="1"/>
  <c r="BX70" i="1"/>
  <c r="BW70" i="1"/>
  <c r="BV70" i="1"/>
  <c r="CA69" i="1"/>
  <c r="BZ69" i="1"/>
  <c r="BX69" i="1"/>
  <c r="BW69" i="1"/>
  <c r="BV69" i="1"/>
  <c r="CA68" i="1"/>
  <c r="BZ68" i="1"/>
  <c r="BX68" i="1"/>
  <c r="BW68" i="1"/>
  <c r="BV68" i="1"/>
  <c r="CA67" i="1"/>
  <c r="BZ67" i="1"/>
  <c r="BX67" i="1"/>
  <c r="BW67" i="1"/>
  <c r="BV67" i="1"/>
  <c r="CA66" i="1"/>
  <c r="BZ66" i="1"/>
  <c r="BX66" i="1"/>
  <c r="BW66" i="1"/>
  <c r="BV66" i="1"/>
  <c r="CA65" i="1"/>
  <c r="BZ65" i="1"/>
  <c r="BX65" i="1"/>
  <c r="BW65" i="1"/>
  <c r="BV65" i="1"/>
  <c r="CA64" i="1"/>
  <c r="BZ64" i="1"/>
  <c r="BX64" i="1"/>
  <c r="BW64" i="1"/>
  <c r="BV64" i="1"/>
  <c r="CA63" i="1"/>
  <c r="BZ63" i="1"/>
  <c r="BX63" i="1"/>
  <c r="BW63" i="1"/>
  <c r="BV63" i="1"/>
  <c r="CA62" i="1"/>
  <c r="BZ62" i="1"/>
  <c r="BX62" i="1"/>
  <c r="BW62" i="1"/>
  <c r="BV62" i="1"/>
  <c r="CA61" i="1"/>
  <c r="BZ61" i="1"/>
  <c r="BX61" i="1"/>
  <c r="BW61" i="1"/>
  <c r="BY61" i="1" s="1"/>
  <c r="BV61" i="1"/>
  <c r="CA60" i="1"/>
  <c r="BZ60" i="1"/>
  <c r="BX60" i="1"/>
  <c r="BW60" i="1"/>
  <c r="BV60" i="1"/>
  <c r="CA59" i="1"/>
  <c r="BZ59" i="1"/>
  <c r="BX59" i="1"/>
  <c r="BW59" i="1"/>
  <c r="BV59" i="1"/>
  <c r="CA58" i="1"/>
  <c r="BZ58" i="1"/>
  <c r="BX58" i="1"/>
  <c r="BW58" i="1"/>
  <c r="BV58" i="1"/>
  <c r="CA57" i="1"/>
  <c r="BZ57" i="1"/>
  <c r="BX57" i="1"/>
  <c r="BW57" i="1"/>
  <c r="BV57" i="1"/>
  <c r="CA56" i="1"/>
  <c r="BZ56" i="1"/>
  <c r="BX56" i="1"/>
  <c r="BW56" i="1"/>
  <c r="BV56" i="1"/>
  <c r="CA55" i="1"/>
  <c r="BZ55" i="1"/>
  <c r="BX55" i="1"/>
  <c r="BW55" i="1"/>
  <c r="BV55" i="1"/>
  <c r="CA54" i="1"/>
  <c r="BZ54" i="1"/>
  <c r="BX54" i="1"/>
  <c r="BW54" i="1"/>
  <c r="BV54" i="1"/>
  <c r="CA53" i="1"/>
  <c r="BZ53" i="1"/>
  <c r="BX53" i="1"/>
  <c r="BW53" i="1"/>
  <c r="BY53" i="1" s="1"/>
  <c r="BV53" i="1"/>
  <c r="CA52" i="1"/>
  <c r="BZ52" i="1"/>
  <c r="BX52" i="1"/>
  <c r="BW52" i="1"/>
  <c r="BV52" i="1"/>
  <c r="CA51" i="1"/>
  <c r="BZ51" i="1"/>
  <c r="BX51" i="1"/>
  <c r="BW51" i="1"/>
  <c r="BV51" i="1"/>
  <c r="CA50" i="1"/>
  <c r="BZ50" i="1"/>
  <c r="BX50" i="1"/>
  <c r="BW50" i="1"/>
  <c r="BV50" i="1"/>
  <c r="CA49" i="1"/>
  <c r="BZ49" i="1"/>
  <c r="BX49" i="1"/>
  <c r="BW49" i="1"/>
  <c r="BV49" i="1"/>
  <c r="CA48" i="1"/>
  <c r="BZ48" i="1"/>
  <c r="BX48" i="1"/>
  <c r="BW48" i="1"/>
  <c r="BV48" i="1"/>
  <c r="CA47" i="1"/>
  <c r="BZ47" i="1"/>
  <c r="BX47" i="1"/>
  <c r="BW47" i="1"/>
  <c r="BV47" i="1"/>
  <c r="CA46" i="1"/>
  <c r="BZ46" i="1"/>
  <c r="BX46" i="1"/>
  <c r="BW46" i="1"/>
  <c r="BV46" i="1"/>
  <c r="CA45" i="1"/>
  <c r="BZ45" i="1"/>
  <c r="BX45" i="1"/>
  <c r="BW45" i="1"/>
  <c r="BY45" i="1" s="1"/>
  <c r="BV45" i="1"/>
  <c r="CA44" i="1"/>
  <c r="BZ44" i="1"/>
  <c r="BX44" i="1"/>
  <c r="BW44" i="1"/>
  <c r="BV44" i="1"/>
  <c r="CA43" i="1"/>
  <c r="BZ43" i="1"/>
  <c r="BX43" i="1"/>
  <c r="BW43" i="1"/>
  <c r="BV43" i="1"/>
  <c r="CA42" i="1"/>
  <c r="BZ42" i="1"/>
  <c r="BX42" i="1"/>
  <c r="BW42" i="1"/>
  <c r="BV42" i="1"/>
  <c r="CA41" i="1"/>
  <c r="BZ41" i="1"/>
  <c r="BX41" i="1"/>
  <c r="BW41" i="1"/>
  <c r="BV41" i="1"/>
  <c r="CA40" i="1"/>
  <c r="BZ40" i="1"/>
  <c r="BX40" i="1"/>
  <c r="BW40" i="1"/>
  <c r="BV40" i="1"/>
  <c r="CA39" i="1"/>
  <c r="BZ39" i="1"/>
  <c r="BX39" i="1"/>
  <c r="BW39" i="1"/>
  <c r="BV39" i="1"/>
  <c r="CA38" i="1"/>
  <c r="BZ38" i="1"/>
  <c r="BX38" i="1"/>
  <c r="BW38" i="1"/>
  <c r="BV38" i="1"/>
  <c r="CA37" i="1"/>
  <c r="BZ37" i="1"/>
  <c r="BX37" i="1"/>
  <c r="BW37" i="1"/>
  <c r="BY37" i="1" s="1"/>
  <c r="BV37" i="1"/>
  <c r="CA36" i="1"/>
  <c r="BZ36" i="1"/>
  <c r="BX36" i="1"/>
  <c r="BW36" i="1"/>
  <c r="BV36" i="1"/>
  <c r="CA35" i="1"/>
  <c r="BZ35" i="1"/>
  <c r="BX35" i="1"/>
  <c r="BW35" i="1"/>
  <c r="BV35" i="1"/>
  <c r="CA34" i="1"/>
  <c r="BZ34" i="1"/>
  <c r="BX34" i="1"/>
  <c r="BW34" i="1"/>
  <c r="BV34" i="1"/>
  <c r="CA33" i="1"/>
  <c r="BZ33" i="1"/>
  <c r="BX33" i="1"/>
  <c r="BW33" i="1"/>
  <c r="BV33" i="1"/>
  <c r="CA32" i="1"/>
  <c r="BZ32" i="1"/>
  <c r="BX32" i="1"/>
  <c r="BW32" i="1"/>
  <c r="BV32" i="1"/>
  <c r="CA31" i="1"/>
  <c r="BZ31" i="1"/>
  <c r="BX31" i="1"/>
  <c r="BW31" i="1"/>
  <c r="BV31" i="1"/>
  <c r="CA30" i="1"/>
  <c r="BZ30" i="1"/>
  <c r="BX30" i="1"/>
  <c r="BW30" i="1"/>
  <c r="BV30" i="1"/>
  <c r="CA29" i="1"/>
  <c r="BZ29" i="1"/>
  <c r="BX29" i="1"/>
  <c r="BW29" i="1"/>
  <c r="BY29" i="1" s="1"/>
  <c r="BV29" i="1"/>
  <c r="CA28" i="1"/>
  <c r="BZ28" i="1"/>
  <c r="BX28" i="1"/>
  <c r="BW28" i="1"/>
  <c r="BV28" i="1"/>
  <c r="CA27" i="1"/>
  <c r="BZ27" i="1"/>
  <c r="BX27" i="1"/>
  <c r="BW27" i="1"/>
  <c r="BV27" i="1"/>
  <c r="CA26" i="1"/>
  <c r="BZ26" i="1"/>
  <c r="BX26" i="1"/>
  <c r="BW26" i="1"/>
  <c r="BV26" i="1"/>
  <c r="BS3" i="1"/>
  <c r="BM80" i="1"/>
  <c r="BO79" i="1"/>
  <c r="BN79" i="1"/>
  <c r="BL79" i="1"/>
  <c r="BK79" i="1"/>
  <c r="BJ79" i="1"/>
  <c r="BO78" i="1"/>
  <c r="BN78" i="1"/>
  <c r="BL78" i="1"/>
  <c r="BK78" i="1"/>
  <c r="BJ78" i="1"/>
  <c r="BO77" i="1"/>
  <c r="BN77" i="1"/>
  <c r="BL77" i="1"/>
  <c r="BK77" i="1"/>
  <c r="BJ77" i="1"/>
  <c r="BO76" i="1"/>
  <c r="BN76" i="1"/>
  <c r="BL76" i="1"/>
  <c r="BK76" i="1"/>
  <c r="BJ76" i="1"/>
  <c r="BO75" i="1"/>
  <c r="BN75" i="1"/>
  <c r="BL75" i="1"/>
  <c r="BK75" i="1"/>
  <c r="BJ75" i="1"/>
  <c r="BO74" i="1"/>
  <c r="BN74" i="1"/>
  <c r="BL74" i="1"/>
  <c r="BK74" i="1"/>
  <c r="BJ74" i="1"/>
  <c r="BO73" i="1"/>
  <c r="BN73" i="1"/>
  <c r="BL73" i="1"/>
  <c r="BK73" i="1"/>
  <c r="BJ73" i="1"/>
  <c r="BO72" i="1"/>
  <c r="BN72" i="1"/>
  <c r="BL72" i="1"/>
  <c r="BK72" i="1"/>
  <c r="BJ72" i="1"/>
  <c r="BO71" i="1"/>
  <c r="BN71" i="1"/>
  <c r="BL71" i="1"/>
  <c r="BK71" i="1"/>
  <c r="BJ71" i="1"/>
  <c r="BO70" i="1"/>
  <c r="BN70" i="1"/>
  <c r="BL70" i="1"/>
  <c r="BK70" i="1"/>
  <c r="BJ70" i="1"/>
  <c r="BO69" i="1"/>
  <c r="BN69" i="1"/>
  <c r="BL69" i="1"/>
  <c r="BK69" i="1"/>
  <c r="BJ69" i="1"/>
  <c r="BO68" i="1"/>
  <c r="BN68" i="1"/>
  <c r="BL68" i="1"/>
  <c r="BK68" i="1"/>
  <c r="BM68" i="1" s="1"/>
  <c r="BJ68" i="1"/>
  <c r="BO67" i="1"/>
  <c r="BN67" i="1"/>
  <c r="BL67" i="1"/>
  <c r="BK67" i="1"/>
  <c r="BJ67" i="1"/>
  <c r="BO66" i="1"/>
  <c r="BN66" i="1"/>
  <c r="BL66" i="1"/>
  <c r="BK66" i="1"/>
  <c r="BJ66" i="1"/>
  <c r="BO65" i="1"/>
  <c r="BN65" i="1"/>
  <c r="BL65" i="1"/>
  <c r="BK65" i="1"/>
  <c r="BJ65" i="1"/>
  <c r="BO64" i="1"/>
  <c r="BN64" i="1"/>
  <c r="BL64" i="1"/>
  <c r="BK64" i="1"/>
  <c r="BJ64" i="1"/>
  <c r="BO63" i="1"/>
  <c r="BN63" i="1"/>
  <c r="BL63" i="1"/>
  <c r="BK63" i="1"/>
  <c r="BJ63" i="1"/>
  <c r="BO62" i="1"/>
  <c r="BN62" i="1"/>
  <c r="BL62" i="1"/>
  <c r="BK62" i="1"/>
  <c r="BJ62" i="1"/>
  <c r="BO61" i="1"/>
  <c r="BN61" i="1"/>
  <c r="BL61" i="1"/>
  <c r="BK61" i="1"/>
  <c r="BJ61" i="1"/>
  <c r="BO60" i="1"/>
  <c r="BN60" i="1"/>
  <c r="BL60" i="1"/>
  <c r="BK60" i="1"/>
  <c r="BM60" i="1" s="1"/>
  <c r="BJ60" i="1"/>
  <c r="BO59" i="1"/>
  <c r="BN59" i="1"/>
  <c r="BL59" i="1"/>
  <c r="BK59" i="1"/>
  <c r="BJ59" i="1"/>
  <c r="BO58" i="1"/>
  <c r="BN58" i="1"/>
  <c r="BL58" i="1"/>
  <c r="BK58" i="1"/>
  <c r="BJ58" i="1"/>
  <c r="BO57" i="1"/>
  <c r="BN57" i="1"/>
  <c r="BL57" i="1"/>
  <c r="BK57" i="1"/>
  <c r="BJ57" i="1"/>
  <c r="BO56" i="1"/>
  <c r="BN56" i="1"/>
  <c r="BL56" i="1"/>
  <c r="BK56" i="1"/>
  <c r="BJ56" i="1"/>
  <c r="BO55" i="1"/>
  <c r="BN55" i="1"/>
  <c r="BL55" i="1"/>
  <c r="BK55" i="1"/>
  <c r="BJ55" i="1"/>
  <c r="BO54" i="1"/>
  <c r="BN54" i="1"/>
  <c r="BL54" i="1"/>
  <c r="BK54" i="1"/>
  <c r="BJ54" i="1"/>
  <c r="BO53" i="1"/>
  <c r="BN53" i="1"/>
  <c r="BL53" i="1"/>
  <c r="BK53" i="1"/>
  <c r="BM53" i="1" s="1"/>
  <c r="BJ53" i="1"/>
  <c r="BO52" i="1"/>
  <c r="BN52" i="1"/>
  <c r="BL52" i="1"/>
  <c r="BK52" i="1"/>
  <c r="BJ52" i="1"/>
  <c r="BO51" i="1"/>
  <c r="BN51" i="1"/>
  <c r="BL51" i="1"/>
  <c r="BK51" i="1"/>
  <c r="BM51" i="1" s="1"/>
  <c r="BJ51" i="1"/>
  <c r="BO50" i="1"/>
  <c r="BN50" i="1"/>
  <c r="BL50" i="1"/>
  <c r="BK50" i="1"/>
  <c r="BJ50" i="1"/>
  <c r="BO49" i="1"/>
  <c r="BN49" i="1"/>
  <c r="BL49" i="1"/>
  <c r="BK49" i="1"/>
  <c r="BJ49" i="1"/>
  <c r="BO48" i="1"/>
  <c r="BN48" i="1"/>
  <c r="BL48" i="1"/>
  <c r="BK48" i="1"/>
  <c r="BJ48" i="1"/>
  <c r="BO47" i="1"/>
  <c r="BN47" i="1"/>
  <c r="BL47" i="1"/>
  <c r="BK47" i="1"/>
  <c r="BJ47" i="1"/>
  <c r="BO46" i="1"/>
  <c r="BN46" i="1"/>
  <c r="BL46" i="1"/>
  <c r="BK46" i="1"/>
  <c r="BJ46" i="1"/>
  <c r="BO45" i="1"/>
  <c r="BN45" i="1"/>
  <c r="BL45" i="1"/>
  <c r="BK45" i="1"/>
  <c r="BM45" i="1" s="1"/>
  <c r="BJ45" i="1"/>
  <c r="BO44" i="1"/>
  <c r="BN44" i="1"/>
  <c r="BL44" i="1"/>
  <c r="BK44" i="1"/>
  <c r="BJ44" i="1"/>
  <c r="BO43" i="1"/>
  <c r="BN43" i="1"/>
  <c r="BL43" i="1"/>
  <c r="BK43" i="1"/>
  <c r="BM43" i="1" s="1"/>
  <c r="BJ43" i="1"/>
  <c r="BO42" i="1"/>
  <c r="BN42" i="1"/>
  <c r="BL42" i="1"/>
  <c r="BK42" i="1"/>
  <c r="BJ42" i="1"/>
  <c r="BO41" i="1"/>
  <c r="BN41" i="1"/>
  <c r="BL41" i="1"/>
  <c r="BK41" i="1"/>
  <c r="BJ41" i="1"/>
  <c r="BO40" i="1"/>
  <c r="BN40" i="1"/>
  <c r="BL40" i="1"/>
  <c r="BK40" i="1"/>
  <c r="BJ40" i="1"/>
  <c r="BO39" i="1"/>
  <c r="BN39" i="1"/>
  <c r="BL39" i="1"/>
  <c r="BK39" i="1"/>
  <c r="BJ39" i="1"/>
  <c r="BO38" i="1"/>
  <c r="BN38" i="1"/>
  <c r="BL38" i="1"/>
  <c r="BK38" i="1"/>
  <c r="BJ38" i="1"/>
  <c r="BO37" i="1"/>
  <c r="BN37" i="1"/>
  <c r="BL37" i="1"/>
  <c r="BK37" i="1"/>
  <c r="BM37" i="1" s="1"/>
  <c r="BJ37" i="1"/>
  <c r="BO36" i="1"/>
  <c r="BN36" i="1"/>
  <c r="BL36" i="1"/>
  <c r="BK36" i="1"/>
  <c r="BJ36" i="1"/>
  <c r="BO35" i="1"/>
  <c r="BN35" i="1"/>
  <c r="BL35" i="1"/>
  <c r="BK35" i="1"/>
  <c r="BM35" i="1" s="1"/>
  <c r="BJ35" i="1"/>
  <c r="BO34" i="1"/>
  <c r="BN34" i="1"/>
  <c r="BL34" i="1"/>
  <c r="BK34" i="1"/>
  <c r="BJ34" i="1"/>
  <c r="BO33" i="1"/>
  <c r="BN33" i="1"/>
  <c r="BL33" i="1"/>
  <c r="BK33" i="1"/>
  <c r="BJ33" i="1"/>
  <c r="BO32" i="1"/>
  <c r="BN32" i="1"/>
  <c r="BL32" i="1"/>
  <c r="BK32" i="1"/>
  <c r="BJ32" i="1"/>
  <c r="BO31" i="1"/>
  <c r="BN31" i="1"/>
  <c r="BL31" i="1"/>
  <c r="BK31" i="1"/>
  <c r="BJ31" i="1"/>
  <c r="BO30" i="1"/>
  <c r="BN30" i="1"/>
  <c r="BL30" i="1"/>
  <c r="BK30" i="1"/>
  <c r="BJ30" i="1"/>
  <c r="BO29" i="1"/>
  <c r="BN29" i="1"/>
  <c r="BL29" i="1"/>
  <c r="BK29" i="1"/>
  <c r="BM29" i="1" s="1"/>
  <c r="BJ29" i="1"/>
  <c r="BO28" i="1"/>
  <c r="BN28" i="1"/>
  <c r="BL28" i="1"/>
  <c r="BK28" i="1"/>
  <c r="BJ28" i="1"/>
  <c r="BO27" i="1"/>
  <c r="BN27" i="1"/>
  <c r="BL27" i="1"/>
  <c r="BK27" i="1"/>
  <c r="BM27" i="1" s="1"/>
  <c r="BJ27" i="1"/>
  <c r="BO26" i="1"/>
  <c r="BN26" i="1"/>
  <c r="BL26" i="1"/>
  <c r="BK26" i="1"/>
  <c r="BJ26" i="1"/>
  <c r="BO25" i="1"/>
  <c r="BN25" i="1"/>
  <c r="BL25" i="1"/>
  <c r="BK25" i="1"/>
  <c r="BJ25" i="1"/>
  <c r="BO24" i="1"/>
  <c r="BN24" i="1"/>
  <c r="BL24" i="1"/>
  <c r="BK24" i="1"/>
  <c r="BJ24" i="1"/>
  <c r="BO23" i="1"/>
  <c r="BN23" i="1"/>
  <c r="BL23" i="1"/>
  <c r="BK23" i="1"/>
  <c r="BJ23" i="1"/>
  <c r="BO22" i="1"/>
  <c r="BN22" i="1"/>
  <c r="BL22" i="1"/>
  <c r="BK22" i="1"/>
  <c r="BJ22" i="1"/>
  <c r="BO21" i="1"/>
  <c r="BN21" i="1"/>
  <c r="BL21" i="1"/>
  <c r="BK21" i="1"/>
  <c r="BM21" i="1" s="1"/>
  <c r="BJ21" i="1"/>
  <c r="BO20" i="1"/>
  <c r="BN20" i="1"/>
  <c r="BL20" i="1"/>
  <c r="BK20" i="1"/>
  <c r="BJ20" i="1"/>
  <c r="BO19" i="1"/>
  <c r="BN19" i="1"/>
  <c r="BL19" i="1"/>
  <c r="BK19" i="1"/>
  <c r="BM19" i="1" s="1"/>
  <c r="BJ19" i="1"/>
  <c r="BO18" i="1"/>
  <c r="BN18" i="1"/>
  <c r="BL18" i="1"/>
  <c r="BK18" i="1"/>
  <c r="BJ18" i="1"/>
  <c r="BO17" i="1"/>
  <c r="BN17" i="1"/>
  <c r="BL17" i="1"/>
  <c r="BK17" i="1"/>
  <c r="BJ17" i="1"/>
  <c r="BO16" i="1"/>
  <c r="BN16" i="1"/>
  <c r="BL16" i="1"/>
  <c r="BK16" i="1"/>
  <c r="BJ16" i="1"/>
  <c r="BO15" i="1"/>
  <c r="BN15" i="1"/>
  <c r="BL15" i="1"/>
  <c r="BK15" i="1"/>
  <c r="BJ15" i="1"/>
  <c r="BO14" i="1"/>
  <c r="BN14" i="1"/>
  <c r="BL14" i="1"/>
  <c r="BK14" i="1"/>
  <c r="BJ14" i="1"/>
  <c r="BO13" i="1"/>
  <c r="BN13" i="1"/>
  <c r="BL13" i="1"/>
  <c r="BK13" i="1"/>
  <c r="BM13" i="1" s="1"/>
  <c r="BJ13" i="1"/>
  <c r="BO12" i="1"/>
  <c r="BN12" i="1"/>
  <c r="BL12" i="1"/>
  <c r="BK12" i="1"/>
  <c r="BJ12" i="1"/>
  <c r="BO11" i="1"/>
  <c r="BN11" i="1"/>
  <c r="BL11" i="1"/>
  <c r="BK11" i="1"/>
  <c r="BM11" i="1" s="1"/>
  <c r="BJ11" i="1"/>
  <c r="BO10" i="1"/>
  <c r="BN10" i="1"/>
  <c r="BL10" i="1"/>
  <c r="BK10" i="1"/>
  <c r="BJ10" i="1"/>
  <c r="BO9" i="1"/>
  <c r="BN9" i="1"/>
  <c r="BL9" i="1"/>
  <c r="BK9" i="1"/>
  <c r="BJ9" i="1"/>
  <c r="BO8" i="1"/>
  <c r="BN8" i="1"/>
  <c r="BL8" i="1"/>
  <c r="BK8" i="1"/>
  <c r="BJ8" i="1"/>
  <c r="BO7" i="1"/>
  <c r="BN7" i="1"/>
  <c r="BL7" i="1"/>
  <c r="BK7" i="1"/>
  <c r="BJ7" i="1"/>
  <c r="BO6" i="1"/>
  <c r="BN6" i="1"/>
  <c r="BL6" i="1"/>
  <c r="BK6" i="1"/>
  <c r="BJ6" i="1"/>
  <c r="BO5" i="1"/>
  <c r="BN5" i="1"/>
  <c r="BL5" i="1"/>
  <c r="BK5" i="1"/>
  <c r="BM5" i="1" s="1"/>
  <c r="BJ5" i="1"/>
  <c r="BO4" i="1"/>
  <c r="BN4" i="1"/>
  <c r="BL4" i="1"/>
  <c r="BK4" i="1"/>
  <c r="BJ4" i="1"/>
  <c r="BO3" i="1"/>
  <c r="BN3" i="1"/>
  <c r="BL3" i="1"/>
  <c r="BK3" i="1"/>
  <c r="BM3" i="1" s="1"/>
  <c r="BJ3" i="1"/>
  <c r="E23" i="12"/>
  <c r="F23" i="12"/>
  <c r="G23" i="12"/>
  <c r="J23" i="12"/>
  <c r="D23" i="12"/>
  <c r="BJ103" i="1" s="1"/>
  <c r="BD81" i="1"/>
  <c r="BD82" i="1"/>
  <c r="BE82" i="1"/>
  <c r="BF82" i="1"/>
  <c r="BH82" i="1"/>
  <c r="BI82" i="1"/>
  <c r="BD83" i="1"/>
  <c r="BE83" i="1"/>
  <c r="BF83" i="1"/>
  <c r="BH83" i="1"/>
  <c r="BI83" i="1"/>
  <c r="BD84" i="1"/>
  <c r="BE84" i="1"/>
  <c r="BF84" i="1"/>
  <c r="BH84" i="1"/>
  <c r="BI84" i="1"/>
  <c r="BD85" i="1"/>
  <c r="BE85" i="1"/>
  <c r="BF85" i="1"/>
  <c r="BH85" i="1"/>
  <c r="BI85" i="1"/>
  <c r="BD86" i="1"/>
  <c r="BE86" i="1"/>
  <c r="BF86" i="1"/>
  <c r="BH86" i="1"/>
  <c r="BI86" i="1"/>
  <c r="BD87" i="1"/>
  <c r="BE87" i="1"/>
  <c r="BF87" i="1"/>
  <c r="BH87" i="1"/>
  <c r="BI87" i="1"/>
  <c r="BD88" i="1"/>
  <c r="BE88" i="1"/>
  <c r="BF88" i="1"/>
  <c r="BG88" i="1" s="1"/>
  <c r="BH88" i="1"/>
  <c r="BI88" i="1"/>
  <c r="BD89" i="1"/>
  <c r="BF89" i="1"/>
  <c r="BH89" i="1"/>
  <c r="BD90" i="1"/>
  <c r="BE90" i="1"/>
  <c r="BF90" i="1"/>
  <c r="BD91" i="1"/>
  <c r="BE91" i="1"/>
  <c r="BF91" i="1"/>
  <c r="BH91" i="1"/>
  <c r="BI91" i="1"/>
  <c r="BD92" i="1"/>
  <c r="BE92" i="1"/>
  <c r="BF92" i="1"/>
  <c r="BH92" i="1"/>
  <c r="BI92" i="1"/>
  <c r="BD93" i="1"/>
  <c r="BE93" i="1"/>
  <c r="BF93" i="1"/>
  <c r="BH93" i="1"/>
  <c r="BI93" i="1"/>
  <c r="BD94" i="1"/>
  <c r="BE94" i="1"/>
  <c r="BF94" i="1"/>
  <c r="BH94" i="1"/>
  <c r="BD95" i="1"/>
  <c r="BE95" i="1"/>
  <c r="BF95" i="1"/>
  <c r="BH95" i="1"/>
  <c r="BI95" i="1"/>
  <c r="BD96" i="1"/>
  <c r="BE96" i="1"/>
  <c r="BF96" i="1"/>
  <c r="BG96" i="1" s="1"/>
  <c r="BH96" i="1"/>
  <c r="BI96" i="1"/>
  <c r="BD97" i="1"/>
  <c r="BE97" i="1"/>
  <c r="BF97" i="1"/>
  <c r="BH97" i="1"/>
  <c r="BI97" i="1"/>
  <c r="BD98" i="1"/>
  <c r="BE98" i="1"/>
  <c r="BF98" i="1"/>
  <c r="BH98" i="1"/>
  <c r="BI98" i="1"/>
  <c r="BD99" i="1"/>
  <c r="BE99" i="1"/>
  <c r="BF99" i="1"/>
  <c r="BH99" i="1"/>
  <c r="BI99" i="1"/>
  <c r="BD100" i="1"/>
  <c r="BE100" i="1"/>
  <c r="BF100" i="1"/>
  <c r="BH100" i="1"/>
  <c r="BD101" i="1"/>
  <c r="BE101" i="1"/>
  <c r="BF101" i="1"/>
  <c r="BH101" i="1"/>
  <c r="BI101" i="1"/>
  <c r="BD102" i="1"/>
  <c r="BE102" i="1"/>
  <c r="BF102" i="1"/>
  <c r="BH102" i="1"/>
  <c r="BI102" i="1"/>
  <c r="BD103" i="1"/>
  <c r="BE103" i="1"/>
  <c r="BF103" i="1"/>
  <c r="BH103" i="1"/>
  <c r="BI103" i="1"/>
  <c r="BD104" i="1"/>
  <c r="BE104" i="1"/>
  <c r="BF104" i="1"/>
  <c r="BG104" i="1" s="1"/>
  <c r="BH104" i="1"/>
  <c r="BI104" i="1"/>
  <c r="BD105" i="1"/>
  <c r="BE105" i="1"/>
  <c r="BF105" i="1"/>
  <c r="BH105" i="1"/>
  <c r="BI105" i="1"/>
  <c r="BD106" i="1"/>
  <c r="BE106" i="1"/>
  <c r="BF106" i="1"/>
  <c r="BH106" i="1"/>
  <c r="BI106" i="1"/>
  <c r="BD107" i="1"/>
  <c r="BE107" i="1"/>
  <c r="BF107" i="1"/>
  <c r="BH107" i="1"/>
  <c r="BI107" i="1"/>
  <c r="BD108" i="1"/>
  <c r="BE108" i="1"/>
  <c r="BF108" i="1"/>
  <c r="BH108" i="1"/>
  <c r="BI108" i="1"/>
  <c r="BD109" i="1"/>
  <c r="BE109" i="1"/>
  <c r="BF109" i="1"/>
  <c r="BH109" i="1"/>
  <c r="BI109" i="1"/>
  <c r="BD110" i="1"/>
  <c r="BE110" i="1"/>
  <c r="BF110" i="1"/>
  <c r="BH110" i="1"/>
  <c r="BI110" i="1"/>
  <c r="BD111" i="1"/>
  <c r="BE111" i="1"/>
  <c r="BF111" i="1"/>
  <c r="BH111" i="1"/>
  <c r="BI111" i="1"/>
  <c r="BD112" i="1"/>
  <c r="BE112" i="1"/>
  <c r="BF112" i="1"/>
  <c r="BG112" i="1" s="1"/>
  <c r="BH112" i="1"/>
  <c r="BI112" i="1"/>
  <c r="BD113" i="1"/>
  <c r="BE113" i="1"/>
  <c r="BF113" i="1"/>
  <c r="BH113" i="1"/>
  <c r="BI113" i="1"/>
  <c r="BD114" i="1"/>
  <c r="BE114" i="1"/>
  <c r="BF114" i="1"/>
  <c r="BH114" i="1"/>
  <c r="BI114" i="1"/>
  <c r="BD115" i="1"/>
  <c r="BE115" i="1"/>
  <c r="BF115" i="1"/>
  <c r="BH115" i="1"/>
  <c r="BI115" i="1"/>
  <c r="BD116" i="1"/>
  <c r="BE116" i="1"/>
  <c r="BF116" i="1"/>
  <c r="BH116" i="1"/>
  <c r="BI116" i="1"/>
  <c r="BD117" i="1"/>
  <c r="BE117" i="1"/>
  <c r="BF117" i="1"/>
  <c r="BH117" i="1"/>
  <c r="BI117" i="1"/>
  <c r="BD118" i="1"/>
  <c r="BE118" i="1"/>
  <c r="BF118" i="1"/>
  <c r="BH118" i="1"/>
  <c r="BI118" i="1"/>
  <c r="BD119" i="1"/>
  <c r="BE119" i="1"/>
  <c r="BF119" i="1"/>
  <c r="BH119" i="1"/>
  <c r="BI119" i="1"/>
  <c r="BD120" i="1"/>
  <c r="BE120" i="1"/>
  <c r="BF120" i="1"/>
  <c r="BG120" i="1" s="1"/>
  <c r="BH120" i="1"/>
  <c r="BI120" i="1"/>
  <c r="BD121" i="1"/>
  <c r="BE121" i="1"/>
  <c r="BF121" i="1"/>
  <c r="BH121" i="1"/>
  <c r="BI121" i="1"/>
  <c r="BD122" i="1"/>
  <c r="BE122" i="1"/>
  <c r="BF122" i="1"/>
  <c r="BH122" i="1"/>
  <c r="BI122" i="1"/>
  <c r="BD123" i="1"/>
  <c r="BD124" i="1"/>
  <c r="BE124" i="1"/>
  <c r="BF124" i="1"/>
  <c r="BH124" i="1"/>
  <c r="BI124" i="1"/>
  <c r="BD125" i="1"/>
  <c r="BE125" i="1"/>
  <c r="BF125" i="1"/>
  <c r="BH125" i="1"/>
  <c r="BI125" i="1"/>
  <c r="BD126" i="1"/>
  <c r="BE126" i="1"/>
  <c r="BF126" i="1"/>
  <c r="BH126" i="1"/>
  <c r="BI126" i="1"/>
  <c r="BD127" i="1"/>
  <c r="BE127" i="1"/>
  <c r="BF127" i="1"/>
  <c r="BH127" i="1"/>
  <c r="BI127" i="1"/>
  <c r="BI80" i="1"/>
  <c r="BH80" i="1"/>
  <c r="BF80" i="1"/>
  <c r="BE80" i="1"/>
  <c r="BD80" i="1"/>
  <c r="BD79" i="1"/>
  <c r="BE79" i="1"/>
  <c r="BF79" i="1"/>
  <c r="BH79" i="1"/>
  <c r="BI79" i="1"/>
  <c r="BI64" i="1"/>
  <c r="BI67" i="1"/>
  <c r="BI68" i="1"/>
  <c r="BI69" i="1"/>
  <c r="BI70" i="1"/>
  <c r="BI71" i="1"/>
  <c r="BI72" i="1"/>
  <c r="BI73" i="1"/>
  <c r="BI76" i="1"/>
  <c r="BI77" i="1"/>
  <c r="BI58" i="1"/>
  <c r="BI59" i="1"/>
  <c r="BI60" i="1"/>
  <c r="BI61" i="1"/>
  <c r="BI62" i="1"/>
  <c r="BI41" i="1"/>
  <c r="BI42" i="1"/>
  <c r="BI46" i="1"/>
  <c r="BI49" i="1"/>
  <c r="BI52" i="1"/>
  <c r="BI56" i="1"/>
  <c r="BI57" i="1"/>
  <c r="BI33" i="1"/>
  <c r="BI34" i="1"/>
  <c r="BI36" i="1"/>
  <c r="BI37" i="1"/>
  <c r="BI13" i="1"/>
  <c r="BI3" i="1"/>
  <c r="BI7" i="1"/>
  <c r="BI10" i="1"/>
  <c r="BI11" i="1"/>
  <c r="BD61" i="1"/>
  <c r="BE61" i="1"/>
  <c r="BF61" i="1"/>
  <c r="BH61" i="1"/>
  <c r="BD62" i="1"/>
  <c r="BE62" i="1"/>
  <c r="BF62" i="1"/>
  <c r="BH62" i="1"/>
  <c r="BD63" i="1"/>
  <c r="BE63" i="1"/>
  <c r="BF63" i="1"/>
  <c r="BH63" i="1"/>
  <c r="BD64" i="1"/>
  <c r="BE64" i="1"/>
  <c r="BF64" i="1"/>
  <c r="BH64" i="1"/>
  <c r="BD65" i="1"/>
  <c r="BD66" i="1"/>
  <c r="BE66" i="1"/>
  <c r="BF66" i="1"/>
  <c r="BH66" i="1"/>
  <c r="BD67" i="1"/>
  <c r="BE67" i="1"/>
  <c r="BF67" i="1"/>
  <c r="BH67" i="1"/>
  <c r="BD68" i="1"/>
  <c r="BE68" i="1"/>
  <c r="BF68" i="1"/>
  <c r="BH68" i="1"/>
  <c r="BD69" i="1"/>
  <c r="BE69" i="1"/>
  <c r="BF69" i="1"/>
  <c r="BH69" i="1"/>
  <c r="BD70" i="1"/>
  <c r="BE70" i="1"/>
  <c r="BF70" i="1"/>
  <c r="BH70" i="1"/>
  <c r="BD71" i="1"/>
  <c r="BE71" i="1"/>
  <c r="BF71" i="1"/>
  <c r="BH71" i="1"/>
  <c r="BD72" i="1"/>
  <c r="BE72" i="1"/>
  <c r="BF72" i="1"/>
  <c r="BH72" i="1"/>
  <c r="BD73" i="1"/>
  <c r="BE73" i="1"/>
  <c r="BF73" i="1"/>
  <c r="BH73" i="1"/>
  <c r="BD74" i="1"/>
  <c r="BE74" i="1"/>
  <c r="BF74" i="1"/>
  <c r="BH74" i="1"/>
  <c r="BD75" i="1"/>
  <c r="BD76" i="1"/>
  <c r="BE76" i="1"/>
  <c r="BF76" i="1"/>
  <c r="BH76" i="1"/>
  <c r="BD77" i="1"/>
  <c r="BE77" i="1"/>
  <c r="BF77" i="1"/>
  <c r="BH77" i="1"/>
  <c r="BD78" i="1"/>
  <c r="BH60" i="1"/>
  <c r="BF60" i="1"/>
  <c r="BE60" i="1"/>
  <c r="BD60" i="1"/>
  <c r="BD27" i="1"/>
  <c r="BD28" i="1"/>
  <c r="BD29" i="1"/>
  <c r="BE29" i="1"/>
  <c r="BF29" i="1"/>
  <c r="BD30" i="1"/>
  <c r="BD31" i="1"/>
  <c r="BD32" i="1"/>
  <c r="BD33" i="1"/>
  <c r="BE33" i="1"/>
  <c r="BF33" i="1"/>
  <c r="BH33" i="1"/>
  <c r="BD34" i="1"/>
  <c r="BE34" i="1"/>
  <c r="BF34" i="1"/>
  <c r="BH34" i="1"/>
  <c r="BD35" i="1"/>
  <c r="BF35" i="1"/>
  <c r="BH35" i="1"/>
  <c r="BD36" i="1"/>
  <c r="BE36" i="1"/>
  <c r="BF36" i="1"/>
  <c r="BH36" i="1"/>
  <c r="BD37" i="1"/>
  <c r="BE37" i="1"/>
  <c r="BF37" i="1"/>
  <c r="BH37" i="1"/>
  <c r="BD38" i="1"/>
  <c r="BE38" i="1"/>
  <c r="BF38" i="1"/>
  <c r="BH38" i="1"/>
  <c r="BD39" i="1"/>
  <c r="BD40" i="1"/>
  <c r="BF40" i="1"/>
  <c r="BH40" i="1"/>
  <c r="BD41" i="1"/>
  <c r="BE41" i="1"/>
  <c r="BF41" i="1"/>
  <c r="BH41" i="1"/>
  <c r="BD42" i="1"/>
  <c r="BE42" i="1"/>
  <c r="BF42" i="1"/>
  <c r="BH42" i="1"/>
  <c r="BD43" i="1"/>
  <c r="BD44" i="1"/>
  <c r="BD45" i="1"/>
  <c r="BF45" i="1"/>
  <c r="BD46" i="1"/>
  <c r="BE46" i="1"/>
  <c r="BF46" i="1"/>
  <c r="BH46" i="1"/>
  <c r="BD47" i="1"/>
  <c r="BF47" i="1"/>
  <c r="BD48" i="1"/>
  <c r="BF48" i="1"/>
  <c r="BD49" i="1"/>
  <c r="BE49" i="1"/>
  <c r="BF49" i="1"/>
  <c r="BH49" i="1"/>
  <c r="BD50" i="1"/>
  <c r="BD51" i="1"/>
  <c r="BE51" i="1"/>
  <c r="BF51" i="1"/>
  <c r="BH51" i="1"/>
  <c r="BD52" i="1"/>
  <c r="BE52" i="1"/>
  <c r="BF52" i="1"/>
  <c r="BH52" i="1"/>
  <c r="BD53" i="1"/>
  <c r="BD54" i="1"/>
  <c r="BD55" i="1"/>
  <c r="BF55" i="1"/>
  <c r="BH55" i="1"/>
  <c r="BD56" i="1"/>
  <c r="BE56" i="1"/>
  <c r="BF56" i="1"/>
  <c r="BH56" i="1"/>
  <c r="BD57" i="1"/>
  <c r="BE57" i="1"/>
  <c r="BF57" i="1"/>
  <c r="BH57" i="1"/>
  <c r="BD58" i="1"/>
  <c r="BF58" i="1"/>
  <c r="BH58" i="1"/>
  <c r="BD59" i="1"/>
  <c r="BE59" i="1"/>
  <c r="BF59" i="1"/>
  <c r="BH59" i="1"/>
  <c r="BD26" i="1"/>
  <c r="BD4" i="1"/>
  <c r="BD5" i="1"/>
  <c r="BD6" i="1"/>
  <c r="BF6" i="1"/>
  <c r="BD7" i="1"/>
  <c r="BE7" i="1"/>
  <c r="BF7" i="1"/>
  <c r="BH7" i="1"/>
  <c r="BD8" i="1"/>
  <c r="BF8" i="1"/>
  <c r="BD9" i="1"/>
  <c r="BD10" i="1"/>
  <c r="BE10" i="1"/>
  <c r="BF10" i="1"/>
  <c r="BH10" i="1"/>
  <c r="BD11" i="1"/>
  <c r="BE11" i="1"/>
  <c r="BF11" i="1"/>
  <c r="BH11" i="1"/>
  <c r="BD12" i="1"/>
  <c r="BD13" i="1"/>
  <c r="BE13" i="1"/>
  <c r="BF13" i="1"/>
  <c r="BH13" i="1"/>
  <c r="BD14" i="1"/>
  <c r="BD15" i="1"/>
  <c r="BD16" i="1"/>
  <c r="BD17" i="1"/>
  <c r="BF17" i="1"/>
  <c r="BH17" i="1"/>
  <c r="BD18" i="1"/>
  <c r="BD19" i="1"/>
  <c r="BD20" i="1"/>
  <c r="BD21" i="1"/>
  <c r="BF21" i="1"/>
  <c r="BH21" i="1"/>
  <c r="BD22" i="1"/>
  <c r="BF22" i="1"/>
  <c r="BH22" i="1"/>
  <c r="BD23" i="1"/>
  <c r="BD24" i="1"/>
  <c r="BD25" i="1"/>
  <c r="BH3" i="1"/>
  <c r="BF3" i="1"/>
  <c r="BE3" i="1"/>
  <c r="BD3" i="1"/>
  <c r="F196" i="11"/>
  <c r="G196" i="11"/>
  <c r="I196" i="11"/>
  <c r="BF78" i="1" s="1"/>
  <c r="J196" i="11"/>
  <c r="K196" i="11"/>
  <c r="L196" i="11"/>
  <c r="O196" i="11"/>
  <c r="R196" i="11"/>
  <c r="E196" i="11"/>
  <c r="F193" i="11"/>
  <c r="G193" i="11"/>
  <c r="I193" i="11"/>
  <c r="BF65" i="1" s="1"/>
  <c r="J193" i="11"/>
  <c r="K193" i="11"/>
  <c r="L193" i="11"/>
  <c r="O193" i="11"/>
  <c r="Q193" i="11"/>
  <c r="BH65" i="1" s="1"/>
  <c r="R193" i="11"/>
  <c r="S193" i="11"/>
  <c r="E193" i="11"/>
  <c r="S186" i="11"/>
  <c r="R186" i="11"/>
  <c r="Q186" i="11"/>
  <c r="BH75" i="1" s="1"/>
  <c r="O186" i="11"/>
  <c r="L186" i="11"/>
  <c r="K186" i="11"/>
  <c r="J186" i="11"/>
  <c r="I186" i="11"/>
  <c r="BF75" i="1" s="1"/>
  <c r="G186" i="11"/>
  <c r="F186" i="11"/>
  <c r="E186" i="11"/>
  <c r="F179" i="11"/>
  <c r="G179" i="11"/>
  <c r="I179" i="11"/>
  <c r="BF123" i="1" s="1"/>
  <c r="J179" i="11"/>
  <c r="K179" i="11"/>
  <c r="L179" i="11"/>
  <c r="O179" i="11"/>
  <c r="R179" i="11"/>
  <c r="E179" i="11"/>
  <c r="F172" i="11"/>
  <c r="G172" i="11"/>
  <c r="I172" i="11"/>
  <c r="J172" i="11"/>
  <c r="K172" i="11"/>
  <c r="L172" i="11"/>
  <c r="O172" i="11"/>
  <c r="R172" i="11"/>
  <c r="E172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E166" i="11"/>
  <c r="F161" i="11"/>
  <c r="G161" i="11"/>
  <c r="H161" i="11"/>
  <c r="BE81" i="1" s="1"/>
  <c r="I161" i="11"/>
  <c r="BF81" i="1" s="1"/>
  <c r="J161" i="11"/>
  <c r="K161" i="11"/>
  <c r="L161" i="11"/>
  <c r="M161" i="11"/>
  <c r="N161" i="11"/>
  <c r="O161" i="11"/>
  <c r="Q161" i="11"/>
  <c r="BH81" i="1" s="1"/>
  <c r="R161" i="11"/>
  <c r="S161" i="11"/>
  <c r="E161" i="11"/>
  <c r="F142" i="11"/>
  <c r="G142" i="11"/>
  <c r="H142" i="11"/>
  <c r="BE44" i="1" s="1"/>
  <c r="I142" i="11"/>
  <c r="BF44" i="1" s="1"/>
  <c r="J142" i="11"/>
  <c r="K142" i="11"/>
  <c r="L142" i="11"/>
  <c r="M142" i="11"/>
  <c r="O142" i="11"/>
  <c r="Q142" i="11"/>
  <c r="BH44" i="1" s="1"/>
  <c r="R142" i="11"/>
  <c r="S142" i="11"/>
  <c r="E142" i="11"/>
  <c r="S152" i="11"/>
  <c r="R152" i="11"/>
  <c r="Q152" i="11"/>
  <c r="BH43" i="1" s="1"/>
  <c r="O152" i="11"/>
  <c r="N152" i="11"/>
  <c r="M152" i="11"/>
  <c r="L152" i="11"/>
  <c r="K152" i="11"/>
  <c r="J152" i="11"/>
  <c r="I152" i="11"/>
  <c r="BF43" i="1" s="1"/>
  <c r="H152" i="11"/>
  <c r="BE43" i="1" s="1"/>
  <c r="G152" i="11"/>
  <c r="F152" i="11"/>
  <c r="E152" i="11"/>
  <c r="R149" i="11"/>
  <c r="P149" i="11"/>
  <c r="O149" i="11"/>
  <c r="N149" i="11"/>
  <c r="M149" i="11"/>
  <c r="K149" i="11"/>
  <c r="J149" i="11"/>
  <c r="I149" i="11"/>
  <c r="H149" i="11"/>
  <c r="G149" i="11"/>
  <c r="F149" i="11"/>
  <c r="E149" i="11"/>
  <c r="R146" i="11"/>
  <c r="O146" i="11"/>
  <c r="M146" i="11"/>
  <c r="K146" i="11"/>
  <c r="J146" i="11"/>
  <c r="I146" i="11"/>
  <c r="BF54" i="1" s="1"/>
  <c r="H146" i="11"/>
  <c r="BE54" i="1" s="1"/>
  <c r="G146" i="11"/>
  <c r="F146" i="11"/>
  <c r="E146" i="11"/>
  <c r="S138" i="11"/>
  <c r="R138" i="11"/>
  <c r="Q138" i="11"/>
  <c r="BH53" i="1" s="1"/>
  <c r="O138" i="11"/>
  <c r="M138" i="11"/>
  <c r="K138" i="11"/>
  <c r="J138" i="11"/>
  <c r="I138" i="11"/>
  <c r="BF53" i="1" s="1"/>
  <c r="H138" i="11"/>
  <c r="BE53" i="1" s="1"/>
  <c r="G138" i="11"/>
  <c r="F138" i="11"/>
  <c r="E138" i="11"/>
  <c r="F135" i="11"/>
  <c r="G135" i="11"/>
  <c r="H135" i="11"/>
  <c r="I135" i="11"/>
  <c r="J135" i="11"/>
  <c r="K135" i="11"/>
  <c r="L135" i="11"/>
  <c r="M135" i="11"/>
  <c r="N135" i="11"/>
  <c r="O135" i="11"/>
  <c r="R135" i="11"/>
  <c r="E135" i="11"/>
  <c r="F129" i="11"/>
  <c r="G129" i="11"/>
  <c r="I129" i="11"/>
  <c r="BF50" i="1" s="1"/>
  <c r="J129" i="11"/>
  <c r="K129" i="11"/>
  <c r="L129" i="11"/>
  <c r="M129" i="11"/>
  <c r="N129" i="11"/>
  <c r="O129" i="11"/>
  <c r="Q129" i="11"/>
  <c r="BH50" i="1" s="1"/>
  <c r="R129" i="11"/>
  <c r="S129" i="11"/>
  <c r="E129" i="11"/>
  <c r="F121" i="11"/>
  <c r="G121" i="11"/>
  <c r="I121" i="11"/>
  <c r="BF39" i="1" s="1"/>
  <c r="J121" i="11"/>
  <c r="K121" i="11"/>
  <c r="L121" i="11"/>
  <c r="M121" i="11"/>
  <c r="O121" i="11"/>
  <c r="Q121" i="11"/>
  <c r="BH39" i="1" s="1"/>
  <c r="R121" i="11"/>
  <c r="S121" i="11"/>
  <c r="E121" i="11"/>
  <c r="R116" i="11"/>
  <c r="O116" i="11"/>
  <c r="N116" i="11"/>
  <c r="L116" i="11"/>
  <c r="K116" i="11"/>
  <c r="J116" i="11"/>
  <c r="I116" i="11"/>
  <c r="G116" i="11"/>
  <c r="F116" i="11"/>
  <c r="E116" i="11"/>
  <c r="R112" i="11"/>
  <c r="O112" i="11"/>
  <c r="L112" i="11"/>
  <c r="K112" i="11"/>
  <c r="J112" i="11"/>
  <c r="I112" i="11"/>
  <c r="BF30" i="1" s="1"/>
  <c r="G112" i="11"/>
  <c r="F112" i="11"/>
  <c r="E112" i="11"/>
  <c r="R107" i="11"/>
  <c r="O107" i="11"/>
  <c r="N107" i="11"/>
  <c r="L107" i="11"/>
  <c r="K107" i="11"/>
  <c r="J107" i="11"/>
  <c r="I107" i="11"/>
  <c r="BF31" i="1" s="1"/>
  <c r="G107" i="11"/>
  <c r="F107" i="11"/>
  <c r="E107" i="11"/>
  <c r="S102" i="11"/>
  <c r="R102" i="11"/>
  <c r="Q102" i="11"/>
  <c r="BH32" i="1" s="1"/>
  <c r="O102" i="11"/>
  <c r="M102" i="11"/>
  <c r="K102" i="11"/>
  <c r="J102" i="11"/>
  <c r="I102" i="11"/>
  <c r="BF32" i="1" s="1"/>
  <c r="H102" i="11"/>
  <c r="BE32" i="1" s="1"/>
  <c r="G102" i="11"/>
  <c r="F102" i="11"/>
  <c r="E102" i="11"/>
  <c r="S97" i="11"/>
  <c r="R97" i="11"/>
  <c r="Q97" i="11"/>
  <c r="BH27" i="1" s="1"/>
  <c r="O97" i="11"/>
  <c r="M97" i="11"/>
  <c r="L97" i="11"/>
  <c r="K97" i="11"/>
  <c r="J97" i="11"/>
  <c r="I97" i="11"/>
  <c r="BF27" i="1" s="1"/>
  <c r="H97" i="11"/>
  <c r="BE27" i="1" s="1"/>
  <c r="G97" i="11"/>
  <c r="F97" i="11"/>
  <c r="E97" i="11"/>
  <c r="R94" i="11"/>
  <c r="P94" i="11"/>
  <c r="O94" i="11"/>
  <c r="N94" i="11"/>
  <c r="L94" i="11"/>
  <c r="K94" i="11"/>
  <c r="J94" i="11"/>
  <c r="I94" i="11"/>
  <c r="BF28" i="1" s="1"/>
  <c r="H94" i="11"/>
  <c r="BE28" i="1" s="1"/>
  <c r="G94" i="11"/>
  <c r="F94" i="11"/>
  <c r="E94" i="11"/>
  <c r="R90" i="11"/>
  <c r="O90" i="11"/>
  <c r="M90" i="11"/>
  <c r="K90" i="11"/>
  <c r="J90" i="11"/>
  <c r="I90" i="11"/>
  <c r="BF26" i="1" s="1"/>
  <c r="H90" i="11"/>
  <c r="BE26" i="1" s="1"/>
  <c r="G90" i="11"/>
  <c r="F90" i="11"/>
  <c r="E90" i="11"/>
  <c r="F81" i="11"/>
  <c r="G81" i="11"/>
  <c r="I81" i="11"/>
  <c r="BF18" i="1" s="1"/>
  <c r="J81" i="11"/>
  <c r="K81" i="11"/>
  <c r="M81" i="11"/>
  <c r="O81" i="11"/>
  <c r="R81" i="11"/>
  <c r="E81" i="11"/>
  <c r="F77" i="11"/>
  <c r="G77" i="11"/>
  <c r="I77" i="11"/>
  <c r="BF24" i="1" s="1"/>
  <c r="J77" i="11"/>
  <c r="K77" i="11"/>
  <c r="L77" i="11"/>
  <c r="N77" i="11"/>
  <c r="O77" i="11"/>
  <c r="P77" i="11"/>
  <c r="R77" i="11"/>
  <c r="E77" i="11"/>
  <c r="R74" i="11"/>
  <c r="P74" i="11"/>
  <c r="O74" i="11"/>
  <c r="N74" i="11"/>
  <c r="L74" i="11"/>
  <c r="K74" i="11"/>
  <c r="J74" i="11"/>
  <c r="I74" i="11"/>
  <c r="BF9" i="1" s="1"/>
  <c r="G74" i="11"/>
  <c r="F74" i="11"/>
  <c r="E74" i="11"/>
  <c r="F71" i="11"/>
  <c r="G71" i="11"/>
  <c r="I71" i="11"/>
  <c r="BF5" i="1" s="1"/>
  <c r="J71" i="11"/>
  <c r="K71" i="11"/>
  <c r="L71" i="11"/>
  <c r="N71" i="11"/>
  <c r="O71" i="11"/>
  <c r="P71" i="11"/>
  <c r="R71" i="11"/>
  <c r="E71" i="11"/>
  <c r="F62" i="11"/>
  <c r="G62" i="11"/>
  <c r="H62" i="11"/>
  <c r="BE25" i="1" s="1"/>
  <c r="I62" i="11"/>
  <c r="BF25" i="1" s="1"/>
  <c r="J62" i="11"/>
  <c r="K62" i="11"/>
  <c r="M62" i="11"/>
  <c r="O62" i="11"/>
  <c r="R62" i="11"/>
  <c r="H61" i="11"/>
  <c r="E62" i="11"/>
  <c r="F59" i="11"/>
  <c r="G59" i="11"/>
  <c r="I59" i="11"/>
  <c r="BF23" i="1" s="1"/>
  <c r="J59" i="11"/>
  <c r="K59" i="11"/>
  <c r="L59" i="11"/>
  <c r="O59" i="11"/>
  <c r="R59" i="11"/>
  <c r="E59" i="11"/>
  <c r="F50" i="11"/>
  <c r="G50" i="11"/>
  <c r="I50" i="11"/>
  <c r="BF20" i="1" s="1"/>
  <c r="J50" i="11"/>
  <c r="K50" i="11"/>
  <c r="O50" i="11"/>
  <c r="R50" i="11"/>
  <c r="E50" i="11"/>
  <c r="F47" i="11"/>
  <c r="G47" i="11"/>
  <c r="I47" i="11"/>
  <c r="BF19" i="1" s="1"/>
  <c r="J47" i="11"/>
  <c r="K47" i="11"/>
  <c r="L47" i="11"/>
  <c r="O47" i="11"/>
  <c r="R47" i="11"/>
  <c r="E47" i="11"/>
  <c r="F44" i="11"/>
  <c r="G44" i="11"/>
  <c r="I44" i="11"/>
  <c r="BF16" i="1" s="1"/>
  <c r="J44" i="11"/>
  <c r="K44" i="11"/>
  <c r="L44" i="11"/>
  <c r="N44" i="11"/>
  <c r="O44" i="11"/>
  <c r="P44" i="11"/>
  <c r="R44" i="11"/>
  <c r="E44" i="11"/>
  <c r="F40" i="11"/>
  <c r="G40" i="11"/>
  <c r="I40" i="11"/>
  <c r="BF15" i="1" s="1"/>
  <c r="J40" i="11"/>
  <c r="K40" i="11"/>
  <c r="L40" i="11"/>
  <c r="N40" i="11"/>
  <c r="O40" i="11"/>
  <c r="P40" i="11"/>
  <c r="R40" i="11"/>
  <c r="E40" i="11"/>
  <c r="F37" i="11"/>
  <c r="G37" i="11"/>
  <c r="I37" i="11"/>
  <c r="BF14" i="1" s="1"/>
  <c r="J37" i="11"/>
  <c r="K37" i="11"/>
  <c r="L37" i="11"/>
  <c r="N37" i="11"/>
  <c r="O37" i="11"/>
  <c r="P37" i="11"/>
  <c r="R37" i="11"/>
  <c r="E37" i="11"/>
  <c r="F32" i="11"/>
  <c r="G32" i="11"/>
  <c r="I32" i="11"/>
  <c r="BF12" i="1" s="1"/>
  <c r="J32" i="11"/>
  <c r="K32" i="11"/>
  <c r="L32" i="11"/>
  <c r="N32" i="11"/>
  <c r="O32" i="11"/>
  <c r="P32" i="11"/>
  <c r="R32" i="11"/>
  <c r="E32" i="11"/>
  <c r="F26" i="11"/>
  <c r="G26" i="11"/>
  <c r="I26" i="11"/>
  <c r="J26" i="11"/>
  <c r="K26" i="11"/>
  <c r="L26" i="11"/>
  <c r="N26" i="11"/>
  <c r="O26" i="11"/>
  <c r="P26" i="11"/>
  <c r="R26" i="11"/>
  <c r="E26" i="11"/>
  <c r="F21" i="11"/>
  <c r="G21" i="11"/>
  <c r="I21" i="11"/>
  <c r="BF4" i="1" s="1"/>
  <c r="J21" i="11"/>
  <c r="K21" i="11"/>
  <c r="L21" i="11"/>
  <c r="N21" i="11"/>
  <c r="O21" i="11"/>
  <c r="P21" i="11"/>
  <c r="R21" i="11"/>
  <c r="E21" i="11"/>
  <c r="AX61" i="1"/>
  <c r="AY61" i="1"/>
  <c r="AZ61" i="1"/>
  <c r="BC61" i="1"/>
  <c r="AX63" i="1"/>
  <c r="AY63" i="1"/>
  <c r="AZ63" i="1"/>
  <c r="BC63" i="1"/>
  <c r="AX69" i="1"/>
  <c r="AY69" i="1"/>
  <c r="AZ69" i="1"/>
  <c r="BC69" i="1"/>
  <c r="AX71" i="1"/>
  <c r="AY71" i="1"/>
  <c r="AZ71" i="1"/>
  <c r="BC71" i="1"/>
  <c r="AX72" i="1"/>
  <c r="AY72" i="1"/>
  <c r="AZ72" i="1"/>
  <c r="BC72" i="1"/>
  <c r="AX73" i="1"/>
  <c r="AY73" i="1"/>
  <c r="AZ73" i="1"/>
  <c r="BC73" i="1"/>
  <c r="AX74" i="1"/>
  <c r="AZ74" i="1"/>
  <c r="AX76" i="1"/>
  <c r="AY76" i="1"/>
  <c r="AZ76" i="1"/>
  <c r="BC76" i="1"/>
  <c r="AX77" i="1"/>
  <c r="AY77" i="1"/>
  <c r="AZ77" i="1"/>
  <c r="BC77" i="1"/>
  <c r="AX79" i="1"/>
  <c r="AY79" i="1"/>
  <c r="AZ79" i="1"/>
  <c r="BC79" i="1"/>
  <c r="AX81" i="1"/>
  <c r="AY81" i="1"/>
  <c r="AZ81" i="1"/>
  <c r="BB81" i="1"/>
  <c r="BC81" i="1"/>
  <c r="AX82" i="1"/>
  <c r="AY82" i="1"/>
  <c r="AZ82" i="1"/>
  <c r="BB82" i="1"/>
  <c r="BC82" i="1"/>
  <c r="AX83" i="1"/>
  <c r="AY83" i="1"/>
  <c r="AZ83" i="1"/>
  <c r="BB83" i="1"/>
  <c r="BC83" i="1"/>
  <c r="AX84" i="1"/>
  <c r="AY84" i="1"/>
  <c r="AZ84" i="1"/>
  <c r="BB84" i="1"/>
  <c r="BC84" i="1"/>
  <c r="AX85" i="1"/>
  <c r="AY85" i="1"/>
  <c r="AZ85" i="1"/>
  <c r="BB85" i="1"/>
  <c r="BC85" i="1"/>
  <c r="AX86" i="1"/>
  <c r="AY86" i="1"/>
  <c r="AZ86" i="1"/>
  <c r="BB86" i="1"/>
  <c r="BC86" i="1"/>
  <c r="AX87" i="1"/>
  <c r="AY87" i="1"/>
  <c r="AZ87" i="1"/>
  <c r="BB87" i="1"/>
  <c r="BC87" i="1"/>
  <c r="AX88" i="1"/>
  <c r="AY88" i="1"/>
  <c r="AZ88" i="1"/>
  <c r="BB88" i="1"/>
  <c r="BC88" i="1"/>
  <c r="AX89" i="1"/>
  <c r="AY89" i="1"/>
  <c r="AZ89" i="1"/>
  <c r="BB89" i="1"/>
  <c r="BC89" i="1"/>
  <c r="AX90" i="1"/>
  <c r="AY90" i="1"/>
  <c r="AZ90" i="1"/>
  <c r="BB90" i="1"/>
  <c r="BC90" i="1"/>
  <c r="AX91" i="1"/>
  <c r="AY91" i="1"/>
  <c r="AZ91" i="1"/>
  <c r="BB91" i="1"/>
  <c r="BC91" i="1"/>
  <c r="AX92" i="1"/>
  <c r="AY92" i="1"/>
  <c r="AZ92" i="1"/>
  <c r="BB92" i="1"/>
  <c r="BC92" i="1"/>
  <c r="AX93" i="1"/>
  <c r="AY93" i="1"/>
  <c r="AZ93" i="1"/>
  <c r="BB93" i="1"/>
  <c r="BC93" i="1"/>
  <c r="AX94" i="1"/>
  <c r="AY94" i="1"/>
  <c r="AZ94" i="1"/>
  <c r="BB94" i="1"/>
  <c r="BC94" i="1"/>
  <c r="AX95" i="1"/>
  <c r="AY95" i="1"/>
  <c r="AZ95" i="1"/>
  <c r="BB95" i="1"/>
  <c r="BC95" i="1"/>
  <c r="AX96" i="1"/>
  <c r="AY96" i="1"/>
  <c r="AZ96" i="1"/>
  <c r="BB96" i="1"/>
  <c r="BC96" i="1"/>
  <c r="AX97" i="1"/>
  <c r="AY97" i="1"/>
  <c r="AZ97" i="1"/>
  <c r="BB97" i="1"/>
  <c r="BC97" i="1"/>
  <c r="AX98" i="1"/>
  <c r="AY98" i="1"/>
  <c r="AZ98" i="1"/>
  <c r="BB98" i="1"/>
  <c r="BC98" i="1"/>
  <c r="AX99" i="1"/>
  <c r="AY99" i="1"/>
  <c r="AZ99" i="1"/>
  <c r="BB99" i="1"/>
  <c r="BC99" i="1"/>
  <c r="AX100" i="1"/>
  <c r="AY100" i="1"/>
  <c r="AZ100" i="1"/>
  <c r="BB100" i="1"/>
  <c r="BC100" i="1"/>
  <c r="AX101" i="1"/>
  <c r="AY101" i="1"/>
  <c r="AZ101" i="1"/>
  <c r="BB101" i="1"/>
  <c r="BC101" i="1"/>
  <c r="AX102" i="1"/>
  <c r="AY102" i="1"/>
  <c r="AZ102" i="1"/>
  <c r="BB102" i="1"/>
  <c r="BC102" i="1"/>
  <c r="AX103" i="1"/>
  <c r="AY103" i="1"/>
  <c r="AZ103" i="1"/>
  <c r="BB103" i="1"/>
  <c r="BC103" i="1"/>
  <c r="AX104" i="1"/>
  <c r="AY104" i="1"/>
  <c r="AZ104" i="1"/>
  <c r="BB104" i="1"/>
  <c r="BC104" i="1"/>
  <c r="AX105" i="1"/>
  <c r="AY105" i="1"/>
  <c r="AZ105" i="1"/>
  <c r="BB105" i="1"/>
  <c r="BC105" i="1"/>
  <c r="AX106" i="1"/>
  <c r="AY106" i="1"/>
  <c r="AZ106" i="1"/>
  <c r="BB106" i="1"/>
  <c r="BC106" i="1"/>
  <c r="AX107" i="1"/>
  <c r="AY107" i="1"/>
  <c r="AZ107" i="1"/>
  <c r="BB107" i="1"/>
  <c r="BC107" i="1"/>
  <c r="AX108" i="1"/>
  <c r="AY108" i="1"/>
  <c r="AZ108" i="1"/>
  <c r="BB108" i="1"/>
  <c r="BC108" i="1"/>
  <c r="AX109" i="1"/>
  <c r="AY109" i="1"/>
  <c r="AZ109" i="1"/>
  <c r="BB109" i="1"/>
  <c r="BC109" i="1"/>
  <c r="AX110" i="1"/>
  <c r="AY110" i="1"/>
  <c r="AZ110" i="1"/>
  <c r="BB110" i="1"/>
  <c r="BC110" i="1"/>
  <c r="AX111" i="1"/>
  <c r="AY111" i="1"/>
  <c r="AZ111" i="1"/>
  <c r="BB111" i="1"/>
  <c r="BC111" i="1"/>
  <c r="AX112" i="1"/>
  <c r="AY112" i="1"/>
  <c r="AZ112" i="1"/>
  <c r="BB112" i="1"/>
  <c r="BC112" i="1"/>
  <c r="AX113" i="1"/>
  <c r="AY113" i="1"/>
  <c r="AZ113" i="1"/>
  <c r="BB113" i="1"/>
  <c r="BC113" i="1"/>
  <c r="AX114" i="1"/>
  <c r="AY114" i="1"/>
  <c r="AZ114" i="1"/>
  <c r="BB114" i="1"/>
  <c r="BC114" i="1"/>
  <c r="AX115" i="1"/>
  <c r="AY115" i="1"/>
  <c r="AZ115" i="1"/>
  <c r="BB115" i="1"/>
  <c r="BC115" i="1"/>
  <c r="AX116" i="1"/>
  <c r="AY116" i="1"/>
  <c r="AZ116" i="1"/>
  <c r="BB116" i="1"/>
  <c r="BC116" i="1"/>
  <c r="AX117" i="1"/>
  <c r="AY117" i="1"/>
  <c r="AZ117" i="1"/>
  <c r="BB117" i="1"/>
  <c r="BC117" i="1"/>
  <c r="AX119" i="1"/>
  <c r="AY119" i="1"/>
  <c r="AZ119" i="1"/>
  <c r="BB119" i="1"/>
  <c r="BC119" i="1"/>
  <c r="AX120" i="1"/>
  <c r="AY120" i="1"/>
  <c r="AZ120" i="1"/>
  <c r="BB120" i="1"/>
  <c r="BC120" i="1"/>
  <c r="AX121" i="1"/>
  <c r="AY121" i="1"/>
  <c r="AZ121" i="1"/>
  <c r="BB121" i="1"/>
  <c r="BC121" i="1"/>
  <c r="AX122" i="1"/>
  <c r="AY122" i="1"/>
  <c r="AZ122" i="1"/>
  <c r="BB122" i="1"/>
  <c r="BC122" i="1"/>
  <c r="AX123" i="1"/>
  <c r="AY123" i="1"/>
  <c r="AZ123" i="1"/>
  <c r="BB123" i="1"/>
  <c r="BC123" i="1"/>
  <c r="AX124" i="1"/>
  <c r="AY124" i="1"/>
  <c r="AZ124" i="1"/>
  <c r="BB124" i="1"/>
  <c r="BC124" i="1"/>
  <c r="AX125" i="1"/>
  <c r="AY125" i="1"/>
  <c r="AZ125" i="1"/>
  <c r="BB125" i="1"/>
  <c r="BC125" i="1"/>
  <c r="AX126" i="1"/>
  <c r="AY126" i="1"/>
  <c r="AZ126" i="1"/>
  <c r="BB126" i="1"/>
  <c r="BC126" i="1"/>
  <c r="AX127" i="1"/>
  <c r="AY127" i="1"/>
  <c r="AZ127" i="1"/>
  <c r="BB127" i="1"/>
  <c r="BC127" i="1"/>
  <c r="BC80" i="1"/>
  <c r="BB80" i="1"/>
  <c r="AZ80" i="1"/>
  <c r="AY80" i="1"/>
  <c r="AX80" i="1"/>
  <c r="E80" i="10"/>
  <c r="F80" i="10"/>
  <c r="G80" i="10"/>
  <c r="I80" i="10"/>
  <c r="J80" i="10"/>
  <c r="J76" i="10" s="1"/>
  <c r="K80" i="10"/>
  <c r="M80" i="10"/>
  <c r="N80" i="10"/>
  <c r="O80" i="10"/>
  <c r="Q80" i="10"/>
  <c r="R80" i="10"/>
  <c r="S80" i="10"/>
  <c r="D80" i="10"/>
  <c r="E77" i="10"/>
  <c r="F77" i="10"/>
  <c r="G77" i="10"/>
  <c r="I77" i="10"/>
  <c r="J77" i="10"/>
  <c r="K77" i="10"/>
  <c r="M77" i="10"/>
  <c r="N77" i="10"/>
  <c r="O77" i="10"/>
  <c r="Q77" i="10"/>
  <c r="R77" i="10"/>
  <c r="S77" i="10"/>
  <c r="D77" i="10"/>
  <c r="E70" i="10"/>
  <c r="F70" i="10"/>
  <c r="G70" i="10"/>
  <c r="I70" i="10"/>
  <c r="AZ66" i="1" s="1"/>
  <c r="J70" i="10"/>
  <c r="K70" i="10"/>
  <c r="L70" i="10"/>
  <c r="M70" i="10"/>
  <c r="O70" i="10"/>
  <c r="Q70" i="10"/>
  <c r="R70" i="10"/>
  <c r="S70" i="10"/>
  <c r="D70" i="10"/>
  <c r="AX66" i="1" s="1"/>
  <c r="E65" i="10"/>
  <c r="F65" i="10"/>
  <c r="G65" i="10"/>
  <c r="I65" i="10"/>
  <c r="AZ68" i="1" s="1"/>
  <c r="J65" i="10"/>
  <c r="K65" i="10"/>
  <c r="M65" i="10"/>
  <c r="O65" i="10"/>
  <c r="Q65" i="10"/>
  <c r="R65" i="10"/>
  <c r="S65" i="10"/>
  <c r="D65" i="10"/>
  <c r="AX68" i="1" s="1"/>
  <c r="E61" i="10"/>
  <c r="F61" i="10"/>
  <c r="G61" i="10"/>
  <c r="I61" i="10"/>
  <c r="AZ60" i="1" s="1"/>
  <c r="J61" i="10"/>
  <c r="K61" i="10"/>
  <c r="L61" i="10"/>
  <c r="M61" i="10"/>
  <c r="O61" i="10"/>
  <c r="Q61" i="10"/>
  <c r="R61" i="10"/>
  <c r="S61" i="10"/>
  <c r="D61" i="10"/>
  <c r="AX60" i="1" s="1"/>
  <c r="E53" i="10"/>
  <c r="F53" i="10"/>
  <c r="G53" i="10"/>
  <c r="I53" i="10"/>
  <c r="AZ70" i="1" s="1"/>
  <c r="J53" i="10"/>
  <c r="K53" i="10"/>
  <c r="M53" i="10"/>
  <c r="O53" i="10"/>
  <c r="Q53" i="10"/>
  <c r="R53" i="10"/>
  <c r="S53" i="10"/>
  <c r="D53" i="10"/>
  <c r="AX70" i="1" s="1"/>
  <c r="E50" i="10"/>
  <c r="F50" i="10"/>
  <c r="G50" i="10"/>
  <c r="I50" i="10"/>
  <c r="AZ65" i="1" s="1"/>
  <c r="J50" i="10"/>
  <c r="K50" i="10"/>
  <c r="L50" i="10"/>
  <c r="M50" i="10"/>
  <c r="N50" i="10"/>
  <c r="O50" i="10"/>
  <c r="Q50" i="10"/>
  <c r="R50" i="10"/>
  <c r="S50" i="10"/>
  <c r="D50" i="10"/>
  <c r="AX65" i="1" s="1"/>
  <c r="E44" i="10"/>
  <c r="F44" i="10"/>
  <c r="G44" i="10"/>
  <c r="I44" i="10"/>
  <c r="AZ78" i="1" s="1"/>
  <c r="J44" i="10"/>
  <c r="K44" i="10"/>
  <c r="M44" i="10"/>
  <c r="O44" i="10"/>
  <c r="Q44" i="10"/>
  <c r="R44" i="10"/>
  <c r="S44" i="10"/>
  <c r="D44" i="10"/>
  <c r="AX78" i="1" s="1"/>
  <c r="E39" i="10"/>
  <c r="F39" i="10"/>
  <c r="G39" i="10"/>
  <c r="I39" i="10"/>
  <c r="AZ75" i="1" s="1"/>
  <c r="J39" i="10"/>
  <c r="K39" i="10"/>
  <c r="L39" i="10"/>
  <c r="M39" i="10"/>
  <c r="O39" i="10"/>
  <c r="R39" i="10"/>
  <c r="S39" i="10"/>
  <c r="D39" i="10"/>
  <c r="AX75" i="1" s="1"/>
  <c r="E36" i="10"/>
  <c r="F36" i="10"/>
  <c r="G36" i="10"/>
  <c r="I36" i="10"/>
  <c r="AZ67" i="1" s="1"/>
  <c r="J36" i="10"/>
  <c r="K36" i="10"/>
  <c r="M36" i="10"/>
  <c r="R36" i="10"/>
  <c r="D36" i="10"/>
  <c r="AX67" i="1" s="1"/>
  <c r="E33" i="10"/>
  <c r="F33" i="10"/>
  <c r="G33" i="10"/>
  <c r="I33" i="10"/>
  <c r="AZ64" i="1" s="1"/>
  <c r="J33" i="10"/>
  <c r="K33" i="10"/>
  <c r="L33" i="10"/>
  <c r="M33" i="10"/>
  <c r="N33" i="10"/>
  <c r="O33" i="10"/>
  <c r="Q33" i="10"/>
  <c r="R33" i="10"/>
  <c r="S33" i="10"/>
  <c r="D33" i="10"/>
  <c r="AX64" i="1" s="1"/>
  <c r="E28" i="10"/>
  <c r="F28" i="10"/>
  <c r="G28" i="10"/>
  <c r="I28" i="10"/>
  <c r="AZ62" i="1" s="1"/>
  <c r="J28" i="10"/>
  <c r="K28" i="10"/>
  <c r="M28" i="10"/>
  <c r="Q28" i="10"/>
  <c r="R28" i="10"/>
  <c r="S28" i="10"/>
  <c r="D28" i="10"/>
  <c r="AX62" i="1" s="1"/>
  <c r="E20" i="10"/>
  <c r="F20" i="10"/>
  <c r="G20" i="10"/>
  <c r="J20" i="10"/>
  <c r="K20" i="10"/>
  <c r="L20" i="10"/>
  <c r="M20" i="10"/>
  <c r="N20" i="10"/>
  <c r="O20" i="10"/>
  <c r="Q20" i="10"/>
  <c r="R20" i="10"/>
  <c r="S20" i="10"/>
  <c r="D20" i="10"/>
  <c r="AX118" i="1" s="1"/>
  <c r="L33" i="14"/>
  <c r="H33" i="14"/>
  <c r="P33" i="14" s="1"/>
  <c r="S32" i="14"/>
  <c r="Q32" i="14"/>
  <c r="J32" i="14"/>
  <c r="I32" i="14"/>
  <c r="L31" i="14"/>
  <c r="H31" i="14"/>
  <c r="P31" i="14" s="1"/>
  <c r="T31" i="14" s="1"/>
  <c r="L30" i="14"/>
  <c r="H30" i="14"/>
  <c r="P30" i="14" s="1"/>
  <c r="T30" i="14" s="1"/>
  <c r="L29" i="14"/>
  <c r="H29" i="14"/>
  <c r="P29" i="14" s="1"/>
  <c r="T29" i="14" s="1"/>
  <c r="L28" i="14"/>
  <c r="L27" i="14" s="1"/>
  <c r="H28" i="14"/>
  <c r="P28" i="14" s="1"/>
  <c r="T28" i="14" s="1"/>
  <c r="T27" i="14" s="1"/>
  <c r="CA126" i="1" s="1"/>
  <c r="L26" i="14"/>
  <c r="H26" i="14"/>
  <c r="P26" i="14" s="1"/>
  <c r="L25" i="14"/>
  <c r="H25" i="14"/>
  <c r="P25" i="14" s="1"/>
  <c r="T25" i="14" s="1"/>
  <c r="L24" i="14"/>
  <c r="H24" i="14"/>
  <c r="P24" i="14" s="1"/>
  <c r="T24" i="14" s="1"/>
  <c r="L23" i="14"/>
  <c r="L22" i="14" s="1"/>
  <c r="H23" i="14"/>
  <c r="P23" i="14" s="1"/>
  <c r="P22" i="14" s="1"/>
  <c r="N21" i="14"/>
  <c r="J21" i="14"/>
  <c r="J20" i="14" s="1"/>
  <c r="J18" i="14" s="1"/>
  <c r="I21" i="14"/>
  <c r="O392" i="13"/>
  <c r="K392" i="13"/>
  <c r="G392" i="13"/>
  <c r="P391" i="13"/>
  <c r="R391" i="13" s="1"/>
  <c r="S391" i="13" s="1"/>
  <c r="K391" i="13"/>
  <c r="G391" i="13"/>
  <c r="P390" i="13"/>
  <c r="R390" i="13" s="1"/>
  <c r="S390" i="13" s="1"/>
  <c r="K390" i="13"/>
  <c r="G390" i="13"/>
  <c r="P389" i="13"/>
  <c r="R389" i="13" s="1"/>
  <c r="S389" i="13" s="1"/>
  <c r="K389" i="13"/>
  <c r="G389" i="13"/>
  <c r="P388" i="13"/>
  <c r="K388" i="13"/>
  <c r="K387" i="13" s="1"/>
  <c r="G388" i="13"/>
  <c r="G387" i="13" s="1"/>
  <c r="P386" i="13"/>
  <c r="K386" i="13"/>
  <c r="G386" i="13"/>
  <c r="P385" i="13"/>
  <c r="R385" i="13" s="1"/>
  <c r="S385" i="13" s="1"/>
  <c r="K385" i="13"/>
  <c r="G385" i="13"/>
  <c r="P384" i="13"/>
  <c r="R384" i="13" s="1"/>
  <c r="S384" i="13" s="1"/>
  <c r="K384" i="13"/>
  <c r="G384" i="13"/>
  <c r="P383" i="13"/>
  <c r="K383" i="13"/>
  <c r="K382" i="13" s="1"/>
  <c r="G383" i="13"/>
  <c r="G382" i="13" s="1"/>
  <c r="P381" i="13"/>
  <c r="R381" i="13" s="1"/>
  <c r="S381" i="13" s="1"/>
  <c r="K381" i="13"/>
  <c r="G381" i="13"/>
  <c r="P380" i="13"/>
  <c r="K380" i="13"/>
  <c r="K379" i="13" s="1"/>
  <c r="G380" i="13"/>
  <c r="G379" i="13" s="1"/>
  <c r="O378" i="13"/>
  <c r="S378" i="13" s="1"/>
  <c r="G378" i="13"/>
  <c r="O377" i="13"/>
  <c r="G377" i="13"/>
  <c r="P376" i="13"/>
  <c r="R376" i="13" s="1"/>
  <c r="S376" i="13" s="1"/>
  <c r="K376" i="13"/>
  <c r="G376" i="13"/>
  <c r="P375" i="13"/>
  <c r="K375" i="13"/>
  <c r="K374" i="13" s="1"/>
  <c r="G375" i="13"/>
  <c r="G374" i="13" s="1"/>
  <c r="P373" i="13"/>
  <c r="R373" i="13" s="1"/>
  <c r="S373" i="13" s="1"/>
  <c r="K373" i="13"/>
  <c r="G373" i="13"/>
  <c r="P372" i="13"/>
  <c r="R372" i="13" s="1"/>
  <c r="S372" i="13" s="1"/>
  <c r="K372" i="13"/>
  <c r="G372" i="13"/>
  <c r="P371" i="13"/>
  <c r="K371" i="13"/>
  <c r="K370" i="13" s="1"/>
  <c r="G371" i="13"/>
  <c r="G370" i="13" s="1"/>
  <c r="P369" i="13"/>
  <c r="R369" i="13" s="1"/>
  <c r="S369" i="13" s="1"/>
  <c r="K369" i="13"/>
  <c r="G369" i="13"/>
  <c r="P368" i="13"/>
  <c r="K368" i="13"/>
  <c r="K367" i="13" s="1"/>
  <c r="G368" i="13"/>
  <c r="G367" i="13" s="1"/>
  <c r="O366" i="13"/>
  <c r="K366" i="13"/>
  <c r="G366" i="13"/>
  <c r="P365" i="13"/>
  <c r="R365" i="13" s="1"/>
  <c r="S365" i="13" s="1"/>
  <c r="K365" i="13"/>
  <c r="G365" i="13"/>
  <c r="K364" i="13"/>
  <c r="K363" i="13" s="1"/>
  <c r="I364" i="13"/>
  <c r="P362" i="13"/>
  <c r="R362" i="13" s="1"/>
  <c r="S362" i="13" s="1"/>
  <c r="K362" i="13"/>
  <c r="G362" i="13"/>
  <c r="P361" i="13"/>
  <c r="K361" i="13"/>
  <c r="K360" i="13" s="1"/>
  <c r="G361" i="13"/>
  <c r="G360" i="13" s="1"/>
  <c r="P359" i="13"/>
  <c r="R359" i="13" s="1"/>
  <c r="S359" i="13" s="1"/>
  <c r="K359" i="13"/>
  <c r="G359" i="13"/>
  <c r="P358" i="13"/>
  <c r="K358" i="13"/>
  <c r="G358" i="13"/>
  <c r="O357" i="13"/>
  <c r="S357" i="13" s="1"/>
  <c r="K357" i="13"/>
  <c r="G357" i="13"/>
  <c r="O356" i="13"/>
  <c r="O355" i="13" s="1"/>
  <c r="K356" i="13"/>
  <c r="K355" i="13" s="1"/>
  <c r="G356" i="13"/>
  <c r="G355" i="13" s="1"/>
  <c r="H354" i="13"/>
  <c r="P353" i="13"/>
  <c r="R353" i="13" s="1"/>
  <c r="S353" i="13" s="1"/>
  <c r="K353" i="13"/>
  <c r="G353" i="13"/>
  <c r="P352" i="13"/>
  <c r="R352" i="13" s="1"/>
  <c r="S352" i="13" s="1"/>
  <c r="K352" i="13"/>
  <c r="G352" i="13"/>
  <c r="P351" i="13"/>
  <c r="R351" i="13" s="1"/>
  <c r="S351" i="13" s="1"/>
  <c r="K351" i="13"/>
  <c r="G351" i="13"/>
  <c r="P350" i="13"/>
  <c r="R350" i="13" s="1"/>
  <c r="S350" i="13" s="1"/>
  <c r="K350" i="13"/>
  <c r="G350" i="13"/>
  <c r="P349" i="13"/>
  <c r="K349" i="13"/>
  <c r="K348" i="13" s="1"/>
  <c r="G349" i="13"/>
  <c r="G348" i="13" s="1"/>
  <c r="P347" i="13"/>
  <c r="R347" i="13" s="1"/>
  <c r="S347" i="13" s="1"/>
  <c r="K347" i="13"/>
  <c r="G347" i="13"/>
  <c r="P346" i="13"/>
  <c r="R346" i="13" s="1"/>
  <c r="S346" i="13" s="1"/>
  <c r="K346" i="13"/>
  <c r="G346" i="13"/>
  <c r="P345" i="13"/>
  <c r="K345" i="13"/>
  <c r="K344" i="13" s="1"/>
  <c r="G345" i="13"/>
  <c r="G344" i="13" s="1"/>
  <c r="P343" i="13"/>
  <c r="R343" i="13" s="1"/>
  <c r="S343" i="13" s="1"/>
  <c r="K343" i="13"/>
  <c r="G343" i="13"/>
  <c r="P342" i="13"/>
  <c r="R342" i="13" s="1"/>
  <c r="S342" i="13" s="1"/>
  <c r="K342" i="13"/>
  <c r="G342" i="13"/>
  <c r="P341" i="13"/>
  <c r="R341" i="13" s="1"/>
  <c r="S341" i="13" s="1"/>
  <c r="K341" i="13"/>
  <c r="G341" i="13"/>
  <c r="P340" i="13"/>
  <c r="K340" i="13"/>
  <c r="K339" i="13" s="1"/>
  <c r="G340" i="13"/>
  <c r="G339" i="13" s="1"/>
  <c r="P338" i="13"/>
  <c r="K338" i="13"/>
  <c r="G338" i="13"/>
  <c r="P337" i="13"/>
  <c r="R337" i="13" s="1"/>
  <c r="S337" i="13" s="1"/>
  <c r="K337" i="13"/>
  <c r="G337" i="13"/>
  <c r="P336" i="13"/>
  <c r="K336" i="13"/>
  <c r="K335" i="13" s="1"/>
  <c r="G336" i="13"/>
  <c r="G335" i="13" s="1"/>
  <c r="P334" i="13"/>
  <c r="R334" i="13" s="1"/>
  <c r="S334" i="13" s="1"/>
  <c r="K334" i="13"/>
  <c r="G334" i="13"/>
  <c r="P333" i="13"/>
  <c r="R333" i="13" s="1"/>
  <c r="S333" i="13" s="1"/>
  <c r="K333" i="13"/>
  <c r="G333" i="13"/>
  <c r="P332" i="13"/>
  <c r="K332" i="13"/>
  <c r="K331" i="13" s="1"/>
  <c r="G332" i="13"/>
  <c r="G331" i="13" s="1"/>
  <c r="P330" i="13"/>
  <c r="R330" i="13" s="1"/>
  <c r="S330" i="13" s="1"/>
  <c r="K330" i="13"/>
  <c r="G330" i="13"/>
  <c r="P329" i="13"/>
  <c r="R329" i="13" s="1"/>
  <c r="S329" i="13" s="1"/>
  <c r="K329" i="13"/>
  <c r="G329" i="13"/>
  <c r="P328" i="13"/>
  <c r="K328" i="13"/>
  <c r="K327" i="13" s="1"/>
  <c r="G328" i="13"/>
  <c r="G327" i="13" s="1"/>
  <c r="P326" i="13"/>
  <c r="R326" i="13" s="1"/>
  <c r="S326" i="13" s="1"/>
  <c r="K326" i="13"/>
  <c r="G326" i="13"/>
  <c r="P325" i="13"/>
  <c r="R325" i="13" s="1"/>
  <c r="S325" i="13" s="1"/>
  <c r="K325" i="13"/>
  <c r="G325" i="13"/>
  <c r="P324" i="13"/>
  <c r="R324" i="13" s="1"/>
  <c r="S324" i="13" s="1"/>
  <c r="K324" i="13"/>
  <c r="G324" i="13"/>
  <c r="P323" i="13"/>
  <c r="R323" i="13" s="1"/>
  <c r="S323" i="13" s="1"/>
  <c r="K323" i="13"/>
  <c r="G323" i="13"/>
  <c r="P322" i="13"/>
  <c r="R322" i="13" s="1"/>
  <c r="S322" i="13" s="1"/>
  <c r="K322" i="13"/>
  <c r="G322" i="13"/>
  <c r="P321" i="13"/>
  <c r="K321" i="13"/>
  <c r="K320" i="13" s="1"/>
  <c r="G321" i="13"/>
  <c r="G320" i="13" s="1"/>
  <c r="O319" i="13"/>
  <c r="G319" i="13"/>
  <c r="P318" i="13"/>
  <c r="R318" i="13" s="1"/>
  <c r="S318" i="13" s="1"/>
  <c r="K318" i="13"/>
  <c r="G318" i="13"/>
  <c r="P317" i="13"/>
  <c r="K317" i="13"/>
  <c r="K316" i="13" s="1"/>
  <c r="G317" i="13"/>
  <c r="G316" i="13" s="1"/>
  <c r="O315" i="13"/>
  <c r="I315" i="13"/>
  <c r="H315" i="13"/>
  <c r="P314" i="13"/>
  <c r="K314" i="13"/>
  <c r="G314" i="13"/>
  <c r="P313" i="13"/>
  <c r="R313" i="13" s="1"/>
  <c r="S313" i="13" s="1"/>
  <c r="K313" i="13"/>
  <c r="G313" i="13"/>
  <c r="P312" i="13"/>
  <c r="R312" i="13" s="1"/>
  <c r="S312" i="13" s="1"/>
  <c r="S311" i="13" s="1"/>
  <c r="K312" i="13"/>
  <c r="K311" i="13" s="1"/>
  <c r="G312" i="13"/>
  <c r="G311" i="13" s="1"/>
  <c r="P310" i="13"/>
  <c r="R310" i="13" s="1"/>
  <c r="S310" i="13" s="1"/>
  <c r="K310" i="13"/>
  <c r="G310" i="13"/>
  <c r="P309" i="13"/>
  <c r="R309" i="13" s="1"/>
  <c r="S309" i="13" s="1"/>
  <c r="K309" i="13"/>
  <c r="G309" i="13"/>
  <c r="P308" i="13"/>
  <c r="R308" i="13" s="1"/>
  <c r="S308" i="13" s="1"/>
  <c r="K308" i="13"/>
  <c r="G308" i="13"/>
  <c r="P307" i="13"/>
  <c r="R307" i="13" s="1"/>
  <c r="S307" i="13" s="1"/>
  <c r="K307" i="13"/>
  <c r="G307" i="13"/>
  <c r="P306" i="13"/>
  <c r="R306" i="13" s="1"/>
  <c r="S306" i="13" s="1"/>
  <c r="S305" i="13" s="1"/>
  <c r="K306" i="13"/>
  <c r="K305" i="13" s="1"/>
  <c r="G306" i="13"/>
  <c r="G305" i="13" s="1"/>
  <c r="P304" i="13"/>
  <c r="R304" i="13" s="1"/>
  <c r="S304" i="13" s="1"/>
  <c r="G304" i="13"/>
  <c r="P303" i="13"/>
  <c r="R303" i="13" s="1"/>
  <c r="S303" i="13" s="1"/>
  <c r="K303" i="13"/>
  <c r="G303" i="13"/>
  <c r="P302" i="13"/>
  <c r="K302" i="13"/>
  <c r="G302" i="13"/>
  <c r="P301" i="13"/>
  <c r="R301" i="13" s="1"/>
  <c r="S301" i="13" s="1"/>
  <c r="K301" i="13"/>
  <c r="K300" i="13" s="1"/>
  <c r="G301" i="13"/>
  <c r="G300" i="13" s="1"/>
  <c r="P299" i="13"/>
  <c r="R299" i="13" s="1"/>
  <c r="K299" i="13"/>
  <c r="G299" i="13"/>
  <c r="P298" i="13"/>
  <c r="R298" i="13" s="1"/>
  <c r="S298" i="13" s="1"/>
  <c r="K298" i="13"/>
  <c r="G298" i="13"/>
  <c r="P297" i="13"/>
  <c r="K297" i="13"/>
  <c r="K296" i="13" s="1"/>
  <c r="G297" i="13"/>
  <c r="G296" i="13" s="1"/>
  <c r="M295" i="13"/>
  <c r="I295" i="13"/>
  <c r="H295" i="13"/>
  <c r="P294" i="13"/>
  <c r="R294" i="13" s="1"/>
  <c r="S294" i="13" s="1"/>
  <c r="K294" i="13"/>
  <c r="G294" i="13"/>
  <c r="P293" i="13"/>
  <c r="R293" i="13" s="1"/>
  <c r="S293" i="13" s="1"/>
  <c r="S292" i="13" s="1"/>
  <c r="K293" i="13"/>
  <c r="K292" i="13" s="1"/>
  <c r="G293" i="13"/>
  <c r="G292" i="13" s="1"/>
  <c r="P291" i="13"/>
  <c r="K291" i="13"/>
  <c r="G291" i="13"/>
  <c r="O290" i="13"/>
  <c r="S290" i="13" s="1"/>
  <c r="K290" i="13"/>
  <c r="G290" i="13"/>
  <c r="P289" i="13"/>
  <c r="R289" i="13" s="1"/>
  <c r="S289" i="13" s="1"/>
  <c r="K289" i="13"/>
  <c r="G289" i="13"/>
  <c r="P288" i="13"/>
  <c r="R288" i="13" s="1"/>
  <c r="S288" i="13" s="1"/>
  <c r="K288" i="13"/>
  <c r="G288" i="13"/>
  <c r="P287" i="13"/>
  <c r="R287" i="13" s="1"/>
  <c r="S287" i="13" s="1"/>
  <c r="K287" i="13"/>
  <c r="G287" i="13"/>
  <c r="P286" i="13"/>
  <c r="R286" i="13" s="1"/>
  <c r="S286" i="13" s="1"/>
  <c r="S285" i="13" s="1"/>
  <c r="K286" i="13"/>
  <c r="K285" i="13" s="1"/>
  <c r="G286" i="13"/>
  <c r="G285" i="13" s="1"/>
  <c r="P284" i="13"/>
  <c r="K284" i="13"/>
  <c r="G284" i="13"/>
  <c r="P283" i="13"/>
  <c r="K283" i="13"/>
  <c r="G283" i="13"/>
  <c r="P282" i="13"/>
  <c r="R282" i="13" s="1"/>
  <c r="S282" i="13" s="1"/>
  <c r="K282" i="13"/>
  <c r="G282" i="13"/>
  <c r="P281" i="13"/>
  <c r="R281" i="13" s="1"/>
  <c r="S281" i="13" s="1"/>
  <c r="K281" i="13"/>
  <c r="G281" i="13"/>
  <c r="P280" i="13"/>
  <c r="R280" i="13" s="1"/>
  <c r="S280" i="13" s="1"/>
  <c r="K280" i="13"/>
  <c r="G280" i="13"/>
  <c r="P279" i="13"/>
  <c r="R279" i="13" s="1"/>
  <c r="S279" i="13" s="1"/>
  <c r="K279" i="13"/>
  <c r="G279" i="13"/>
  <c r="G278" i="13" s="1"/>
  <c r="P277" i="13"/>
  <c r="K277" i="13"/>
  <c r="G277" i="13"/>
  <c r="M276" i="13"/>
  <c r="H276" i="13"/>
  <c r="P275" i="13"/>
  <c r="R275" i="13" s="1"/>
  <c r="S275" i="13" s="1"/>
  <c r="K275" i="13"/>
  <c r="G275" i="13"/>
  <c r="O274" i="13"/>
  <c r="S274" i="13" s="1"/>
  <c r="K274" i="13"/>
  <c r="G274" i="13"/>
  <c r="O273" i="13"/>
  <c r="S273" i="13" s="1"/>
  <c r="K273" i="13"/>
  <c r="G273" i="13"/>
  <c r="O272" i="13"/>
  <c r="S272" i="13" s="1"/>
  <c r="K272" i="13"/>
  <c r="G272" i="13"/>
  <c r="P271" i="13"/>
  <c r="R271" i="13" s="1"/>
  <c r="S271" i="13" s="1"/>
  <c r="S270" i="13" s="1"/>
  <c r="K271" i="13"/>
  <c r="K270" i="13" s="1"/>
  <c r="G271" i="13"/>
  <c r="G270" i="13" s="1"/>
  <c r="P269" i="13"/>
  <c r="R269" i="13" s="1"/>
  <c r="S269" i="13" s="1"/>
  <c r="K269" i="13"/>
  <c r="G269" i="13"/>
  <c r="P268" i="13"/>
  <c r="R268" i="13" s="1"/>
  <c r="S268" i="13" s="1"/>
  <c r="K268" i="13"/>
  <c r="G268" i="13"/>
  <c r="O267" i="13"/>
  <c r="S267" i="13" s="1"/>
  <c r="M267" i="13"/>
  <c r="K267" i="13"/>
  <c r="G267" i="13"/>
  <c r="P266" i="13"/>
  <c r="R266" i="13" s="1"/>
  <c r="S266" i="13" s="1"/>
  <c r="K266" i="13"/>
  <c r="G266" i="13"/>
  <c r="O265" i="13"/>
  <c r="S265" i="13" s="1"/>
  <c r="M265" i="13"/>
  <c r="M262" i="13" s="1"/>
  <c r="K265" i="13"/>
  <c r="G265" i="13"/>
  <c r="O264" i="13"/>
  <c r="S264" i="13" s="1"/>
  <c r="K264" i="13"/>
  <c r="G264" i="13"/>
  <c r="P263" i="13"/>
  <c r="R263" i="13" s="1"/>
  <c r="S263" i="13" s="1"/>
  <c r="S262" i="13" s="1"/>
  <c r="K263" i="13"/>
  <c r="K262" i="13" s="1"/>
  <c r="G263" i="13"/>
  <c r="G262" i="13" s="1"/>
  <c r="P261" i="13"/>
  <c r="K261" i="13"/>
  <c r="G261" i="13"/>
  <c r="P260" i="13"/>
  <c r="R260" i="13" s="1"/>
  <c r="S260" i="13" s="1"/>
  <c r="K260" i="13"/>
  <c r="G260" i="13"/>
  <c r="P259" i="13"/>
  <c r="R259" i="13" s="1"/>
  <c r="S259" i="13" s="1"/>
  <c r="K259" i="13"/>
  <c r="G259" i="13"/>
  <c r="P258" i="13"/>
  <c r="R258" i="13" s="1"/>
  <c r="S258" i="13" s="1"/>
  <c r="K258" i="13"/>
  <c r="G258" i="13"/>
  <c r="P257" i="13"/>
  <c r="R257" i="13" s="1"/>
  <c r="S257" i="13" s="1"/>
  <c r="K257" i="13"/>
  <c r="K256" i="13" s="1"/>
  <c r="G257" i="13"/>
  <c r="G256" i="13" s="1"/>
  <c r="P255" i="13"/>
  <c r="R255" i="13" s="1"/>
  <c r="S255" i="13" s="1"/>
  <c r="G255" i="13"/>
  <c r="P254" i="13"/>
  <c r="R254" i="13" s="1"/>
  <c r="S254" i="13" s="1"/>
  <c r="K254" i="13"/>
  <c r="G254" i="13"/>
  <c r="P253" i="13"/>
  <c r="R253" i="13" s="1"/>
  <c r="S253" i="13" s="1"/>
  <c r="G253" i="13"/>
  <c r="P252" i="13"/>
  <c r="R252" i="13" s="1"/>
  <c r="S252" i="13" s="1"/>
  <c r="K252" i="13"/>
  <c r="G252" i="13"/>
  <c r="P251" i="13"/>
  <c r="R251" i="13" s="1"/>
  <c r="S251" i="13" s="1"/>
  <c r="G251" i="13"/>
  <c r="P250" i="13"/>
  <c r="R250" i="13" s="1"/>
  <c r="S250" i="13" s="1"/>
  <c r="K250" i="13"/>
  <c r="G250" i="13"/>
  <c r="P249" i="13"/>
  <c r="R249" i="13" s="1"/>
  <c r="S249" i="13" s="1"/>
  <c r="K249" i="13"/>
  <c r="G249" i="13"/>
  <c r="P248" i="13"/>
  <c r="R248" i="13" s="1"/>
  <c r="S248" i="13" s="1"/>
  <c r="S247" i="13" s="1"/>
  <c r="K248" i="13"/>
  <c r="K247" i="13" s="1"/>
  <c r="G248" i="13"/>
  <c r="G247" i="13" s="1"/>
  <c r="P246" i="13"/>
  <c r="R246" i="13" s="1"/>
  <c r="S246" i="13" s="1"/>
  <c r="K246" i="13"/>
  <c r="G246" i="13"/>
  <c r="O245" i="13"/>
  <c r="S245" i="13" s="1"/>
  <c r="M245" i="13"/>
  <c r="K245" i="13"/>
  <c r="G245" i="13"/>
  <c r="P244" i="13"/>
  <c r="R244" i="13" s="1"/>
  <c r="S244" i="13" s="1"/>
  <c r="K244" i="13"/>
  <c r="G244" i="13"/>
  <c r="P243" i="13"/>
  <c r="R243" i="13" s="1"/>
  <c r="S243" i="13" s="1"/>
  <c r="K243" i="13"/>
  <c r="G243" i="13"/>
  <c r="R242" i="13"/>
  <c r="O242" i="13"/>
  <c r="M242" i="13"/>
  <c r="K242" i="13"/>
  <c r="G242" i="13"/>
  <c r="P241" i="13"/>
  <c r="R241" i="13" s="1"/>
  <c r="S241" i="13" s="1"/>
  <c r="K241" i="13"/>
  <c r="G241" i="13"/>
  <c r="O240" i="13"/>
  <c r="S240" i="13" s="1"/>
  <c r="M240" i="13"/>
  <c r="K240" i="13"/>
  <c r="G240" i="13"/>
  <c r="O239" i="13"/>
  <c r="S239" i="13" s="1"/>
  <c r="M239" i="13"/>
  <c r="M234" i="13" s="1"/>
  <c r="K239" i="13"/>
  <c r="G239" i="13"/>
  <c r="O238" i="13"/>
  <c r="K238" i="13"/>
  <c r="G238" i="13"/>
  <c r="O237" i="13"/>
  <c r="S237" i="13" s="1"/>
  <c r="K237" i="13"/>
  <c r="G237" i="13"/>
  <c r="P236" i="13"/>
  <c r="R236" i="13" s="1"/>
  <c r="S236" i="13" s="1"/>
  <c r="K236" i="13"/>
  <c r="G236" i="13"/>
  <c r="P235" i="13"/>
  <c r="R235" i="13" s="1"/>
  <c r="S235" i="13" s="1"/>
  <c r="K235" i="13"/>
  <c r="K234" i="13" s="1"/>
  <c r="G235" i="13"/>
  <c r="G234" i="13" s="1"/>
  <c r="P233" i="13"/>
  <c r="R233" i="13" s="1"/>
  <c r="S233" i="13" s="1"/>
  <c r="K233" i="13"/>
  <c r="G233" i="13"/>
  <c r="P232" i="13"/>
  <c r="R232" i="13" s="1"/>
  <c r="S232" i="13" s="1"/>
  <c r="K232" i="13"/>
  <c r="G232" i="13"/>
  <c r="P231" i="13"/>
  <c r="R231" i="13" s="1"/>
  <c r="S231" i="13" s="1"/>
  <c r="S230" i="13" s="1"/>
  <c r="K231" i="13"/>
  <c r="K230" i="13" s="1"/>
  <c r="G231" i="13"/>
  <c r="G230" i="13" s="1"/>
  <c r="P229" i="13"/>
  <c r="R229" i="13" s="1"/>
  <c r="S229" i="13" s="1"/>
  <c r="K229" i="13"/>
  <c r="G229" i="13"/>
  <c r="P228" i="13"/>
  <c r="P227" i="13" s="1"/>
  <c r="BT88" i="1" s="1"/>
  <c r="K228" i="13"/>
  <c r="K227" i="13" s="1"/>
  <c r="G228" i="13"/>
  <c r="G227" i="13" s="1"/>
  <c r="P224" i="13"/>
  <c r="R224" i="13" s="1"/>
  <c r="S224" i="13" s="1"/>
  <c r="K224" i="13"/>
  <c r="G224" i="13"/>
  <c r="P223" i="13"/>
  <c r="R223" i="13" s="1"/>
  <c r="S223" i="13" s="1"/>
  <c r="K223" i="13"/>
  <c r="G223" i="13"/>
  <c r="P222" i="13"/>
  <c r="R222" i="13" s="1"/>
  <c r="S222" i="13" s="1"/>
  <c r="S221" i="13" s="1"/>
  <c r="K222" i="13"/>
  <c r="K221" i="13" s="1"/>
  <c r="G222" i="13"/>
  <c r="G221" i="13" s="1"/>
  <c r="P220" i="13"/>
  <c r="R220" i="13" s="1"/>
  <c r="S220" i="13" s="1"/>
  <c r="K220" i="13"/>
  <c r="G220" i="13"/>
  <c r="P219" i="13"/>
  <c r="R219" i="13" s="1"/>
  <c r="S219" i="13" s="1"/>
  <c r="K219" i="13"/>
  <c r="G219" i="13"/>
  <c r="P218" i="13"/>
  <c r="R218" i="13" s="1"/>
  <c r="S218" i="13" s="1"/>
  <c r="K218" i="13"/>
  <c r="G218" i="13"/>
  <c r="P217" i="13"/>
  <c r="R217" i="13" s="1"/>
  <c r="S217" i="13" s="1"/>
  <c r="S216" i="13" s="1"/>
  <c r="K217" i="13"/>
  <c r="K216" i="13" s="1"/>
  <c r="G217" i="13"/>
  <c r="G216" i="13" s="1"/>
  <c r="P215" i="13"/>
  <c r="R215" i="13" s="1"/>
  <c r="S215" i="13" s="1"/>
  <c r="K215" i="13"/>
  <c r="G215" i="13"/>
  <c r="P214" i="13"/>
  <c r="R214" i="13" s="1"/>
  <c r="S214" i="13" s="1"/>
  <c r="K214" i="13"/>
  <c r="G214" i="13"/>
  <c r="P213" i="13"/>
  <c r="R213" i="13" s="1"/>
  <c r="S213" i="13" s="1"/>
  <c r="K213" i="13"/>
  <c r="G213" i="13"/>
  <c r="P212" i="13"/>
  <c r="R212" i="13" s="1"/>
  <c r="S212" i="13" s="1"/>
  <c r="S211" i="13" s="1"/>
  <c r="K212" i="13"/>
  <c r="K211" i="13" s="1"/>
  <c r="G212" i="13"/>
  <c r="G211" i="13" s="1"/>
  <c r="P210" i="13"/>
  <c r="R210" i="13" s="1"/>
  <c r="S210" i="13" s="1"/>
  <c r="K210" i="13"/>
  <c r="G210" i="13"/>
  <c r="P209" i="13"/>
  <c r="R209" i="13" s="1"/>
  <c r="S209" i="13" s="1"/>
  <c r="K209" i="13"/>
  <c r="G209" i="13"/>
  <c r="P208" i="13"/>
  <c r="R208" i="13" s="1"/>
  <c r="S208" i="13" s="1"/>
  <c r="K208" i="13"/>
  <c r="G208" i="13"/>
  <c r="P207" i="13"/>
  <c r="R207" i="13" s="1"/>
  <c r="S207" i="13" s="1"/>
  <c r="K207" i="13"/>
  <c r="G207" i="13"/>
  <c r="P206" i="13"/>
  <c r="R206" i="13" s="1"/>
  <c r="S206" i="13" s="1"/>
  <c r="K206" i="13"/>
  <c r="G206" i="13"/>
  <c r="P205" i="13"/>
  <c r="R205" i="13" s="1"/>
  <c r="S205" i="13" s="1"/>
  <c r="S204" i="13" s="1"/>
  <c r="K205" i="13"/>
  <c r="K204" i="13" s="1"/>
  <c r="G205" i="13"/>
  <c r="G204" i="13" s="1"/>
  <c r="P203" i="13"/>
  <c r="R203" i="13" s="1"/>
  <c r="S203" i="13" s="1"/>
  <c r="K203" i="13"/>
  <c r="G203" i="13"/>
  <c r="P202" i="13"/>
  <c r="R202" i="13" s="1"/>
  <c r="S202" i="13" s="1"/>
  <c r="K202" i="13"/>
  <c r="G202" i="13"/>
  <c r="P201" i="13"/>
  <c r="R201" i="13" s="1"/>
  <c r="S201" i="13" s="1"/>
  <c r="S200" i="13" s="1"/>
  <c r="K201" i="13"/>
  <c r="K200" i="13" s="1"/>
  <c r="G201" i="13"/>
  <c r="G200" i="13" s="1"/>
  <c r="P199" i="13"/>
  <c r="R199" i="13" s="1"/>
  <c r="S199" i="13" s="1"/>
  <c r="K199" i="13"/>
  <c r="G199" i="13"/>
  <c r="P198" i="13"/>
  <c r="R198" i="13" s="1"/>
  <c r="S198" i="13" s="1"/>
  <c r="K198" i="13"/>
  <c r="G198" i="13"/>
  <c r="P197" i="13"/>
  <c r="R197" i="13" s="1"/>
  <c r="S197" i="13" s="1"/>
  <c r="K197" i="13"/>
  <c r="G197" i="13"/>
  <c r="P196" i="13"/>
  <c r="R196" i="13" s="1"/>
  <c r="S196" i="13" s="1"/>
  <c r="K196" i="13"/>
  <c r="G196" i="13"/>
  <c r="P195" i="13"/>
  <c r="R195" i="13" s="1"/>
  <c r="S195" i="13" s="1"/>
  <c r="K195" i="13"/>
  <c r="G195" i="13"/>
  <c r="P194" i="13"/>
  <c r="R194" i="13" s="1"/>
  <c r="S194" i="13" s="1"/>
  <c r="K194" i="13"/>
  <c r="G194" i="13"/>
  <c r="P193" i="13"/>
  <c r="K193" i="13"/>
  <c r="K192" i="13" s="1"/>
  <c r="G193" i="13"/>
  <c r="G192" i="13" s="1"/>
  <c r="P191" i="13"/>
  <c r="R191" i="13" s="1"/>
  <c r="S191" i="13" s="1"/>
  <c r="K191" i="13"/>
  <c r="G191" i="13"/>
  <c r="P190" i="13"/>
  <c r="R190" i="13" s="1"/>
  <c r="S190" i="13" s="1"/>
  <c r="S189" i="13" s="1"/>
  <c r="K190" i="13"/>
  <c r="K189" i="13" s="1"/>
  <c r="G190" i="13"/>
  <c r="G189" i="13" s="1"/>
  <c r="O188" i="13"/>
  <c r="S188" i="13" s="1"/>
  <c r="M188" i="13"/>
  <c r="M182" i="13" s="1"/>
  <c r="K188" i="13"/>
  <c r="G188" i="13"/>
  <c r="P187" i="13"/>
  <c r="R187" i="13" s="1"/>
  <c r="S187" i="13" s="1"/>
  <c r="K187" i="13"/>
  <c r="G187" i="13"/>
  <c r="P186" i="13"/>
  <c r="K186" i="13"/>
  <c r="G186" i="13"/>
  <c r="P185" i="13"/>
  <c r="R185" i="13" s="1"/>
  <c r="S185" i="13" s="1"/>
  <c r="K185" i="13"/>
  <c r="G185" i="13"/>
  <c r="P184" i="13"/>
  <c r="R184" i="13" s="1"/>
  <c r="S184" i="13" s="1"/>
  <c r="K184" i="13"/>
  <c r="G184" i="13"/>
  <c r="P183" i="13"/>
  <c r="R183" i="13" s="1"/>
  <c r="S183" i="13" s="1"/>
  <c r="K183" i="13"/>
  <c r="K182" i="13" s="1"/>
  <c r="G183" i="13"/>
  <c r="G182" i="13" s="1"/>
  <c r="P181" i="13"/>
  <c r="R181" i="13" s="1"/>
  <c r="S181" i="13" s="1"/>
  <c r="K181" i="13"/>
  <c r="G181" i="13"/>
  <c r="P180" i="13"/>
  <c r="R180" i="13" s="1"/>
  <c r="S180" i="13" s="1"/>
  <c r="S179" i="13" s="1"/>
  <c r="K180" i="13"/>
  <c r="K179" i="13" s="1"/>
  <c r="G180" i="13"/>
  <c r="G179" i="13" s="1"/>
  <c r="P178" i="13"/>
  <c r="R178" i="13" s="1"/>
  <c r="S178" i="13" s="1"/>
  <c r="K178" i="13"/>
  <c r="G178" i="13"/>
  <c r="O177" i="13"/>
  <c r="S177" i="13" s="1"/>
  <c r="K177" i="13"/>
  <c r="G177" i="13"/>
  <c r="O176" i="13"/>
  <c r="S176" i="13" s="1"/>
  <c r="M176" i="13"/>
  <c r="K176" i="13"/>
  <c r="G176" i="13"/>
  <c r="P175" i="13"/>
  <c r="R175" i="13" s="1"/>
  <c r="S175" i="13" s="1"/>
  <c r="K175" i="13"/>
  <c r="G175" i="13"/>
  <c r="P174" i="13"/>
  <c r="R174" i="13" s="1"/>
  <c r="S174" i="13" s="1"/>
  <c r="K174" i="13"/>
  <c r="G174" i="13"/>
  <c r="P173" i="13"/>
  <c r="R173" i="13" s="1"/>
  <c r="R172" i="13" s="1"/>
  <c r="BU99" i="1" s="1"/>
  <c r="K173" i="13"/>
  <c r="K172" i="13" s="1"/>
  <c r="G173" i="13"/>
  <c r="G172" i="13" s="1"/>
  <c r="I171" i="13"/>
  <c r="K170" i="13"/>
  <c r="P168" i="13"/>
  <c r="K168" i="13"/>
  <c r="G168" i="13"/>
  <c r="O167" i="13"/>
  <c r="O165" i="13" s="1"/>
  <c r="K167" i="13"/>
  <c r="G167" i="13"/>
  <c r="P166" i="13"/>
  <c r="R166" i="13" s="1"/>
  <c r="S166" i="13" s="1"/>
  <c r="K166" i="13"/>
  <c r="K165" i="13" s="1"/>
  <c r="G166" i="13"/>
  <c r="G165" i="13" s="1"/>
  <c r="P164" i="13"/>
  <c r="K164" i="13"/>
  <c r="G164" i="13"/>
  <c r="P163" i="13"/>
  <c r="K163" i="13"/>
  <c r="G163" i="13"/>
  <c r="P162" i="13"/>
  <c r="K162" i="13"/>
  <c r="G162" i="13"/>
  <c r="P161" i="13"/>
  <c r="R161" i="13" s="1"/>
  <c r="S161" i="13" s="1"/>
  <c r="K161" i="13"/>
  <c r="G161" i="13"/>
  <c r="P160" i="13"/>
  <c r="R160" i="13" s="1"/>
  <c r="S160" i="13" s="1"/>
  <c r="S159" i="13" s="1"/>
  <c r="K160" i="13"/>
  <c r="G160" i="13"/>
  <c r="G159" i="13" s="1"/>
  <c r="P158" i="13"/>
  <c r="K158" i="13"/>
  <c r="G158" i="13"/>
  <c r="P157" i="13"/>
  <c r="K157" i="13"/>
  <c r="G157" i="13"/>
  <c r="P156" i="13"/>
  <c r="R156" i="13" s="1"/>
  <c r="S156" i="13" s="1"/>
  <c r="K156" i="13"/>
  <c r="G156" i="13"/>
  <c r="P155" i="13"/>
  <c r="K155" i="13"/>
  <c r="G155" i="13"/>
  <c r="K154" i="13"/>
  <c r="I154" i="13"/>
  <c r="G154" i="13" s="1"/>
  <c r="P153" i="13"/>
  <c r="R153" i="13" s="1"/>
  <c r="S153" i="13" s="1"/>
  <c r="K153" i="13"/>
  <c r="K152" i="13" s="1"/>
  <c r="G153" i="13"/>
  <c r="G152" i="13" s="1"/>
  <c r="P151" i="13"/>
  <c r="R151" i="13" s="1"/>
  <c r="S151" i="13" s="1"/>
  <c r="G151" i="13"/>
  <c r="P150" i="13"/>
  <c r="R150" i="13" s="1"/>
  <c r="S150" i="13" s="1"/>
  <c r="S149" i="13" s="1"/>
  <c r="K150" i="13"/>
  <c r="K149" i="13" s="1"/>
  <c r="G150" i="13"/>
  <c r="G149" i="13" s="1"/>
  <c r="P148" i="13"/>
  <c r="K148" i="13"/>
  <c r="G148" i="13"/>
  <c r="P147" i="13"/>
  <c r="R147" i="13" s="1"/>
  <c r="S147" i="13" s="1"/>
  <c r="K147" i="13"/>
  <c r="G147" i="13"/>
  <c r="P146" i="13"/>
  <c r="R146" i="13" s="1"/>
  <c r="S146" i="13" s="1"/>
  <c r="K146" i="13"/>
  <c r="G146" i="13"/>
  <c r="P145" i="13"/>
  <c r="R145" i="13" s="1"/>
  <c r="S145" i="13" s="1"/>
  <c r="S144" i="13" s="1"/>
  <c r="K145" i="13"/>
  <c r="K144" i="13" s="1"/>
  <c r="G145" i="13"/>
  <c r="G144" i="13" s="1"/>
  <c r="P143" i="13"/>
  <c r="K143" i="13"/>
  <c r="G143" i="13"/>
  <c r="P142" i="13"/>
  <c r="R142" i="13" s="1"/>
  <c r="S142" i="13" s="1"/>
  <c r="K142" i="13"/>
  <c r="G142" i="13"/>
  <c r="P141" i="13"/>
  <c r="R141" i="13" s="1"/>
  <c r="S141" i="13" s="1"/>
  <c r="S140" i="13" s="1"/>
  <c r="K141" i="13"/>
  <c r="K140" i="13" s="1"/>
  <c r="G141" i="13"/>
  <c r="G140" i="13" s="1"/>
  <c r="P139" i="13"/>
  <c r="R139" i="13" s="1"/>
  <c r="S139" i="13" s="1"/>
  <c r="K139" i="13"/>
  <c r="G139" i="13"/>
  <c r="P138" i="13"/>
  <c r="R138" i="13" s="1"/>
  <c r="S138" i="13" s="1"/>
  <c r="S137" i="13" s="1"/>
  <c r="K138" i="13"/>
  <c r="K137" i="13" s="1"/>
  <c r="G138" i="13"/>
  <c r="G137" i="13" s="1"/>
  <c r="P136" i="13"/>
  <c r="K136" i="13"/>
  <c r="G136" i="13"/>
  <c r="P135" i="13"/>
  <c r="R135" i="13" s="1"/>
  <c r="K135" i="13"/>
  <c r="G135" i="13"/>
  <c r="M134" i="13"/>
  <c r="H134" i="13"/>
  <c r="P133" i="13"/>
  <c r="K133" i="13"/>
  <c r="G133" i="13"/>
  <c r="P132" i="13"/>
  <c r="R132" i="13" s="1"/>
  <c r="S132" i="13" s="1"/>
  <c r="K132" i="13"/>
  <c r="G132" i="13"/>
  <c r="P131" i="13"/>
  <c r="K131" i="13"/>
  <c r="G131" i="13"/>
  <c r="P130" i="13"/>
  <c r="K130" i="13"/>
  <c r="G130" i="13"/>
  <c r="P129" i="13"/>
  <c r="K129" i="13"/>
  <c r="G129" i="13"/>
  <c r="P128" i="13"/>
  <c r="K128" i="13"/>
  <c r="G128" i="13"/>
  <c r="P127" i="13"/>
  <c r="K127" i="13"/>
  <c r="G127" i="13"/>
  <c r="P126" i="13"/>
  <c r="R126" i="13" s="1"/>
  <c r="S126" i="13" s="1"/>
  <c r="K126" i="13"/>
  <c r="G126" i="13"/>
  <c r="P125" i="13"/>
  <c r="R125" i="13" s="1"/>
  <c r="S125" i="13" s="1"/>
  <c r="S124" i="13" s="1"/>
  <c r="K125" i="13"/>
  <c r="K124" i="13" s="1"/>
  <c r="G125" i="13"/>
  <c r="G124" i="13" s="1"/>
  <c r="P123" i="13"/>
  <c r="R123" i="13" s="1"/>
  <c r="S123" i="13" s="1"/>
  <c r="K123" i="13"/>
  <c r="G123" i="13"/>
  <c r="P122" i="13"/>
  <c r="K122" i="13"/>
  <c r="G122" i="13"/>
  <c r="P121" i="13"/>
  <c r="K121" i="13"/>
  <c r="G121" i="13"/>
  <c r="O120" i="13"/>
  <c r="I120" i="13"/>
  <c r="H120" i="13"/>
  <c r="H119" i="13" s="1"/>
  <c r="Q119" i="13"/>
  <c r="P117" i="13"/>
  <c r="K117" i="13"/>
  <c r="G117" i="13"/>
  <c r="P116" i="13"/>
  <c r="R116" i="13" s="1"/>
  <c r="S116" i="13" s="1"/>
  <c r="K116" i="13"/>
  <c r="G116" i="13"/>
  <c r="P115" i="13"/>
  <c r="K115" i="13"/>
  <c r="G115" i="13"/>
  <c r="P114" i="13"/>
  <c r="K114" i="13"/>
  <c r="G114" i="13"/>
  <c r="P113" i="13"/>
  <c r="K113" i="13"/>
  <c r="G113" i="13"/>
  <c r="P112" i="13"/>
  <c r="K112" i="13"/>
  <c r="G112" i="13"/>
  <c r="P111" i="13"/>
  <c r="R111" i="13" s="1"/>
  <c r="S111" i="13" s="1"/>
  <c r="K111" i="13"/>
  <c r="G111" i="13"/>
  <c r="P110" i="13"/>
  <c r="R110" i="13" s="1"/>
  <c r="S110" i="13" s="1"/>
  <c r="K110" i="13"/>
  <c r="G110" i="13"/>
  <c r="P109" i="13"/>
  <c r="R109" i="13" s="1"/>
  <c r="S109" i="13" s="1"/>
  <c r="S108" i="13" s="1"/>
  <c r="K109" i="13"/>
  <c r="K108" i="13" s="1"/>
  <c r="G109" i="13"/>
  <c r="G108" i="13" s="1"/>
  <c r="P107" i="13"/>
  <c r="K107" i="13"/>
  <c r="G107" i="13"/>
  <c r="P106" i="13"/>
  <c r="R106" i="13" s="1"/>
  <c r="S106" i="13" s="1"/>
  <c r="K106" i="13"/>
  <c r="G106" i="13"/>
  <c r="P105" i="13"/>
  <c r="R105" i="13" s="1"/>
  <c r="S105" i="13" s="1"/>
  <c r="K105" i="13"/>
  <c r="G105" i="13"/>
  <c r="P104" i="13"/>
  <c r="R104" i="13" s="1"/>
  <c r="S104" i="13" s="1"/>
  <c r="K104" i="13"/>
  <c r="G104" i="13"/>
  <c r="P103" i="13"/>
  <c r="R103" i="13" s="1"/>
  <c r="S103" i="13" s="1"/>
  <c r="S102" i="13" s="1"/>
  <c r="K103" i="13"/>
  <c r="K102" i="13" s="1"/>
  <c r="G103" i="13"/>
  <c r="G102" i="13" s="1"/>
  <c r="P101" i="13"/>
  <c r="R101" i="13" s="1"/>
  <c r="S101" i="13" s="1"/>
  <c r="K101" i="13"/>
  <c r="G101" i="13"/>
  <c r="P100" i="13"/>
  <c r="R100" i="13" s="1"/>
  <c r="S100" i="13" s="1"/>
  <c r="K100" i="13"/>
  <c r="G100" i="13"/>
  <c r="P99" i="13"/>
  <c r="R99" i="13" s="1"/>
  <c r="S99" i="13" s="1"/>
  <c r="S98" i="13" s="1"/>
  <c r="K99" i="13"/>
  <c r="K98" i="13" s="1"/>
  <c r="G99" i="13"/>
  <c r="G98" i="13" s="1"/>
  <c r="P97" i="13"/>
  <c r="R97" i="13" s="1"/>
  <c r="S97" i="13" s="1"/>
  <c r="K97" i="13"/>
  <c r="G97" i="13"/>
  <c r="P96" i="13"/>
  <c r="R96" i="13" s="1"/>
  <c r="R95" i="13" s="1"/>
  <c r="BU14" i="1" s="1"/>
  <c r="K96" i="13"/>
  <c r="K95" i="13" s="1"/>
  <c r="G96" i="13"/>
  <c r="G95" i="13" s="1"/>
  <c r="O94" i="13"/>
  <c r="I94" i="13"/>
  <c r="H94" i="13"/>
  <c r="P92" i="13"/>
  <c r="K92" i="13"/>
  <c r="G92" i="13"/>
  <c r="P91" i="13"/>
  <c r="R91" i="13" s="1"/>
  <c r="S91" i="13" s="1"/>
  <c r="K91" i="13"/>
  <c r="G91" i="13"/>
  <c r="P90" i="13"/>
  <c r="K90" i="13"/>
  <c r="K89" i="13" s="1"/>
  <c r="G90" i="13"/>
  <c r="G89" i="13" s="1"/>
  <c r="P88" i="13"/>
  <c r="R88" i="13" s="1"/>
  <c r="S88" i="13" s="1"/>
  <c r="K88" i="13"/>
  <c r="G88" i="13"/>
  <c r="P87" i="13"/>
  <c r="R87" i="13" s="1"/>
  <c r="S87" i="13" s="1"/>
  <c r="S86" i="13" s="1"/>
  <c r="K87" i="13"/>
  <c r="K86" i="13" s="1"/>
  <c r="G87" i="13"/>
  <c r="G86" i="13" s="1"/>
  <c r="P85" i="13"/>
  <c r="R85" i="13" s="1"/>
  <c r="S85" i="13" s="1"/>
  <c r="K85" i="13"/>
  <c r="G85" i="13"/>
  <c r="P84" i="13"/>
  <c r="R84" i="13" s="1"/>
  <c r="S84" i="13" s="1"/>
  <c r="S83" i="13" s="1"/>
  <c r="K84" i="13"/>
  <c r="K83" i="13" s="1"/>
  <c r="G84" i="13"/>
  <c r="G83" i="13" s="1"/>
  <c r="P82" i="13"/>
  <c r="R82" i="13" s="1"/>
  <c r="S82" i="13" s="1"/>
  <c r="K82" i="13"/>
  <c r="G82" i="13"/>
  <c r="P81" i="13"/>
  <c r="R81" i="13" s="1"/>
  <c r="S81" i="13" s="1"/>
  <c r="K81" i="13"/>
  <c r="G81" i="13"/>
  <c r="P80" i="13"/>
  <c r="R80" i="13" s="1"/>
  <c r="S80" i="13" s="1"/>
  <c r="S79" i="13" s="1"/>
  <c r="K80" i="13"/>
  <c r="K79" i="13" s="1"/>
  <c r="G80" i="13"/>
  <c r="G79" i="13" s="1"/>
  <c r="P78" i="13"/>
  <c r="R78" i="13" s="1"/>
  <c r="S78" i="13" s="1"/>
  <c r="K78" i="13"/>
  <c r="G78" i="13"/>
  <c r="P77" i="13"/>
  <c r="R77" i="13" s="1"/>
  <c r="S77" i="13" s="1"/>
  <c r="K77" i="13"/>
  <c r="G77" i="13"/>
  <c r="P76" i="13"/>
  <c r="R76" i="13" s="1"/>
  <c r="S76" i="13" s="1"/>
  <c r="S75" i="13" s="1"/>
  <c r="K76" i="13"/>
  <c r="K75" i="13" s="1"/>
  <c r="G76" i="13"/>
  <c r="G75" i="13" s="1"/>
  <c r="P74" i="13"/>
  <c r="R74" i="13" s="1"/>
  <c r="S74" i="13" s="1"/>
  <c r="K74" i="13"/>
  <c r="G74" i="13"/>
  <c r="P73" i="13"/>
  <c r="R73" i="13" s="1"/>
  <c r="S73" i="13" s="1"/>
  <c r="K73" i="13"/>
  <c r="G73" i="13"/>
  <c r="P72" i="13"/>
  <c r="R72" i="13" s="1"/>
  <c r="S72" i="13" s="1"/>
  <c r="K72" i="13"/>
  <c r="G72" i="13"/>
  <c r="P71" i="13"/>
  <c r="R71" i="13" s="1"/>
  <c r="S71" i="13" s="1"/>
  <c r="K71" i="13"/>
  <c r="G71" i="13"/>
  <c r="P70" i="13"/>
  <c r="R70" i="13" s="1"/>
  <c r="R69" i="13" s="1"/>
  <c r="BU6" i="1" s="1"/>
  <c r="K70" i="13"/>
  <c r="K69" i="13" s="1"/>
  <c r="G70" i="13"/>
  <c r="G69" i="13" s="1"/>
  <c r="I68" i="13"/>
  <c r="P66" i="13"/>
  <c r="R66" i="13" s="1"/>
  <c r="S66" i="13" s="1"/>
  <c r="K66" i="13"/>
  <c r="G66" i="13"/>
  <c r="P65" i="13"/>
  <c r="R65" i="13" s="1"/>
  <c r="K65" i="13"/>
  <c r="K64" i="13" s="1"/>
  <c r="G65" i="13"/>
  <c r="G64" i="13" s="1"/>
  <c r="P63" i="13"/>
  <c r="K63" i="13"/>
  <c r="G63" i="13"/>
  <c r="P62" i="13"/>
  <c r="K62" i="13"/>
  <c r="G62" i="13"/>
  <c r="O61" i="13"/>
  <c r="S61" i="13" s="1"/>
  <c r="K61" i="13"/>
  <c r="G61" i="13"/>
  <c r="P60" i="13"/>
  <c r="R60" i="13" s="1"/>
  <c r="S60" i="13" s="1"/>
  <c r="K60" i="13"/>
  <c r="G60" i="13"/>
  <c r="P59" i="13"/>
  <c r="K59" i="13"/>
  <c r="K58" i="13" s="1"/>
  <c r="G59" i="13"/>
  <c r="G58" i="13" s="1"/>
  <c r="P57" i="13"/>
  <c r="K57" i="13"/>
  <c r="G57" i="13"/>
  <c r="P56" i="13"/>
  <c r="R56" i="13" s="1"/>
  <c r="S56" i="13" s="1"/>
  <c r="K56" i="13"/>
  <c r="G56" i="13"/>
  <c r="P55" i="13"/>
  <c r="K55" i="13"/>
  <c r="K54" i="13" s="1"/>
  <c r="G55" i="13"/>
  <c r="G54" i="13" s="1"/>
  <c r="P53" i="13"/>
  <c r="R53" i="13" s="1"/>
  <c r="S53" i="13" s="1"/>
  <c r="K53" i="13"/>
  <c r="G53" i="13"/>
  <c r="P52" i="13"/>
  <c r="R52" i="13" s="1"/>
  <c r="S52" i="13" s="1"/>
  <c r="S51" i="13" s="1"/>
  <c r="K52" i="13"/>
  <c r="K51" i="13" s="1"/>
  <c r="G52" i="13"/>
  <c r="G51" i="13" s="1"/>
  <c r="P50" i="13"/>
  <c r="R50" i="13" s="1"/>
  <c r="S50" i="13" s="1"/>
  <c r="K50" i="13"/>
  <c r="G50" i="13"/>
  <c r="P49" i="13"/>
  <c r="P48" i="13" s="1"/>
  <c r="BT66" i="1" s="1"/>
  <c r="K49" i="13"/>
  <c r="K48" i="13" s="1"/>
  <c r="G49" i="13"/>
  <c r="G48" i="13" s="1"/>
  <c r="P47" i="13"/>
  <c r="R47" i="13" s="1"/>
  <c r="S47" i="13" s="1"/>
  <c r="K47" i="13"/>
  <c r="G47" i="13"/>
  <c r="P46" i="13"/>
  <c r="R46" i="13" s="1"/>
  <c r="S46" i="13" s="1"/>
  <c r="S45" i="13" s="1"/>
  <c r="K46" i="13"/>
  <c r="K45" i="13" s="1"/>
  <c r="G46" i="13"/>
  <c r="G45" i="13" s="1"/>
  <c r="P44" i="13"/>
  <c r="K44" i="13"/>
  <c r="G44" i="13"/>
  <c r="P43" i="13"/>
  <c r="K43" i="13"/>
  <c r="G43" i="13"/>
  <c r="I42" i="13"/>
  <c r="P41" i="13"/>
  <c r="R41" i="13" s="1"/>
  <c r="S41" i="13" s="1"/>
  <c r="K41" i="13"/>
  <c r="G41" i="13"/>
  <c r="P40" i="13"/>
  <c r="R40" i="13" s="1"/>
  <c r="S40" i="13" s="1"/>
  <c r="S39" i="13" s="1"/>
  <c r="K40" i="13"/>
  <c r="K39" i="13" s="1"/>
  <c r="G40" i="13"/>
  <c r="G39" i="13" s="1"/>
  <c r="P38" i="13"/>
  <c r="R38" i="13" s="1"/>
  <c r="S38" i="13" s="1"/>
  <c r="K38" i="13"/>
  <c r="G38" i="13"/>
  <c r="P37" i="13"/>
  <c r="R37" i="13" s="1"/>
  <c r="S37" i="13" s="1"/>
  <c r="S36" i="13" s="1"/>
  <c r="K37" i="13"/>
  <c r="K36" i="13" s="1"/>
  <c r="G37" i="13"/>
  <c r="G36" i="13" s="1"/>
  <c r="P35" i="13"/>
  <c r="K35" i="13"/>
  <c r="G35" i="13"/>
  <c r="P34" i="13"/>
  <c r="R34" i="13" s="1"/>
  <c r="S34" i="13" s="1"/>
  <c r="K34" i="13"/>
  <c r="G34" i="13"/>
  <c r="P33" i="13"/>
  <c r="R33" i="13" s="1"/>
  <c r="S33" i="13" s="1"/>
  <c r="S32" i="13" s="1"/>
  <c r="K33" i="13"/>
  <c r="K32" i="13" s="1"/>
  <c r="G33" i="13"/>
  <c r="G32" i="13" s="1"/>
  <c r="P31" i="13"/>
  <c r="R31" i="13" s="1"/>
  <c r="S31" i="13" s="1"/>
  <c r="K31" i="13"/>
  <c r="G31" i="13"/>
  <c r="P30" i="13"/>
  <c r="K30" i="13"/>
  <c r="G30" i="13"/>
  <c r="P29" i="13"/>
  <c r="R29" i="13" s="1"/>
  <c r="S29" i="13" s="1"/>
  <c r="K29" i="13"/>
  <c r="G29" i="13"/>
  <c r="P28" i="13"/>
  <c r="K28" i="13"/>
  <c r="K27" i="13" s="1"/>
  <c r="G28" i="13"/>
  <c r="G27" i="13" s="1"/>
  <c r="P26" i="13"/>
  <c r="BT64" i="1" s="1"/>
  <c r="K26" i="13"/>
  <c r="G26" i="13"/>
  <c r="P25" i="13"/>
  <c r="R25" i="13" s="1"/>
  <c r="S25" i="13" s="1"/>
  <c r="K25" i="13"/>
  <c r="G25" i="13"/>
  <c r="P24" i="13"/>
  <c r="R24" i="13" s="1"/>
  <c r="S24" i="13" s="1"/>
  <c r="G24" i="13"/>
  <c r="P23" i="13"/>
  <c r="R23" i="13" s="1"/>
  <c r="R22" i="13" s="1"/>
  <c r="BU62" i="1" s="1"/>
  <c r="K23" i="13"/>
  <c r="K22" i="13" s="1"/>
  <c r="G23" i="13"/>
  <c r="G22" i="13" s="1"/>
  <c r="O21" i="13"/>
  <c r="I21" i="13"/>
  <c r="I20" i="13" s="1"/>
  <c r="H21" i="13"/>
  <c r="Q107" i="12"/>
  <c r="L107" i="12"/>
  <c r="H107" i="12"/>
  <c r="BK86" i="1" s="1"/>
  <c r="Q106" i="12"/>
  <c r="L106" i="12"/>
  <c r="H106" i="12"/>
  <c r="Q105" i="12"/>
  <c r="S105" i="12" s="1"/>
  <c r="T105" i="12" s="1"/>
  <c r="L105" i="12"/>
  <c r="H105" i="12"/>
  <c r="Q104" i="12"/>
  <c r="S104" i="12" s="1"/>
  <c r="T104" i="12" s="1"/>
  <c r="L104" i="12"/>
  <c r="H104" i="12"/>
  <c r="Q103" i="12"/>
  <c r="S103" i="12" s="1"/>
  <c r="L103" i="12"/>
  <c r="H103" i="12"/>
  <c r="H102" i="12" s="1"/>
  <c r="BK124" i="1" s="1"/>
  <c r="L102" i="12"/>
  <c r="J102" i="12"/>
  <c r="Q101" i="12"/>
  <c r="S101" i="12" s="1"/>
  <c r="T101" i="12" s="1"/>
  <c r="L101" i="12"/>
  <c r="H101" i="12"/>
  <c r="Q100" i="12"/>
  <c r="S100" i="12" s="1"/>
  <c r="T100" i="12" s="1"/>
  <c r="L100" i="12"/>
  <c r="H100" i="12"/>
  <c r="Q99" i="12"/>
  <c r="S99" i="12" s="1"/>
  <c r="T99" i="12" s="1"/>
  <c r="L99" i="12"/>
  <c r="H99" i="12"/>
  <c r="Q98" i="12"/>
  <c r="S98" i="12" s="1"/>
  <c r="T98" i="12" s="1"/>
  <c r="L98" i="12"/>
  <c r="H98" i="12"/>
  <c r="Q97" i="12"/>
  <c r="S97" i="12" s="1"/>
  <c r="T97" i="12" s="1"/>
  <c r="L97" i="12"/>
  <c r="H97" i="12"/>
  <c r="Q96" i="12"/>
  <c r="S96" i="12" s="1"/>
  <c r="T96" i="12" s="1"/>
  <c r="L96" i="12"/>
  <c r="H96" i="12"/>
  <c r="Q95" i="12"/>
  <c r="L95" i="12"/>
  <c r="H95" i="12"/>
  <c r="H94" i="12" s="1"/>
  <c r="BK123" i="1" s="1"/>
  <c r="L94" i="12"/>
  <c r="J94" i="12"/>
  <c r="I94" i="12"/>
  <c r="BL123" i="1" s="1"/>
  <c r="BM123" i="1" s="1"/>
  <c r="Q93" i="12"/>
  <c r="S93" i="12" s="1"/>
  <c r="T93" i="12" s="1"/>
  <c r="L93" i="12"/>
  <c r="H93" i="12"/>
  <c r="Q92" i="12"/>
  <c r="S92" i="12" s="1"/>
  <c r="T92" i="12" s="1"/>
  <c r="L92" i="12"/>
  <c r="H92" i="12"/>
  <c r="Q91" i="12"/>
  <c r="S91" i="12" s="1"/>
  <c r="T91" i="12" s="1"/>
  <c r="L91" i="12"/>
  <c r="H91" i="12"/>
  <c r="Q90" i="12"/>
  <c r="S90" i="12" s="1"/>
  <c r="T90" i="12" s="1"/>
  <c r="L90" i="12"/>
  <c r="H90" i="12"/>
  <c r="Q89" i="12"/>
  <c r="S89" i="12" s="1"/>
  <c r="T89" i="12" s="1"/>
  <c r="L89" i="12"/>
  <c r="H89" i="12"/>
  <c r="Q88" i="12"/>
  <c r="S88" i="12" s="1"/>
  <c r="L88" i="12"/>
  <c r="H88" i="12"/>
  <c r="H87" i="12" s="1"/>
  <c r="BK109" i="1" s="1"/>
  <c r="Q87" i="12"/>
  <c r="BN109" i="1" s="1"/>
  <c r="L87" i="12"/>
  <c r="J87" i="12"/>
  <c r="Q86" i="12"/>
  <c r="S86" i="12" s="1"/>
  <c r="T86" i="12" s="1"/>
  <c r="L86" i="12"/>
  <c r="H86" i="12"/>
  <c r="Q85" i="12"/>
  <c r="S85" i="12" s="1"/>
  <c r="T85" i="12" s="1"/>
  <c r="L85" i="12"/>
  <c r="H85" i="12"/>
  <c r="Q84" i="12"/>
  <c r="Q83" i="12" s="1"/>
  <c r="BN115" i="1" s="1"/>
  <c r="L84" i="12"/>
  <c r="H84" i="12"/>
  <c r="J83" i="12"/>
  <c r="Q82" i="12"/>
  <c r="S82" i="12" s="1"/>
  <c r="T82" i="12" s="1"/>
  <c r="L82" i="12"/>
  <c r="H82" i="12"/>
  <c r="Q81" i="12"/>
  <c r="S81" i="12" s="1"/>
  <c r="T81" i="12" s="1"/>
  <c r="L81" i="12"/>
  <c r="H81" i="12"/>
  <c r="Q80" i="12"/>
  <c r="S80" i="12" s="1"/>
  <c r="T80" i="12" s="1"/>
  <c r="L80" i="12"/>
  <c r="H80" i="12"/>
  <c r="Q79" i="12"/>
  <c r="S79" i="12" s="1"/>
  <c r="T79" i="12" s="1"/>
  <c r="L79" i="12"/>
  <c r="H79" i="12"/>
  <c r="Q78" i="12"/>
  <c r="S78" i="12" s="1"/>
  <c r="T78" i="12" s="1"/>
  <c r="L78" i="12"/>
  <c r="H78" i="12"/>
  <c r="Q77" i="12"/>
  <c r="S77" i="12" s="1"/>
  <c r="T77" i="12" s="1"/>
  <c r="L77" i="12"/>
  <c r="H77" i="12"/>
  <c r="Q76" i="12"/>
  <c r="L76" i="12"/>
  <c r="H76" i="12"/>
  <c r="Q75" i="12"/>
  <c r="S75" i="12" s="1"/>
  <c r="L75" i="12"/>
  <c r="H75" i="12"/>
  <c r="P74" i="12"/>
  <c r="H74" i="12"/>
  <c r="O73" i="12"/>
  <c r="J73" i="12"/>
  <c r="I73" i="12"/>
  <c r="BL117" i="1" s="1"/>
  <c r="O72" i="12"/>
  <c r="J72" i="12"/>
  <c r="I72" i="12"/>
  <c r="Q71" i="12"/>
  <c r="S71" i="12" s="1"/>
  <c r="T71" i="12" s="1"/>
  <c r="L71" i="12"/>
  <c r="H71" i="12"/>
  <c r="Q70" i="12"/>
  <c r="S70" i="12" s="1"/>
  <c r="T70" i="12" s="1"/>
  <c r="L70" i="12"/>
  <c r="H70" i="12"/>
  <c r="Q69" i="12"/>
  <c r="S69" i="12" s="1"/>
  <c r="T69" i="12" s="1"/>
  <c r="L69" i="12"/>
  <c r="H69" i="12"/>
  <c r="Q68" i="12"/>
  <c r="S68" i="12" s="1"/>
  <c r="T68" i="12" s="1"/>
  <c r="L68" i="12"/>
  <c r="H68" i="12"/>
  <c r="Q67" i="12"/>
  <c r="L67" i="12"/>
  <c r="H67" i="12"/>
  <c r="J66" i="12"/>
  <c r="H66" i="12"/>
  <c r="BK121" i="1" s="1"/>
  <c r="Q65" i="12"/>
  <c r="S65" i="12" s="1"/>
  <c r="T65" i="12" s="1"/>
  <c r="L65" i="12"/>
  <c r="H65" i="12"/>
  <c r="Q64" i="12"/>
  <c r="S64" i="12" s="1"/>
  <c r="T64" i="12" s="1"/>
  <c r="L64" i="12"/>
  <c r="H64" i="12"/>
  <c r="Q63" i="12"/>
  <c r="Q62" i="12" s="1"/>
  <c r="L63" i="12"/>
  <c r="H63" i="12"/>
  <c r="H62" i="12" s="1"/>
  <c r="J62" i="12"/>
  <c r="I62" i="12"/>
  <c r="Q61" i="12"/>
  <c r="S61" i="12" s="1"/>
  <c r="T61" i="12" s="1"/>
  <c r="L61" i="12"/>
  <c r="H61" i="12"/>
  <c r="Q60" i="12"/>
  <c r="Q59" i="12" s="1"/>
  <c r="BN127" i="1" s="1"/>
  <c r="L60" i="12"/>
  <c r="H60" i="12"/>
  <c r="H59" i="12" s="1"/>
  <c r="BK127" i="1" s="1"/>
  <c r="J59" i="12"/>
  <c r="Q58" i="12"/>
  <c r="S58" i="12" s="1"/>
  <c r="T58" i="12" s="1"/>
  <c r="L58" i="12"/>
  <c r="H58" i="12"/>
  <c r="Q57" i="12"/>
  <c r="S57" i="12" s="1"/>
  <c r="T57" i="12" s="1"/>
  <c r="L57" i="12"/>
  <c r="H57" i="12"/>
  <c r="Q56" i="12"/>
  <c r="S56" i="12" s="1"/>
  <c r="T56" i="12" s="1"/>
  <c r="L56" i="12"/>
  <c r="H56" i="12"/>
  <c r="Q55" i="12"/>
  <c r="S55" i="12" s="1"/>
  <c r="T55" i="12" s="1"/>
  <c r="L55" i="12"/>
  <c r="H55" i="12"/>
  <c r="Q54" i="12"/>
  <c r="S54" i="12" s="1"/>
  <c r="T54" i="12" s="1"/>
  <c r="L54" i="12"/>
  <c r="H54" i="12"/>
  <c r="Q53" i="12"/>
  <c r="S53" i="12" s="1"/>
  <c r="T53" i="12" s="1"/>
  <c r="L53" i="12"/>
  <c r="H53" i="12"/>
  <c r="Q52" i="12"/>
  <c r="S52" i="12" s="1"/>
  <c r="T52" i="12" s="1"/>
  <c r="L52" i="12"/>
  <c r="H52" i="12"/>
  <c r="Q51" i="12"/>
  <c r="S51" i="12" s="1"/>
  <c r="T51" i="12" s="1"/>
  <c r="L51" i="12"/>
  <c r="H51" i="12"/>
  <c r="J50" i="12"/>
  <c r="J49" i="12" s="1"/>
  <c r="T48" i="12"/>
  <c r="Q47" i="12"/>
  <c r="S47" i="12" s="1"/>
  <c r="T47" i="12" s="1"/>
  <c r="L47" i="12"/>
  <c r="H47" i="12"/>
  <c r="Q46" i="12"/>
  <c r="S46" i="12" s="1"/>
  <c r="T46" i="12" s="1"/>
  <c r="L46" i="12"/>
  <c r="H46" i="12"/>
  <c r="Q45" i="12"/>
  <c r="S45" i="12" s="1"/>
  <c r="T45" i="12" s="1"/>
  <c r="L45" i="12"/>
  <c r="H45" i="12"/>
  <c r="Q44" i="12"/>
  <c r="S44" i="12" s="1"/>
  <c r="T44" i="12" s="1"/>
  <c r="L44" i="12"/>
  <c r="H44" i="12"/>
  <c r="Q43" i="12"/>
  <c r="S43" i="12" s="1"/>
  <c r="T43" i="12" s="1"/>
  <c r="L43" i="12"/>
  <c r="H43" i="12"/>
  <c r="Q42" i="12"/>
  <c r="S42" i="12" s="1"/>
  <c r="T42" i="12" s="1"/>
  <c r="L42" i="12"/>
  <c r="H42" i="12"/>
  <c r="Q41" i="12"/>
  <c r="Q39" i="12" s="1"/>
  <c r="BN108" i="1" s="1"/>
  <c r="L41" i="12"/>
  <c r="H41" i="12"/>
  <c r="Q40" i="12"/>
  <c r="S40" i="12" s="1"/>
  <c r="T40" i="12" s="1"/>
  <c r="L40" i="12"/>
  <c r="H40" i="12"/>
  <c r="H39" i="12" s="1"/>
  <c r="J39" i="12"/>
  <c r="J38" i="12"/>
  <c r="Q37" i="12"/>
  <c r="L37" i="12"/>
  <c r="H37" i="12"/>
  <c r="BK125" i="1" s="1"/>
  <c r="Q36" i="12"/>
  <c r="S36" i="12" s="1"/>
  <c r="T36" i="12" s="1"/>
  <c r="L36" i="12"/>
  <c r="H36" i="12"/>
  <c r="Q35" i="12"/>
  <c r="S35" i="12" s="1"/>
  <c r="T35" i="12" s="1"/>
  <c r="L35" i="12"/>
  <c r="H35" i="12"/>
  <c r="Q34" i="12"/>
  <c r="S34" i="12" s="1"/>
  <c r="T34" i="12" s="1"/>
  <c r="L34" i="12"/>
  <c r="H34" i="12"/>
  <c r="Q33" i="12"/>
  <c r="S33" i="12" s="1"/>
  <c r="T33" i="12" s="1"/>
  <c r="L33" i="12"/>
  <c r="H33" i="12"/>
  <c r="Q32" i="12"/>
  <c r="S32" i="12" s="1"/>
  <c r="T32" i="12" s="1"/>
  <c r="L32" i="12"/>
  <c r="H32" i="12"/>
  <c r="Q31" i="12"/>
  <c r="S31" i="12" s="1"/>
  <c r="T31" i="12" s="1"/>
  <c r="L31" i="12"/>
  <c r="H31" i="12"/>
  <c r="Q30" i="12"/>
  <c r="L30" i="12"/>
  <c r="H30" i="12"/>
  <c r="Q29" i="12"/>
  <c r="S29" i="12" s="1"/>
  <c r="L29" i="12"/>
  <c r="H29" i="12"/>
  <c r="J28" i="12"/>
  <c r="J27" i="12"/>
  <c r="Q26" i="12"/>
  <c r="S26" i="12" s="1"/>
  <c r="T26" i="12" s="1"/>
  <c r="L26" i="12"/>
  <c r="H26" i="12"/>
  <c r="Q25" i="12"/>
  <c r="S25" i="12" s="1"/>
  <c r="T25" i="12" s="1"/>
  <c r="L25" i="12"/>
  <c r="H25" i="12"/>
  <c r="Q24" i="12"/>
  <c r="L24" i="12"/>
  <c r="H24" i="12"/>
  <c r="J22" i="12"/>
  <c r="I21" i="12"/>
  <c r="L20" i="12"/>
  <c r="H20" i="12"/>
  <c r="P20" i="12" s="1"/>
  <c r="S20" i="12" s="1"/>
  <c r="P19" i="12"/>
  <c r="N19" i="12"/>
  <c r="I19" i="12"/>
  <c r="T202" i="11"/>
  <c r="BI66" i="1" s="1"/>
  <c r="T201" i="11"/>
  <c r="BI63" i="1" s="1"/>
  <c r="T200" i="11"/>
  <c r="BI74" i="1" s="1"/>
  <c r="M199" i="11"/>
  <c r="Q199" i="11" s="1"/>
  <c r="Q196" i="11" s="1"/>
  <c r="BH78" i="1" s="1"/>
  <c r="H199" i="11"/>
  <c r="M198" i="11"/>
  <c r="P198" i="11" s="1"/>
  <c r="T198" i="11" s="1"/>
  <c r="H198" i="11"/>
  <c r="M197" i="11"/>
  <c r="P197" i="11" s="1"/>
  <c r="T197" i="11" s="1"/>
  <c r="H197" i="11"/>
  <c r="H196" i="11" s="1"/>
  <c r="BE78" i="1" s="1"/>
  <c r="M195" i="11"/>
  <c r="P195" i="11" s="1"/>
  <c r="T195" i="11" s="1"/>
  <c r="H195" i="11"/>
  <c r="M194" i="11"/>
  <c r="P194" i="11" s="1"/>
  <c r="P193" i="11" s="1"/>
  <c r="H194" i="11"/>
  <c r="H193" i="11" s="1"/>
  <c r="BE65" i="1" s="1"/>
  <c r="P192" i="11"/>
  <c r="T192" i="11" s="1"/>
  <c r="N192" i="11"/>
  <c r="H192" i="11"/>
  <c r="T191" i="11"/>
  <c r="T190" i="11"/>
  <c r="T189" i="11"/>
  <c r="T188" i="11"/>
  <c r="M187" i="11"/>
  <c r="H187" i="11"/>
  <c r="H186" i="11" s="1"/>
  <c r="BE75" i="1" s="1"/>
  <c r="J185" i="11"/>
  <c r="I185" i="11"/>
  <c r="M183" i="11"/>
  <c r="Q183" i="11" s="1"/>
  <c r="S183" i="11" s="1"/>
  <c r="T183" i="11" s="1"/>
  <c r="H183" i="11"/>
  <c r="M182" i="11"/>
  <c r="Q182" i="11" s="1"/>
  <c r="S182" i="11" s="1"/>
  <c r="T182" i="11" s="1"/>
  <c r="H182" i="11"/>
  <c r="M181" i="11"/>
  <c r="P181" i="11" s="1"/>
  <c r="T181" i="11" s="1"/>
  <c r="H181" i="11"/>
  <c r="M180" i="11"/>
  <c r="H180" i="11"/>
  <c r="H179" i="11" s="1"/>
  <c r="BE123" i="1" s="1"/>
  <c r="M178" i="11"/>
  <c r="Q178" i="11" s="1"/>
  <c r="S178" i="11" s="1"/>
  <c r="T178" i="11" s="1"/>
  <c r="H178" i="11"/>
  <c r="M177" i="11"/>
  <c r="Q177" i="11" s="1"/>
  <c r="S177" i="11" s="1"/>
  <c r="T177" i="11" s="1"/>
  <c r="H177" i="11"/>
  <c r="M176" i="11"/>
  <c r="P176" i="11" s="1"/>
  <c r="T176" i="11" s="1"/>
  <c r="H176" i="11"/>
  <c r="P175" i="11"/>
  <c r="T175" i="11" s="1"/>
  <c r="M175" i="11"/>
  <c r="H175" i="11"/>
  <c r="M174" i="11"/>
  <c r="P174" i="11" s="1"/>
  <c r="H174" i="11"/>
  <c r="H172" i="11" s="1"/>
  <c r="P173" i="11"/>
  <c r="T173" i="11" s="1"/>
  <c r="Q171" i="11"/>
  <c r="T170" i="11"/>
  <c r="T169" i="11"/>
  <c r="T168" i="11"/>
  <c r="T167" i="11"/>
  <c r="T166" i="11" s="1"/>
  <c r="T165" i="11"/>
  <c r="BI100" i="1" s="1"/>
  <c r="T164" i="11"/>
  <c r="T163" i="11"/>
  <c r="P162" i="11"/>
  <c r="T162" i="11" s="1"/>
  <c r="T161" i="11" s="1"/>
  <c r="BI81" i="1" s="1"/>
  <c r="T160" i="11"/>
  <c r="BI94" i="1" s="1"/>
  <c r="M159" i="11"/>
  <c r="P159" i="11" s="1"/>
  <c r="T159" i="11" s="1"/>
  <c r="BI89" i="1" s="1"/>
  <c r="H159" i="11"/>
  <c r="BE89" i="1" s="1"/>
  <c r="J158" i="11"/>
  <c r="I158" i="11"/>
  <c r="M156" i="11"/>
  <c r="Q156" i="11" s="1"/>
  <c r="S156" i="11" s="1"/>
  <c r="T156" i="11" s="1"/>
  <c r="P155" i="11"/>
  <c r="T155" i="11" s="1"/>
  <c r="P154" i="11"/>
  <c r="T154" i="11" s="1"/>
  <c r="P153" i="11"/>
  <c r="T153" i="11" s="1"/>
  <c r="T152" i="11" s="1"/>
  <c r="BI43" i="1" s="1"/>
  <c r="Q151" i="11"/>
  <c r="S151" i="11" s="1"/>
  <c r="T151" i="11" s="1"/>
  <c r="L151" i="11"/>
  <c r="Q150" i="11"/>
  <c r="S150" i="11" s="1"/>
  <c r="T150" i="11" s="1"/>
  <c r="T149" i="11" s="1"/>
  <c r="L150" i="11"/>
  <c r="L149" i="11" s="1"/>
  <c r="P148" i="11"/>
  <c r="T148" i="11" s="1"/>
  <c r="N148" i="11"/>
  <c r="N146" i="11" s="1"/>
  <c r="L148" i="11"/>
  <c r="Q147" i="11"/>
  <c r="S147" i="11" s="1"/>
  <c r="T147" i="11" s="1"/>
  <c r="T146" i="11" s="1"/>
  <c r="BI54" i="1" s="1"/>
  <c r="L147" i="11"/>
  <c r="L146" i="11" s="1"/>
  <c r="P145" i="11"/>
  <c r="T145" i="11" s="1"/>
  <c r="N145" i="11"/>
  <c r="N142" i="11" s="1"/>
  <c r="T144" i="11"/>
  <c r="T143" i="11"/>
  <c r="T142" i="11" s="1"/>
  <c r="BI44" i="1" s="1"/>
  <c r="P141" i="11"/>
  <c r="T141" i="11" s="1"/>
  <c r="P140" i="11"/>
  <c r="T140" i="11" s="1"/>
  <c r="N140" i="11"/>
  <c r="N138" i="11" s="1"/>
  <c r="L140" i="11"/>
  <c r="L138" i="11" s="1"/>
  <c r="P139" i="11"/>
  <c r="T139" i="11" s="1"/>
  <c r="T138" i="11" s="1"/>
  <c r="BI53" i="1" s="1"/>
  <c r="Q137" i="11"/>
  <c r="S137" i="11" s="1"/>
  <c r="S135" i="11" s="1"/>
  <c r="P137" i="11"/>
  <c r="P136" i="11"/>
  <c r="T136" i="11" s="1"/>
  <c r="P134" i="11"/>
  <c r="T134" i="11" s="1"/>
  <c r="BI51" i="1" s="1"/>
  <c r="T133" i="11"/>
  <c r="T132" i="11"/>
  <c r="P131" i="11"/>
  <c r="T131" i="11" s="1"/>
  <c r="H131" i="11"/>
  <c r="P130" i="11"/>
  <c r="T130" i="11" s="1"/>
  <c r="T129" i="11" s="1"/>
  <c r="BI50" i="1" s="1"/>
  <c r="H130" i="11"/>
  <c r="H129" i="11" s="1"/>
  <c r="BE50" i="1" s="1"/>
  <c r="P128" i="11"/>
  <c r="T128" i="11" s="1"/>
  <c r="BI38" i="1" s="1"/>
  <c r="N128" i="11"/>
  <c r="Q127" i="11"/>
  <c r="P127" i="11"/>
  <c r="H127" i="11"/>
  <c r="BE48" i="1" s="1"/>
  <c r="P126" i="11"/>
  <c r="T126" i="11" s="1"/>
  <c r="BI35" i="1" s="1"/>
  <c r="N126" i="11"/>
  <c r="H126" i="11"/>
  <c r="BE35" i="1" s="1"/>
  <c r="P125" i="11"/>
  <c r="T125" i="11" s="1"/>
  <c r="BI55" i="1" s="1"/>
  <c r="N125" i="11"/>
  <c r="H125" i="11"/>
  <c r="BE55" i="1" s="1"/>
  <c r="T124" i="11"/>
  <c r="T123" i="11"/>
  <c r="H123" i="11"/>
  <c r="P122" i="11"/>
  <c r="T122" i="11" s="1"/>
  <c r="T121" i="11" s="1"/>
  <c r="BI39" i="1" s="1"/>
  <c r="N122" i="11"/>
  <c r="N121" i="11" s="1"/>
  <c r="H122" i="11"/>
  <c r="H121" i="11" s="1"/>
  <c r="BE39" i="1" s="1"/>
  <c r="P120" i="11"/>
  <c r="T120" i="11" s="1"/>
  <c r="BI40" i="1" s="1"/>
  <c r="N120" i="11"/>
  <c r="H120" i="11"/>
  <c r="BE40" i="1" s="1"/>
  <c r="P119" i="11"/>
  <c r="T119" i="11" s="1"/>
  <c r="N119" i="11"/>
  <c r="H119" i="11"/>
  <c r="BE58" i="1" s="1"/>
  <c r="P118" i="11"/>
  <c r="T118" i="11" s="1"/>
  <c r="M117" i="11"/>
  <c r="H117" i="11"/>
  <c r="H116" i="11" s="1"/>
  <c r="M115" i="11"/>
  <c r="Q115" i="11" s="1"/>
  <c r="S115" i="11" s="1"/>
  <c r="T115" i="11" s="1"/>
  <c r="H115" i="11"/>
  <c r="M114" i="11"/>
  <c r="P114" i="11" s="1"/>
  <c r="T114" i="11" s="1"/>
  <c r="H114" i="11"/>
  <c r="M113" i="11"/>
  <c r="H113" i="11"/>
  <c r="H112" i="11" s="1"/>
  <c r="BE30" i="1" s="1"/>
  <c r="M111" i="11"/>
  <c r="Q111" i="11" s="1"/>
  <c r="S111" i="11" s="1"/>
  <c r="T111" i="11" s="1"/>
  <c r="H111" i="11"/>
  <c r="M110" i="11"/>
  <c r="P110" i="11" s="1"/>
  <c r="H110" i="11"/>
  <c r="M109" i="11"/>
  <c r="Q109" i="11" s="1"/>
  <c r="S109" i="11" s="1"/>
  <c r="T109" i="11" s="1"/>
  <c r="H109" i="11"/>
  <c r="M108" i="11"/>
  <c r="H108" i="11"/>
  <c r="H107" i="11" s="1"/>
  <c r="BE31" i="1" s="1"/>
  <c r="M106" i="11"/>
  <c r="Q106" i="11" s="1"/>
  <c r="H106" i="11"/>
  <c r="BE47" i="1" s="1"/>
  <c r="M105" i="11"/>
  <c r="P105" i="11" s="1"/>
  <c r="H105" i="11"/>
  <c r="BE45" i="1" s="1"/>
  <c r="P104" i="11"/>
  <c r="T104" i="11" s="1"/>
  <c r="N104" i="11"/>
  <c r="N102" i="11" s="1"/>
  <c r="L104" i="11"/>
  <c r="P103" i="11"/>
  <c r="T103" i="11" s="1"/>
  <c r="T102" i="11" s="1"/>
  <c r="BI32" i="1" s="1"/>
  <c r="L103" i="11"/>
  <c r="L102" i="11" s="1"/>
  <c r="P101" i="11"/>
  <c r="T101" i="11" s="1"/>
  <c r="L101" i="11"/>
  <c r="Q100" i="11"/>
  <c r="P100" i="11"/>
  <c r="L100" i="11"/>
  <c r="P99" i="11"/>
  <c r="T99" i="11" s="1"/>
  <c r="P98" i="11"/>
  <c r="T98" i="11" s="1"/>
  <c r="T97" i="11" s="1"/>
  <c r="BI27" i="1" s="1"/>
  <c r="N98" i="11"/>
  <c r="N97" i="11" s="1"/>
  <c r="Q96" i="11"/>
  <c r="S96" i="11" s="1"/>
  <c r="T96" i="11" s="1"/>
  <c r="S95" i="11"/>
  <c r="T95" i="11" s="1"/>
  <c r="T94" i="11" s="1"/>
  <c r="BI28" i="1" s="1"/>
  <c r="M95" i="11"/>
  <c r="M94" i="11" s="1"/>
  <c r="Q93" i="11"/>
  <c r="S93" i="11" s="1"/>
  <c r="P93" i="11"/>
  <c r="L93" i="11"/>
  <c r="Q92" i="11"/>
  <c r="S92" i="11" s="1"/>
  <c r="S90" i="11" s="1"/>
  <c r="P92" i="11"/>
  <c r="L92" i="11"/>
  <c r="P91" i="11"/>
  <c r="T91" i="11" s="1"/>
  <c r="N91" i="11"/>
  <c r="N90" i="11" s="1"/>
  <c r="L91" i="11"/>
  <c r="L90" i="11" s="1"/>
  <c r="J89" i="11"/>
  <c r="P88" i="11"/>
  <c r="T88" i="11" s="1"/>
  <c r="N88" i="11"/>
  <c r="L88" i="11"/>
  <c r="P87" i="11"/>
  <c r="T87" i="11" s="1"/>
  <c r="N87" i="11"/>
  <c r="L87" i="11"/>
  <c r="H87" i="11"/>
  <c r="P86" i="11"/>
  <c r="T86" i="11" s="1"/>
  <c r="BI17" i="1" s="1"/>
  <c r="N86" i="11"/>
  <c r="L86" i="11"/>
  <c r="H86" i="11"/>
  <c r="BE17" i="1" s="1"/>
  <c r="P85" i="11"/>
  <c r="T85" i="11" s="1"/>
  <c r="BI22" i="1" s="1"/>
  <c r="N85" i="11"/>
  <c r="L85" i="11"/>
  <c r="H85" i="11"/>
  <c r="BE22" i="1" s="1"/>
  <c r="P84" i="11"/>
  <c r="T84" i="11" s="1"/>
  <c r="BI21" i="1" s="1"/>
  <c r="N84" i="11"/>
  <c r="L84" i="11"/>
  <c r="H84" i="11"/>
  <c r="BE21" i="1" s="1"/>
  <c r="Q83" i="11"/>
  <c r="S83" i="11" s="1"/>
  <c r="T83" i="11" s="1"/>
  <c r="P82" i="11"/>
  <c r="T82" i="11" s="1"/>
  <c r="T81" i="11" s="1"/>
  <c r="BI18" i="1" s="1"/>
  <c r="N82" i="11"/>
  <c r="N81" i="11" s="1"/>
  <c r="L82" i="11"/>
  <c r="L81" i="11" s="1"/>
  <c r="H82" i="11"/>
  <c r="H81" i="11" s="1"/>
  <c r="BE18" i="1" s="1"/>
  <c r="M80" i="11"/>
  <c r="Q80" i="11" s="1"/>
  <c r="S80" i="11" s="1"/>
  <c r="T80" i="11" s="1"/>
  <c r="H80" i="11"/>
  <c r="M79" i="11"/>
  <c r="Q79" i="11" s="1"/>
  <c r="S79" i="11" s="1"/>
  <c r="T79" i="11" s="1"/>
  <c r="H79" i="11"/>
  <c r="M78" i="11"/>
  <c r="Q78" i="11" s="1"/>
  <c r="S78" i="11" s="1"/>
  <c r="T78" i="11" s="1"/>
  <c r="T77" i="11" s="1"/>
  <c r="BI24" i="1" s="1"/>
  <c r="H78" i="11"/>
  <c r="H77" i="11" s="1"/>
  <c r="BE24" i="1" s="1"/>
  <c r="M76" i="11"/>
  <c r="Q76" i="11" s="1"/>
  <c r="S76" i="11" s="1"/>
  <c r="T76" i="11" s="1"/>
  <c r="H76" i="11"/>
  <c r="M75" i="11"/>
  <c r="H75" i="11"/>
  <c r="H74" i="11" s="1"/>
  <c r="BE9" i="1" s="1"/>
  <c r="M73" i="11"/>
  <c r="Q73" i="11" s="1"/>
  <c r="S73" i="11" s="1"/>
  <c r="T73" i="11" s="1"/>
  <c r="H73" i="11"/>
  <c r="M72" i="11"/>
  <c r="H72" i="11"/>
  <c r="H71" i="11" s="1"/>
  <c r="BE5" i="1" s="1"/>
  <c r="Q70" i="11"/>
  <c r="S70" i="11" s="1"/>
  <c r="T70" i="11" s="1"/>
  <c r="L70" i="11"/>
  <c r="Q69" i="11"/>
  <c r="S69" i="11" s="1"/>
  <c r="T69" i="11" s="1"/>
  <c r="L69" i="11"/>
  <c r="Q68" i="11"/>
  <c r="S68" i="11" s="1"/>
  <c r="T68" i="11" s="1"/>
  <c r="L68" i="11"/>
  <c r="Q67" i="11"/>
  <c r="S67" i="11" s="1"/>
  <c r="T67" i="11" s="1"/>
  <c r="L67" i="11"/>
  <c r="Q66" i="11"/>
  <c r="S66" i="11" s="1"/>
  <c r="T66" i="11" s="1"/>
  <c r="L66" i="11"/>
  <c r="Q65" i="11"/>
  <c r="S65" i="11" s="1"/>
  <c r="T65" i="11" s="1"/>
  <c r="L65" i="11"/>
  <c r="L62" i="11" s="1"/>
  <c r="P64" i="11"/>
  <c r="T64" i="11" s="1"/>
  <c r="N64" i="11"/>
  <c r="P63" i="11"/>
  <c r="T63" i="11" s="1"/>
  <c r="T62" i="11" s="1"/>
  <c r="BI25" i="1" s="1"/>
  <c r="N63" i="11"/>
  <c r="N62" i="11" s="1"/>
  <c r="P61" i="11"/>
  <c r="T61" i="11" s="1"/>
  <c r="N61" i="11"/>
  <c r="N59" i="11" s="1"/>
  <c r="M60" i="11"/>
  <c r="Q60" i="11" s="1"/>
  <c r="S60" i="11" s="1"/>
  <c r="T60" i="11" s="1"/>
  <c r="H60" i="11"/>
  <c r="H59" i="11" s="1"/>
  <c r="BE23" i="1" s="1"/>
  <c r="M58" i="11"/>
  <c r="Q58" i="11" s="1"/>
  <c r="S58" i="11" s="1"/>
  <c r="T58" i="11" s="1"/>
  <c r="H58" i="11"/>
  <c r="Q57" i="11"/>
  <c r="S57" i="11" s="1"/>
  <c r="T57" i="11" s="1"/>
  <c r="L57" i="11"/>
  <c r="Q56" i="11"/>
  <c r="S56" i="11" s="1"/>
  <c r="T56" i="11" s="1"/>
  <c r="L56" i="11"/>
  <c r="L50" i="11" s="1"/>
  <c r="Q55" i="11"/>
  <c r="S55" i="11" s="1"/>
  <c r="T55" i="11" s="1"/>
  <c r="Q54" i="11"/>
  <c r="S54" i="11" s="1"/>
  <c r="T54" i="11" s="1"/>
  <c r="P53" i="11"/>
  <c r="T53" i="11" s="1"/>
  <c r="N53" i="11"/>
  <c r="H53" i="11"/>
  <c r="H50" i="11" s="1"/>
  <c r="BE20" i="1" s="1"/>
  <c r="P52" i="11"/>
  <c r="T52" i="11" s="1"/>
  <c r="N52" i="11"/>
  <c r="P51" i="11"/>
  <c r="T51" i="11" s="1"/>
  <c r="T50" i="11" s="1"/>
  <c r="BI20" i="1" s="1"/>
  <c r="N51" i="11"/>
  <c r="N50" i="11" s="1"/>
  <c r="M49" i="11"/>
  <c r="Q49" i="11" s="1"/>
  <c r="S49" i="11" s="1"/>
  <c r="T49" i="11" s="1"/>
  <c r="H49" i="11"/>
  <c r="M48" i="11"/>
  <c r="P48" i="11" s="1"/>
  <c r="P47" i="11" s="1"/>
  <c r="H48" i="11"/>
  <c r="H47" i="11" s="1"/>
  <c r="BE19" i="1" s="1"/>
  <c r="M46" i="11"/>
  <c r="Q46" i="11" s="1"/>
  <c r="S46" i="11" s="1"/>
  <c r="T46" i="11" s="1"/>
  <c r="H46" i="11"/>
  <c r="M45" i="11"/>
  <c r="Q45" i="11" s="1"/>
  <c r="S45" i="11" s="1"/>
  <c r="T45" i="11" s="1"/>
  <c r="T44" i="11" s="1"/>
  <c r="BI16" i="1" s="1"/>
  <c r="H45" i="11"/>
  <c r="H44" i="11" s="1"/>
  <c r="BE16" i="1" s="1"/>
  <c r="M43" i="11"/>
  <c r="Q43" i="11" s="1"/>
  <c r="S43" i="11" s="1"/>
  <c r="T43" i="11" s="1"/>
  <c r="H43" i="11"/>
  <c r="M42" i="11"/>
  <c r="Q42" i="11" s="1"/>
  <c r="S42" i="11" s="1"/>
  <c r="T42" i="11" s="1"/>
  <c r="H42" i="11"/>
  <c r="M41" i="11"/>
  <c r="Q41" i="11" s="1"/>
  <c r="S41" i="11" s="1"/>
  <c r="T41" i="11" s="1"/>
  <c r="T40" i="11" s="1"/>
  <c r="BI15" i="1" s="1"/>
  <c r="H41" i="11"/>
  <c r="H40" i="11" s="1"/>
  <c r="BE15" i="1" s="1"/>
  <c r="M39" i="11"/>
  <c r="Q39" i="11" s="1"/>
  <c r="S39" i="11" s="1"/>
  <c r="T39" i="11" s="1"/>
  <c r="M38" i="11"/>
  <c r="Q38" i="11" s="1"/>
  <c r="S38" i="11" s="1"/>
  <c r="T38" i="11" s="1"/>
  <c r="T37" i="11" s="1"/>
  <c r="BI14" i="1" s="1"/>
  <c r="H38" i="11"/>
  <c r="H37" i="11" s="1"/>
  <c r="BE14" i="1" s="1"/>
  <c r="M36" i="11"/>
  <c r="Q36" i="11" s="1"/>
  <c r="S36" i="11" s="1"/>
  <c r="T36" i="11" s="1"/>
  <c r="H36" i="11"/>
  <c r="M35" i="11"/>
  <c r="Q35" i="11" s="1"/>
  <c r="S35" i="11" s="1"/>
  <c r="T35" i="11" s="1"/>
  <c r="H35" i="11"/>
  <c r="M34" i="11"/>
  <c r="Q34" i="11" s="1"/>
  <c r="S34" i="11" s="1"/>
  <c r="T34" i="11" s="1"/>
  <c r="H34" i="11"/>
  <c r="M33" i="11"/>
  <c r="Q33" i="11" s="1"/>
  <c r="S33" i="11" s="1"/>
  <c r="T33" i="11" s="1"/>
  <c r="T32" i="11" s="1"/>
  <c r="BI12" i="1" s="1"/>
  <c r="H33" i="11"/>
  <c r="H32" i="11" s="1"/>
  <c r="BE12" i="1" s="1"/>
  <c r="M31" i="11"/>
  <c r="Q31" i="11" s="1"/>
  <c r="H31" i="11"/>
  <c r="BE8" i="1" s="1"/>
  <c r="M30" i="11"/>
  <c r="Q30" i="11" s="1"/>
  <c r="S30" i="11" s="1"/>
  <c r="T30" i="11" s="1"/>
  <c r="H30" i="11"/>
  <c r="M29" i="11"/>
  <c r="Q29" i="11" s="1"/>
  <c r="S29" i="11" s="1"/>
  <c r="T29" i="11" s="1"/>
  <c r="H29" i="11"/>
  <c r="M28" i="11"/>
  <c r="Q28" i="11" s="1"/>
  <c r="S28" i="11" s="1"/>
  <c r="T28" i="11" s="1"/>
  <c r="H28" i="11"/>
  <c r="M27" i="11"/>
  <c r="Q27" i="11" s="1"/>
  <c r="S27" i="11" s="1"/>
  <c r="T27" i="11" s="1"/>
  <c r="T26" i="11" s="1"/>
  <c r="H27" i="11"/>
  <c r="H26" i="11" s="1"/>
  <c r="M25" i="11"/>
  <c r="Q25" i="11" s="1"/>
  <c r="H25" i="11"/>
  <c r="BE6" i="1" s="1"/>
  <c r="M24" i="11"/>
  <c r="Q24" i="11" s="1"/>
  <c r="S24" i="11" s="1"/>
  <c r="T24" i="11" s="1"/>
  <c r="H24" i="11"/>
  <c r="H21" i="11" s="1"/>
  <c r="BE4" i="1" s="1"/>
  <c r="Q23" i="11"/>
  <c r="S23" i="11" s="1"/>
  <c r="T23" i="11" s="1"/>
  <c r="M22" i="11"/>
  <c r="Q22" i="11" s="1"/>
  <c r="Q21" i="11" s="1"/>
  <c r="BH4" i="1" s="1"/>
  <c r="P20" i="11"/>
  <c r="N20" i="11"/>
  <c r="L20" i="11"/>
  <c r="I87" i="10"/>
  <c r="K86" i="10"/>
  <c r="K85" i="10"/>
  <c r="P83" i="10"/>
  <c r="T83" i="10" s="1"/>
  <c r="H83" i="10"/>
  <c r="P82" i="10"/>
  <c r="T82" i="10" s="1"/>
  <c r="L82" i="10"/>
  <c r="H82" i="10"/>
  <c r="P81" i="10"/>
  <c r="L81" i="10"/>
  <c r="L80" i="10" s="1"/>
  <c r="H81" i="10"/>
  <c r="H80" i="10" s="1"/>
  <c r="P79" i="10"/>
  <c r="T79" i="10" s="1"/>
  <c r="L79" i="10"/>
  <c r="L77" i="10" s="1"/>
  <c r="H79" i="10"/>
  <c r="P78" i="10"/>
  <c r="P77" i="10" s="1"/>
  <c r="H78" i="10"/>
  <c r="H77" i="10" s="1"/>
  <c r="I76" i="10"/>
  <c r="P75" i="10"/>
  <c r="T75" i="10" s="1"/>
  <c r="N75" i="10"/>
  <c r="N70" i="10" s="1"/>
  <c r="H75" i="10"/>
  <c r="T74" i="10"/>
  <c r="H74" i="10"/>
  <c r="T73" i="10"/>
  <c r="H73" i="10"/>
  <c r="P72" i="10"/>
  <c r="T72" i="10" s="1"/>
  <c r="H72" i="10"/>
  <c r="P71" i="10"/>
  <c r="H71" i="10"/>
  <c r="H70" i="10" s="1"/>
  <c r="AY66" i="1" s="1"/>
  <c r="P69" i="10"/>
  <c r="T69" i="10" s="1"/>
  <c r="N69" i="10"/>
  <c r="L69" i="10"/>
  <c r="L65" i="10" s="1"/>
  <c r="H69" i="10"/>
  <c r="P68" i="10"/>
  <c r="T68" i="10" s="1"/>
  <c r="N68" i="10"/>
  <c r="N65" i="10" s="1"/>
  <c r="H68" i="10"/>
  <c r="P67" i="10"/>
  <c r="T67" i="10" s="1"/>
  <c r="H67" i="10"/>
  <c r="P66" i="10"/>
  <c r="H66" i="10"/>
  <c r="H65" i="10" s="1"/>
  <c r="AY68" i="1" s="1"/>
  <c r="T64" i="10"/>
  <c r="Q64" i="10"/>
  <c r="H64" i="10"/>
  <c r="P63" i="10"/>
  <c r="T63" i="10" s="1"/>
  <c r="N63" i="10"/>
  <c r="N61" i="10" s="1"/>
  <c r="H63" i="10"/>
  <c r="P62" i="10"/>
  <c r="H62" i="10"/>
  <c r="H61" i="10" s="1"/>
  <c r="AY60" i="1" s="1"/>
  <c r="I60" i="10"/>
  <c r="T59" i="10"/>
  <c r="H59" i="10"/>
  <c r="P57" i="10"/>
  <c r="T57" i="10" s="1"/>
  <c r="N57" i="10"/>
  <c r="L57" i="10"/>
  <c r="L53" i="10" s="1"/>
  <c r="H57" i="10"/>
  <c r="P56" i="10"/>
  <c r="T56" i="10" s="1"/>
  <c r="N56" i="10"/>
  <c r="N53" i="10" s="1"/>
  <c r="H56" i="10"/>
  <c r="P55" i="10"/>
  <c r="T55" i="10" s="1"/>
  <c r="H55" i="10"/>
  <c r="P54" i="10"/>
  <c r="H54" i="10"/>
  <c r="H53" i="10" s="1"/>
  <c r="AY70" i="1" s="1"/>
  <c r="P52" i="10"/>
  <c r="T52" i="10" s="1"/>
  <c r="H52" i="10"/>
  <c r="P51" i="10"/>
  <c r="H51" i="10"/>
  <c r="H50" i="10" s="1"/>
  <c r="AY65" i="1" s="1"/>
  <c r="P49" i="10"/>
  <c r="H49" i="10"/>
  <c r="AY74" i="1" s="1"/>
  <c r="P48" i="10"/>
  <c r="T48" i="10" s="1"/>
  <c r="N48" i="10"/>
  <c r="H48" i="10"/>
  <c r="P47" i="10"/>
  <c r="T47" i="10" s="1"/>
  <c r="N47" i="10"/>
  <c r="N44" i="10" s="1"/>
  <c r="L47" i="10"/>
  <c r="L44" i="10" s="1"/>
  <c r="H47" i="10"/>
  <c r="P46" i="10"/>
  <c r="T46" i="10" s="1"/>
  <c r="H46" i="10"/>
  <c r="P45" i="10"/>
  <c r="H45" i="10"/>
  <c r="H44" i="10" s="1"/>
  <c r="AY78" i="1" s="1"/>
  <c r="Q43" i="10"/>
  <c r="Q39" i="10" s="1"/>
  <c r="P43" i="10"/>
  <c r="T43" i="10" s="1"/>
  <c r="N43" i="10"/>
  <c r="H43" i="10"/>
  <c r="P42" i="10"/>
  <c r="T42" i="10" s="1"/>
  <c r="N42" i="10"/>
  <c r="N39" i="10" s="1"/>
  <c r="H42" i="10"/>
  <c r="P41" i="10"/>
  <c r="T41" i="10" s="1"/>
  <c r="H41" i="10"/>
  <c r="P40" i="10"/>
  <c r="H40" i="10"/>
  <c r="H39" i="10" s="1"/>
  <c r="AY75" i="1" s="1"/>
  <c r="Q38" i="10"/>
  <c r="H38" i="10"/>
  <c r="O37" i="10"/>
  <c r="N37" i="10"/>
  <c r="N36" i="10" s="1"/>
  <c r="L37" i="10"/>
  <c r="L36" i="10" s="1"/>
  <c r="H37" i="10"/>
  <c r="H36" i="10" s="1"/>
  <c r="AY67" i="1" s="1"/>
  <c r="P35" i="10"/>
  <c r="T35" i="10" s="1"/>
  <c r="H35" i="10"/>
  <c r="P34" i="10"/>
  <c r="H34" i="10"/>
  <c r="H33" i="10" s="1"/>
  <c r="AY64" i="1" s="1"/>
  <c r="O32" i="10"/>
  <c r="P32" i="10" s="1"/>
  <c r="T32" i="10" s="1"/>
  <c r="N32" i="10"/>
  <c r="L32" i="10"/>
  <c r="L28" i="10" s="1"/>
  <c r="H32" i="10"/>
  <c r="O31" i="10"/>
  <c r="N31" i="10"/>
  <c r="H31" i="10"/>
  <c r="P30" i="10"/>
  <c r="T30" i="10" s="1"/>
  <c r="H30" i="10"/>
  <c r="P29" i="10"/>
  <c r="H29" i="10"/>
  <c r="H28" i="10" s="1"/>
  <c r="AY62" i="1" s="1"/>
  <c r="J27" i="10"/>
  <c r="I27" i="10"/>
  <c r="I26" i="10" s="1"/>
  <c r="S26" i="10"/>
  <c r="I24" i="10"/>
  <c r="P23" i="10"/>
  <c r="T23" i="10" s="1"/>
  <c r="H23" i="10"/>
  <c r="P22" i="10"/>
  <c r="T22" i="10" s="1"/>
  <c r="H22" i="10"/>
  <c r="P21" i="10"/>
  <c r="H21" i="10"/>
  <c r="S19" i="10"/>
  <c r="Q19" i="10"/>
  <c r="N19" i="10"/>
  <c r="J19" i="10"/>
  <c r="P24" i="10" l="1"/>
  <c r="I20" i="10"/>
  <c r="AZ118" i="1" s="1"/>
  <c r="T29" i="10"/>
  <c r="N27" i="10"/>
  <c r="N26" i="10" s="1"/>
  <c r="N28" i="10"/>
  <c r="P31" i="10"/>
  <c r="P28" i="10" s="1"/>
  <c r="BC62" i="1" s="1"/>
  <c r="O28" i="10"/>
  <c r="T34" i="10"/>
  <c r="T33" i="10" s="1"/>
  <c r="P33" i="10"/>
  <c r="BC64" i="1" s="1"/>
  <c r="P37" i="10"/>
  <c r="O36" i="10"/>
  <c r="S38" i="10"/>
  <c r="Q36" i="10"/>
  <c r="T40" i="10"/>
  <c r="T39" i="10" s="1"/>
  <c r="P39" i="10"/>
  <c r="BC75" i="1" s="1"/>
  <c r="T45" i="10"/>
  <c r="T44" i="10" s="1"/>
  <c r="P44" i="10"/>
  <c r="BC78" i="1" s="1"/>
  <c r="T49" i="10"/>
  <c r="BC74" i="1"/>
  <c r="T51" i="10"/>
  <c r="T50" i="10" s="1"/>
  <c r="P50" i="10"/>
  <c r="BC65" i="1" s="1"/>
  <c r="T54" i="10"/>
  <c r="T53" i="10" s="1"/>
  <c r="P53" i="10"/>
  <c r="BC70" i="1" s="1"/>
  <c r="T62" i="10"/>
  <c r="T61" i="10" s="1"/>
  <c r="P61" i="10"/>
  <c r="BC60" i="1" s="1"/>
  <c r="T66" i="10"/>
  <c r="T65" i="10" s="1"/>
  <c r="P65" i="10"/>
  <c r="BC68" i="1" s="1"/>
  <c r="T71" i="10"/>
  <c r="T70" i="10" s="1"/>
  <c r="P70" i="10"/>
  <c r="BC66" i="1" s="1"/>
  <c r="T81" i="10"/>
  <c r="T80" i="10" s="1"/>
  <c r="P80" i="10"/>
  <c r="S25" i="11"/>
  <c r="T25" i="11" s="1"/>
  <c r="BI6" i="1" s="1"/>
  <c r="BH6" i="1"/>
  <c r="S31" i="11"/>
  <c r="T31" i="11" s="1"/>
  <c r="BI8" i="1" s="1"/>
  <c r="BH8" i="1"/>
  <c r="Q72" i="11"/>
  <c r="S72" i="11" s="1"/>
  <c r="T72" i="11" s="1"/>
  <c r="T71" i="11" s="1"/>
  <c r="BI5" i="1" s="1"/>
  <c r="M71" i="11"/>
  <c r="Q75" i="11"/>
  <c r="S75" i="11" s="1"/>
  <c r="T75" i="11" s="1"/>
  <c r="T74" i="11" s="1"/>
  <c r="BI9" i="1" s="1"/>
  <c r="M74" i="11"/>
  <c r="S100" i="11"/>
  <c r="BH29" i="1"/>
  <c r="S106" i="11"/>
  <c r="T106" i="11" s="1"/>
  <c r="BI47" i="1" s="1"/>
  <c r="BH47" i="1"/>
  <c r="P108" i="11"/>
  <c r="M107" i="11"/>
  <c r="P113" i="11"/>
  <c r="P112" i="11" s="1"/>
  <c r="M112" i="11"/>
  <c r="Q117" i="11"/>
  <c r="S117" i="11" s="1"/>
  <c r="T117" i="11" s="1"/>
  <c r="T116" i="11" s="1"/>
  <c r="M116" i="11"/>
  <c r="S127" i="11"/>
  <c r="T127" i="11" s="1"/>
  <c r="BI48" i="1" s="1"/>
  <c r="BH48" i="1"/>
  <c r="S171" i="11"/>
  <c r="BH90" i="1"/>
  <c r="M172" i="11"/>
  <c r="P180" i="11"/>
  <c r="T180" i="11" s="1"/>
  <c r="T179" i="11" s="1"/>
  <c r="BI123" i="1" s="1"/>
  <c r="M179" i="11"/>
  <c r="N187" i="11"/>
  <c r="N186" i="11" s="1"/>
  <c r="M186" i="11"/>
  <c r="H23" i="12"/>
  <c r="Q23" i="12"/>
  <c r="H28" i="12"/>
  <c r="Q28" i="12"/>
  <c r="S37" i="12"/>
  <c r="BN125" i="1"/>
  <c r="H38" i="12"/>
  <c r="BK108" i="1"/>
  <c r="H50" i="12"/>
  <c r="Q66" i="12"/>
  <c r="BN121" i="1" s="1"/>
  <c r="S67" i="12"/>
  <c r="P73" i="12"/>
  <c r="P72" i="12" s="1"/>
  <c r="T74" i="12"/>
  <c r="H73" i="12"/>
  <c r="Q73" i="12"/>
  <c r="BN117" i="1" s="1"/>
  <c r="H83" i="12"/>
  <c r="BK115" i="1" s="1"/>
  <c r="Q94" i="12"/>
  <c r="S95" i="12"/>
  <c r="T95" i="12" s="1"/>
  <c r="S107" i="12"/>
  <c r="BN86" i="1"/>
  <c r="R28" i="13"/>
  <c r="S28" i="13" s="1"/>
  <c r="S27" i="13" s="1"/>
  <c r="P27" i="13"/>
  <c r="BT65" i="1" s="1"/>
  <c r="R30" i="13"/>
  <c r="BT70" i="1"/>
  <c r="R35" i="13"/>
  <c r="BT75" i="1"/>
  <c r="R43" i="13"/>
  <c r="BT60" i="1"/>
  <c r="R44" i="13"/>
  <c r="BT61" i="1"/>
  <c r="R55" i="13"/>
  <c r="S55" i="13" s="1"/>
  <c r="S54" i="13" s="1"/>
  <c r="P54" i="13"/>
  <c r="BT68" i="1" s="1"/>
  <c r="R57" i="13"/>
  <c r="BT71" i="1"/>
  <c r="R59" i="13"/>
  <c r="S59" i="13" s="1"/>
  <c r="S58" i="13" s="1"/>
  <c r="P58" i="13"/>
  <c r="BT72" i="1" s="1"/>
  <c r="R62" i="13"/>
  <c r="BT76" i="1"/>
  <c r="R63" i="13"/>
  <c r="BT73" i="1"/>
  <c r="S65" i="13"/>
  <c r="S64" i="13" s="1"/>
  <c r="R64" i="13"/>
  <c r="BU79" i="1" s="1"/>
  <c r="R90" i="13"/>
  <c r="S90" i="13" s="1"/>
  <c r="S89" i="13" s="1"/>
  <c r="P89" i="13"/>
  <c r="BT8" i="1" s="1"/>
  <c r="R92" i="13"/>
  <c r="BT3" i="1"/>
  <c r="R107" i="13"/>
  <c r="BT12" i="1"/>
  <c r="R112" i="13"/>
  <c r="BT24" i="1"/>
  <c r="R113" i="13"/>
  <c r="BT5" i="1"/>
  <c r="R114" i="13"/>
  <c r="BT15" i="1"/>
  <c r="R115" i="13"/>
  <c r="BT23" i="1"/>
  <c r="R117" i="13"/>
  <c r="BT18" i="1"/>
  <c r="R121" i="13"/>
  <c r="BU28" i="1" s="1"/>
  <c r="BT28" i="1"/>
  <c r="R122" i="13"/>
  <c r="BT47" i="1"/>
  <c r="R127" i="13"/>
  <c r="BT54" i="1"/>
  <c r="R128" i="13"/>
  <c r="BT30" i="1"/>
  <c r="R129" i="13"/>
  <c r="BT45" i="1"/>
  <c r="R130" i="13"/>
  <c r="BT38" i="1"/>
  <c r="R131" i="13"/>
  <c r="BT49" i="1"/>
  <c r="R133" i="13"/>
  <c r="BT56" i="1"/>
  <c r="R143" i="13"/>
  <c r="BT59" i="1"/>
  <c r="R148" i="13"/>
  <c r="BT58" i="1"/>
  <c r="R155" i="13"/>
  <c r="BT40" i="1"/>
  <c r="R157" i="13"/>
  <c r="BT48" i="1"/>
  <c r="R158" i="13"/>
  <c r="BT27" i="1"/>
  <c r="K159" i="13"/>
  <c r="R162" i="13"/>
  <c r="BT55" i="1"/>
  <c r="R163" i="13"/>
  <c r="BT51" i="1"/>
  <c r="R164" i="13"/>
  <c r="BT39" i="1"/>
  <c r="R168" i="13"/>
  <c r="BT53" i="1"/>
  <c r="R193" i="13"/>
  <c r="S193" i="13" s="1"/>
  <c r="S192" i="13" s="1"/>
  <c r="P192" i="13"/>
  <c r="BT82" i="1" s="1"/>
  <c r="R261" i="13"/>
  <c r="BT125" i="1"/>
  <c r="R277" i="13"/>
  <c r="BU108" i="1" s="1"/>
  <c r="BT108" i="1"/>
  <c r="K278" i="13"/>
  <c r="R283" i="13"/>
  <c r="BT104" i="1"/>
  <c r="R291" i="13"/>
  <c r="BT112" i="1"/>
  <c r="R297" i="13"/>
  <c r="S297" i="13" s="1"/>
  <c r="P296" i="13"/>
  <c r="BT105" i="1" s="1"/>
  <c r="R314" i="13"/>
  <c r="BT113" i="1"/>
  <c r="R317" i="13"/>
  <c r="R316" i="13" s="1"/>
  <c r="BU127" i="1" s="1"/>
  <c r="P316" i="13"/>
  <c r="BT127" i="1" s="1"/>
  <c r="S319" i="13"/>
  <c r="O316" i="13"/>
  <c r="R321" i="13"/>
  <c r="P320" i="13"/>
  <c r="BT121" i="1" s="1"/>
  <c r="R328" i="13"/>
  <c r="P327" i="13"/>
  <c r="BT110" i="1" s="1"/>
  <c r="R332" i="13"/>
  <c r="P331" i="13"/>
  <c r="BT91" i="1" s="1"/>
  <c r="R336" i="13"/>
  <c r="P335" i="13"/>
  <c r="BT83" i="1" s="1"/>
  <c r="R338" i="13"/>
  <c r="BT89" i="1"/>
  <c r="R340" i="13"/>
  <c r="P339" i="13"/>
  <c r="BT101" i="1" s="1"/>
  <c r="R345" i="13"/>
  <c r="P344" i="13"/>
  <c r="BT120" i="1" s="1"/>
  <c r="R349" i="13"/>
  <c r="P348" i="13"/>
  <c r="BT126" i="1" s="1"/>
  <c r="R358" i="13"/>
  <c r="R355" i="13" s="1"/>
  <c r="BU119" i="1" s="1"/>
  <c r="P355" i="13"/>
  <c r="BT119" i="1" s="1"/>
  <c r="R361" i="13"/>
  <c r="P360" i="13"/>
  <c r="BT109" i="1" s="1"/>
  <c r="P364" i="13"/>
  <c r="P363" i="13" s="1"/>
  <c r="BT117" i="1" s="1"/>
  <c r="I363" i="13"/>
  <c r="BR117" i="1" s="1"/>
  <c r="S366" i="13"/>
  <c r="O363" i="13"/>
  <c r="R368" i="13"/>
  <c r="P367" i="13"/>
  <c r="BT124" i="1" s="1"/>
  <c r="R371" i="13"/>
  <c r="P370" i="13"/>
  <c r="BT85" i="1" s="1"/>
  <c r="R375" i="13"/>
  <c r="P374" i="13"/>
  <c r="BT86" i="1" s="1"/>
  <c r="S377" i="13"/>
  <c r="O374" i="13"/>
  <c r="R380" i="13"/>
  <c r="P379" i="13"/>
  <c r="BT115" i="1" s="1"/>
  <c r="R383" i="13"/>
  <c r="P382" i="13"/>
  <c r="BT111" i="1" s="1"/>
  <c r="R386" i="13"/>
  <c r="BT116" i="1"/>
  <c r="R388" i="13"/>
  <c r="P387" i="13"/>
  <c r="BT123" i="1" s="1"/>
  <c r="S392" i="13"/>
  <c r="O387" i="13"/>
  <c r="J60" i="10"/>
  <c r="BG125" i="1"/>
  <c r="BG117" i="1"/>
  <c r="BG109" i="1"/>
  <c r="BG101" i="1"/>
  <c r="BG93" i="1"/>
  <c r="BG85" i="1"/>
  <c r="BM6" i="1"/>
  <c r="BM14" i="1"/>
  <c r="BM24" i="1"/>
  <c r="BM32" i="1"/>
  <c r="BM40" i="1"/>
  <c r="BM48" i="1"/>
  <c r="BM56" i="1"/>
  <c r="CE10" i="1"/>
  <c r="M21" i="13"/>
  <c r="H42" i="13"/>
  <c r="BQ68" i="1"/>
  <c r="O68" i="13"/>
  <c r="H68" i="13"/>
  <c r="BQ8" i="1"/>
  <c r="M94" i="13"/>
  <c r="H171" i="13"/>
  <c r="BQ80" i="1"/>
  <c r="BS82" i="1"/>
  <c r="I226" i="13"/>
  <c r="BR100" i="1"/>
  <c r="H226" i="13"/>
  <c r="BQ94" i="1"/>
  <c r="I276" i="13"/>
  <c r="BR96" i="1"/>
  <c r="BS5" i="1"/>
  <c r="BY88" i="1"/>
  <c r="BY126" i="1"/>
  <c r="Q167" i="16"/>
  <c r="Q166" i="16" s="1"/>
  <c r="P166" i="16"/>
  <c r="CM31" i="1" s="1"/>
  <c r="Q208" i="16"/>
  <c r="CM3" i="1"/>
  <c r="Q75" i="16"/>
  <c r="CM105" i="1"/>
  <c r="Q84" i="16"/>
  <c r="G128" i="16"/>
  <c r="G107" i="16" s="1"/>
  <c r="Q27" i="16"/>
  <c r="CM93" i="1"/>
  <c r="CL65" i="1"/>
  <c r="P136" i="16"/>
  <c r="N135" i="16"/>
  <c r="CL123" i="1" s="1"/>
  <c r="N32" i="16"/>
  <c r="CL94" i="1"/>
  <c r="N52" i="16"/>
  <c r="CL104" i="1"/>
  <c r="CM94" i="1"/>
  <c r="Q218" i="17"/>
  <c r="CS109" i="1"/>
  <c r="Q183" i="17"/>
  <c r="CS96" i="1"/>
  <c r="Q161" i="17"/>
  <c r="CS102" i="1"/>
  <c r="CS29" i="1"/>
  <c r="Q71" i="17"/>
  <c r="H23" i="19"/>
  <c r="H22" i="19" s="1"/>
  <c r="H61" i="19" s="1"/>
  <c r="DA6" i="1"/>
  <c r="DC6" i="1" s="1"/>
  <c r="CS68" i="1"/>
  <c r="Q129" i="17"/>
  <c r="N71" i="17"/>
  <c r="CR59" i="1"/>
  <c r="Q43" i="17"/>
  <c r="CS49" i="1"/>
  <c r="DD6" i="1"/>
  <c r="Q23" i="19"/>
  <c r="T27" i="19"/>
  <c r="T25" i="19" s="1"/>
  <c r="DE6" i="1" s="1"/>
  <c r="S25" i="19"/>
  <c r="N183" i="17"/>
  <c r="CR118" i="1"/>
  <c r="N43" i="17"/>
  <c r="CR47" i="1"/>
  <c r="Q120" i="20"/>
  <c r="P118" i="20"/>
  <c r="Q36" i="20"/>
  <c r="P34" i="20"/>
  <c r="DJ96" i="1"/>
  <c r="N76" i="20"/>
  <c r="Q79" i="20"/>
  <c r="P77" i="20"/>
  <c r="N21" i="20"/>
  <c r="N19" i="20" s="1"/>
  <c r="DJ79" i="1"/>
  <c r="Q118" i="20"/>
  <c r="DK90" i="1" s="1"/>
  <c r="J38" i="21"/>
  <c r="DP109" i="1"/>
  <c r="K42" i="21"/>
  <c r="K41" i="21" s="1"/>
  <c r="K43" i="21"/>
  <c r="DQ73" i="1" s="1"/>
  <c r="K15" i="21"/>
  <c r="DQ99" i="1"/>
  <c r="J42" i="21"/>
  <c r="J41" i="21" s="1"/>
  <c r="J43" i="21"/>
  <c r="DP73" i="1" s="1"/>
  <c r="K34" i="21"/>
  <c r="DQ127" i="1"/>
  <c r="K35" i="21"/>
  <c r="DP127" i="1"/>
  <c r="J35" i="21"/>
  <c r="J32" i="21"/>
  <c r="DP104" i="1"/>
  <c r="K32" i="21"/>
  <c r="DQ104" i="1"/>
  <c r="DJ60" i="1"/>
  <c r="P37" i="20"/>
  <c r="Q37" i="20" s="1"/>
  <c r="DK60" i="1" s="1"/>
  <c r="Q59" i="19"/>
  <c r="Q58" i="19" s="1"/>
  <c r="DD30" i="1"/>
  <c r="DD24" i="1"/>
  <c r="S56" i="19"/>
  <c r="T56" i="19" s="1"/>
  <c r="DE24" i="1" s="1"/>
  <c r="S46" i="19"/>
  <c r="T46" i="19" s="1"/>
  <c r="DE16" i="1" s="1"/>
  <c r="DD16" i="1"/>
  <c r="S45" i="19"/>
  <c r="T45" i="19" s="1"/>
  <c r="DE15" i="1" s="1"/>
  <c r="DD15" i="1"/>
  <c r="DD11" i="1"/>
  <c r="S41" i="19"/>
  <c r="T41" i="19" s="1"/>
  <c r="DE11" i="1" s="1"/>
  <c r="S34" i="19"/>
  <c r="T34" i="19" s="1"/>
  <c r="DE25" i="1" s="1"/>
  <c r="DD25" i="1"/>
  <c r="S33" i="19"/>
  <c r="T33" i="19" s="1"/>
  <c r="DE20" i="1" s="1"/>
  <c r="DD20" i="1"/>
  <c r="S32" i="19"/>
  <c r="T32" i="19" s="1"/>
  <c r="DE19" i="1" s="1"/>
  <c r="DD19" i="1"/>
  <c r="DD8" i="1"/>
  <c r="S28" i="19"/>
  <c r="T28" i="19" s="1"/>
  <c r="DE8" i="1" s="1"/>
  <c r="N22" i="18"/>
  <c r="N21" i="18" s="1"/>
  <c r="N19" i="18" s="1"/>
  <c r="CX20" i="1"/>
  <c r="Q208" i="17"/>
  <c r="CS89" i="1"/>
  <c r="N200" i="17"/>
  <c r="CR97" i="1"/>
  <c r="H141" i="17"/>
  <c r="H19" i="17" s="1"/>
  <c r="I141" i="17"/>
  <c r="CR95" i="1"/>
  <c r="N142" i="17"/>
  <c r="N141" i="17" s="1"/>
  <c r="I42" i="17"/>
  <c r="I19" i="17" s="1"/>
  <c r="Q22" i="17"/>
  <c r="CS19" i="1"/>
  <c r="Q261" i="16"/>
  <c r="Q260" i="16" s="1"/>
  <c r="P260" i="16"/>
  <c r="CM14" i="1" s="1"/>
  <c r="Q258" i="16"/>
  <c r="Q257" i="16" s="1"/>
  <c r="P257" i="16"/>
  <c r="CM16" i="1" s="1"/>
  <c r="Q256" i="16"/>
  <c r="CM21" i="1"/>
  <c r="Q253" i="16"/>
  <c r="Q252" i="16" s="1"/>
  <c r="P252" i="16"/>
  <c r="CM24" i="1" s="1"/>
  <c r="Q251" i="16"/>
  <c r="CM18" i="1"/>
  <c r="Q248" i="16"/>
  <c r="Q247" i="16" s="1"/>
  <c r="P247" i="16"/>
  <c r="CM15" i="1" s="1"/>
  <c r="Q245" i="16"/>
  <c r="Q244" i="16" s="1"/>
  <c r="P244" i="16"/>
  <c r="CM12" i="1" s="1"/>
  <c r="Q243" i="16"/>
  <c r="CM5" i="1"/>
  <c r="Q241" i="16"/>
  <c r="Q240" i="16" s="1"/>
  <c r="Q238" i="16" s="1"/>
  <c r="P240" i="16"/>
  <c r="CM22" i="1" s="1"/>
  <c r="Q235" i="16"/>
  <c r="Q234" i="16" s="1"/>
  <c r="P234" i="16"/>
  <c r="Q231" i="16"/>
  <c r="Q230" i="16" s="1"/>
  <c r="P230" i="16"/>
  <c r="CM8" i="1" s="1"/>
  <c r="Q225" i="16"/>
  <c r="Q224" i="16" s="1"/>
  <c r="P224" i="16"/>
  <c r="CM25" i="1" s="1"/>
  <c r="Q222" i="16"/>
  <c r="Q221" i="16" s="1"/>
  <c r="P221" i="16"/>
  <c r="CM17" i="1" s="1"/>
  <c r="Q219" i="16"/>
  <c r="Q218" i="16" s="1"/>
  <c r="P218" i="16"/>
  <c r="CM19" i="1" s="1"/>
  <c r="Q214" i="16"/>
  <c r="Q213" i="16" s="1"/>
  <c r="P213" i="16"/>
  <c r="CM6" i="1" s="1"/>
  <c r="Q210" i="16"/>
  <c r="Q209" i="16" s="1"/>
  <c r="P209" i="16"/>
  <c r="CM4" i="1" s="1"/>
  <c r="Q202" i="16"/>
  <c r="Q201" i="16" s="1"/>
  <c r="P201" i="16"/>
  <c r="CM57" i="1" s="1"/>
  <c r="Q198" i="16"/>
  <c r="Q197" i="16" s="1"/>
  <c r="P197" i="16"/>
  <c r="CM32" i="1" s="1"/>
  <c r="Q196" i="16"/>
  <c r="CM35" i="1"/>
  <c r="Q194" i="16"/>
  <c r="Q193" i="16" s="1"/>
  <c r="P193" i="16"/>
  <c r="CM39" i="1" s="1"/>
  <c r="Q192" i="16"/>
  <c r="CM43" i="1"/>
  <c r="Q189" i="16"/>
  <c r="Q188" i="16" s="1"/>
  <c r="P188" i="16"/>
  <c r="Q187" i="16"/>
  <c r="CM48" i="1"/>
  <c r="Q183" i="16"/>
  <c r="Q182" i="16" s="1"/>
  <c r="P182" i="16"/>
  <c r="Q177" i="16"/>
  <c r="Q176" i="16" s="1"/>
  <c r="P176" i="16"/>
  <c r="CM45" i="1" s="1"/>
  <c r="Q175" i="16"/>
  <c r="CM47" i="1"/>
  <c r="Q174" i="16"/>
  <c r="CM38" i="1"/>
  <c r="Q173" i="16"/>
  <c r="CM28" i="1"/>
  <c r="Q170" i="16"/>
  <c r="Q169" i="16" s="1"/>
  <c r="P169" i="16"/>
  <c r="CM56" i="1" s="1"/>
  <c r="Q161" i="16"/>
  <c r="CM67" i="1"/>
  <c r="P159" i="16"/>
  <c r="N158" i="16"/>
  <c r="CL73" i="1" s="1"/>
  <c r="P156" i="16"/>
  <c r="N155" i="16"/>
  <c r="CL79" i="1" s="1"/>
  <c r="P153" i="16"/>
  <c r="N152" i="16"/>
  <c r="Q151" i="16"/>
  <c r="CM68" i="1"/>
  <c r="P147" i="16"/>
  <c r="N146" i="16"/>
  <c r="Q145" i="16"/>
  <c r="CM70" i="1"/>
  <c r="Q139" i="16"/>
  <c r="Q138" i="16" s="1"/>
  <c r="P138" i="16"/>
  <c r="CM124" i="1" s="1"/>
  <c r="Q133" i="16"/>
  <c r="Q132" i="16" s="1"/>
  <c r="P132" i="16"/>
  <c r="CM116" i="1" s="1"/>
  <c r="P130" i="16"/>
  <c r="Q130" i="16" s="1"/>
  <c r="N128" i="16"/>
  <c r="CL85" i="1" s="1"/>
  <c r="Q129" i="16"/>
  <c r="Q128" i="16" s="1"/>
  <c r="P128" i="16"/>
  <c r="CM85" i="1" s="1"/>
  <c r="Q123" i="16"/>
  <c r="Q122" i="16" s="1"/>
  <c r="P122" i="16"/>
  <c r="CM117" i="1" s="1"/>
  <c r="Q117" i="16"/>
  <c r="Q116" i="16" s="1"/>
  <c r="P116" i="16"/>
  <c r="CM115" i="1" s="1"/>
  <c r="Q110" i="16"/>
  <c r="Q109" i="16" s="1"/>
  <c r="P109" i="16"/>
  <c r="CM86" i="1" s="1"/>
  <c r="Q102" i="16"/>
  <c r="Q101" i="16" s="1"/>
  <c r="P101" i="16"/>
  <c r="CM126" i="1" s="1"/>
  <c r="Q100" i="16"/>
  <c r="CM127" i="1"/>
  <c r="Q99" i="16"/>
  <c r="CM83" i="1"/>
  <c r="Q97" i="16"/>
  <c r="Q96" i="16" s="1"/>
  <c r="P96" i="16"/>
  <c r="CM121" i="1" s="1"/>
  <c r="Q93" i="16"/>
  <c r="Q92" i="16" s="1"/>
  <c r="P92" i="16"/>
  <c r="CM101" i="1" s="1"/>
  <c r="Q91" i="16"/>
  <c r="CM91" i="1"/>
  <c r="Q88" i="16"/>
  <c r="Q87" i="16" s="1"/>
  <c r="Q83" i="16" s="1"/>
  <c r="P87" i="16"/>
  <c r="Q81" i="16"/>
  <c r="CM106" i="1"/>
  <c r="Q80" i="16"/>
  <c r="CM114" i="1"/>
  <c r="Q58" i="16"/>
  <c r="CM96" i="1"/>
  <c r="Q42" i="16"/>
  <c r="CM92" i="1"/>
  <c r="Q41" i="16"/>
  <c r="CM102" i="1"/>
  <c r="Q40" i="16"/>
  <c r="CM100" i="1"/>
  <c r="P37" i="16"/>
  <c r="Q37" i="16"/>
  <c r="Q32" i="16" s="1"/>
  <c r="Q30" i="16"/>
  <c r="CM99" i="1"/>
  <c r="Q29" i="16"/>
  <c r="CM98" i="1"/>
  <c r="Q28" i="16"/>
  <c r="CM95" i="1"/>
  <c r="Q26" i="16"/>
  <c r="CM103" i="1"/>
  <c r="Q25" i="16"/>
  <c r="CM82" i="1"/>
  <c r="Q24" i="16"/>
  <c r="CM84" i="1"/>
  <c r="BY69" i="1"/>
  <c r="BM102" i="1"/>
  <c r="BM94" i="1"/>
  <c r="BM86" i="1"/>
  <c r="BS122" i="1"/>
  <c r="BS114" i="1"/>
  <c r="BS106" i="1"/>
  <c r="CW62" i="1"/>
  <c r="CW70" i="1"/>
  <c r="CW78" i="1"/>
  <c r="DM6" i="1"/>
  <c r="DL6" i="1"/>
  <c r="DQ6" i="1"/>
  <c r="DP6" i="1"/>
  <c r="DN6" i="1"/>
  <c r="DP14" i="1"/>
  <c r="DN14" i="1"/>
  <c r="DM14" i="1"/>
  <c r="DL14" i="1"/>
  <c r="DQ14" i="1"/>
  <c r="DQ22" i="1"/>
  <c r="DP22" i="1"/>
  <c r="DN22" i="1"/>
  <c r="DM22" i="1"/>
  <c r="DL22" i="1"/>
  <c r="DQ30" i="1"/>
  <c r="DP30" i="1"/>
  <c r="DN30" i="1"/>
  <c r="DM30" i="1"/>
  <c r="DL30" i="1"/>
  <c r="DQ38" i="1"/>
  <c r="DP38" i="1"/>
  <c r="DN38" i="1"/>
  <c r="DM38" i="1"/>
  <c r="DL38" i="1"/>
  <c r="DQ46" i="1"/>
  <c r="DP46" i="1"/>
  <c r="DN46" i="1"/>
  <c r="DM46" i="1"/>
  <c r="DL46" i="1"/>
  <c r="DQ54" i="1"/>
  <c r="DP54" i="1"/>
  <c r="DM54" i="1"/>
  <c r="DN54" i="1"/>
  <c r="DL54" i="1"/>
  <c r="DL3" i="1"/>
  <c r="DQ3" i="1"/>
  <c r="DP3" i="1"/>
  <c r="DN3" i="1"/>
  <c r="DM3" i="1"/>
  <c r="DQ11" i="1"/>
  <c r="DP11" i="1"/>
  <c r="DN11" i="1"/>
  <c r="DM11" i="1"/>
  <c r="DL11" i="1"/>
  <c r="DL19" i="1"/>
  <c r="DQ19" i="1"/>
  <c r="DP19" i="1"/>
  <c r="DN19" i="1"/>
  <c r="DM19" i="1"/>
  <c r="DN27" i="1"/>
  <c r="DM27" i="1"/>
  <c r="DL27" i="1"/>
  <c r="DQ27" i="1"/>
  <c r="DP27" i="1"/>
  <c r="DQ35" i="1"/>
  <c r="DP35" i="1"/>
  <c r="DN35" i="1"/>
  <c r="DM35" i="1"/>
  <c r="DO35" i="1" s="1"/>
  <c r="DL35" i="1"/>
  <c r="DQ43" i="1"/>
  <c r="DP43" i="1"/>
  <c r="DN43" i="1"/>
  <c r="DM43" i="1"/>
  <c r="DL43" i="1"/>
  <c r="DQ51" i="1"/>
  <c r="DP51" i="1"/>
  <c r="DN51" i="1"/>
  <c r="DM51" i="1"/>
  <c r="DL51" i="1"/>
  <c r="DQ59" i="1"/>
  <c r="DP59" i="1"/>
  <c r="DN59" i="1"/>
  <c r="DM59" i="1"/>
  <c r="DL59" i="1"/>
  <c r="K24" i="21"/>
  <c r="K25" i="21"/>
  <c r="DQ107" i="1" s="1"/>
  <c r="DQ8" i="1"/>
  <c r="DM8" i="1"/>
  <c r="DL8" i="1"/>
  <c r="DP8" i="1"/>
  <c r="DN8" i="1"/>
  <c r="DQ16" i="1"/>
  <c r="DP16" i="1"/>
  <c r="DN16" i="1"/>
  <c r="DM16" i="1"/>
  <c r="DO16" i="1" s="1"/>
  <c r="DL16" i="1"/>
  <c r="DQ24" i="1"/>
  <c r="DP24" i="1"/>
  <c r="DN24" i="1"/>
  <c r="DM24" i="1"/>
  <c r="DL24" i="1"/>
  <c r="DQ32" i="1"/>
  <c r="DP32" i="1"/>
  <c r="DN32" i="1"/>
  <c r="DM32" i="1"/>
  <c r="DL32" i="1"/>
  <c r="DQ40" i="1"/>
  <c r="DP40" i="1"/>
  <c r="DN40" i="1"/>
  <c r="DM40" i="1"/>
  <c r="DL40" i="1"/>
  <c r="DQ48" i="1"/>
  <c r="DP48" i="1"/>
  <c r="DN48" i="1"/>
  <c r="DM48" i="1"/>
  <c r="DL48" i="1"/>
  <c r="DQ56" i="1"/>
  <c r="DP56" i="1"/>
  <c r="DN56" i="1"/>
  <c r="DM56" i="1"/>
  <c r="DL56" i="1"/>
  <c r="J34" i="21"/>
  <c r="DQ5" i="1"/>
  <c r="DP5" i="1"/>
  <c r="DN5" i="1"/>
  <c r="DM5" i="1"/>
  <c r="DL5" i="1"/>
  <c r="DQ13" i="1"/>
  <c r="DP13" i="1"/>
  <c r="DN13" i="1"/>
  <c r="DM13" i="1"/>
  <c r="DO13" i="1" s="1"/>
  <c r="DL13" i="1"/>
  <c r="DQ21" i="1"/>
  <c r="DP21" i="1"/>
  <c r="DL21" i="1"/>
  <c r="DN21" i="1"/>
  <c r="DM21" i="1"/>
  <c r="DO21" i="1" s="1"/>
  <c r="DQ29" i="1"/>
  <c r="DP29" i="1"/>
  <c r="DN29" i="1"/>
  <c r="DM29" i="1"/>
  <c r="DO29" i="1" s="1"/>
  <c r="DL29" i="1"/>
  <c r="DQ37" i="1"/>
  <c r="DP37" i="1"/>
  <c r="DN37" i="1"/>
  <c r="DM37" i="1"/>
  <c r="DL37" i="1"/>
  <c r="DQ45" i="1"/>
  <c r="DP45" i="1"/>
  <c r="DN45" i="1"/>
  <c r="DM45" i="1"/>
  <c r="DL45" i="1"/>
  <c r="DQ53" i="1"/>
  <c r="DP53" i="1"/>
  <c r="DN53" i="1"/>
  <c r="DM53" i="1"/>
  <c r="DL53" i="1"/>
  <c r="J15" i="21"/>
  <c r="DP10" i="1"/>
  <c r="DN10" i="1"/>
  <c r="DM10" i="1"/>
  <c r="DL10" i="1"/>
  <c r="DQ10" i="1"/>
  <c r="DP18" i="1"/>
  <c r="DN18" i="1"/>
  <c r="DQ18" i="1"/>
  <c r="DM18" i="1"/>
  <c r="DL18" i="1"/>
  <c r="DP26" i="1"/>
  <c r="DN26" i="1"/>
  <c r="DQ26" i="1"/>
  <c r="DM26" i="1"/>
  <c r="DL26" i="1"/>
  <c r="DP34" i="1"/>
  <c r="DN34" i="1"/>
  <c r="DQ34" i="1"/>
  <c r="DM34" i="1"/>
  <c r="DL34" i="1"/>
  <c r="DP42" i="1"/>
  <c r="DN42" i="1"/>
  <c r="DM42" i="1"/>
  <c r="DL42" i="1"/>
  <c r="DQ42" i="1"/>
  <c r="DP50" i="1"/>
  <c r="DN50" i="1"/>
  <c r="DM50" i="1"/>
  <c r="DO50" i="1" s="1"/>
  <c r="DL50" i="1"/>
  <c r="DQ50" i="1"/>
  <c r="DP58" i="1"/>
  <c r="DN58" i="1"/>
  <c r="DM58" i="1"/>
  <c r="DL58" i="1"/>
  <c r="DQ58" i="1"/>
  <c r="K14" i="21"/>
  <c r="DN7" i="1"/>
  <c r="DM7" i="1"/>
  <c r="DQ7" i="1"/>
  <c r="DP7" i="1"/>
  <c r="DL7" i="1"/>
  <c r="DN15" i="1"/>
  <c r="DM15" i="1"/>
  <c r="DQ15" i="1"/>
  <c r="DP15" i="1"/>
  <c r="DL15" i="1"/>
  <c r="DN23" i="1"/>
  <c r="DM23" i="1"/>
  <c r="DO23" i="1" s="1"/>
  <c r="DL23" i="1"/>
  <c r="DQ23" i="1"/>
  <c r="DP23" i="1"/>
  <c r="DN31" i="1"/>
  <c r="DM31" i="1"/>
  <c r="DQ31" i="1"/>
  <c r="DP31" i="1"/>
  <c r="DL31" i="1"/>
  <c r="DN39" i="1"/>
  <c r="DM39" i="1"/>
  <c r="DL39" i="1"/>
  <c r="DQ39" i="1"/>
  <c r="DP39" i="1"/>
  <c r="DN47" i="1"/>
  <c r="DM47" i="1"/>
  <c r="DL47" i="1"/>
  <c r="DQ47" i="1"/>
  <c r="DP47" i="1"/>
  <c r="DN55" i="1"/>
  <c r="DM55" i="1"/>
  <c r="DO55" i="1" s="1"/>
  <c r="DL55" i="1"/>
  <c r="DQ55" i="1"/>
  <c r="DP55" i="1"/>
  <c r="J25" i="21"/>
  <c r="DP107" i="1" s="1"/>
  <c r="J24" i="21"/>
  <c r="DP4" i="1"/>
  <c r="DN4" i="1"/>
  <c r="DM4" i="1"/>
  <c r="DL4" i="1"/>
  <c r="DQ4" i="1"/>
  <c r="DM12" i="1"/>
  <c r="DL12" i="1"/>
  <c r="DP12" i="1"/>
  <c r="DN12" i="1"/>
  <c r="DQ12" i="1"/>
  <c r="DM20" i="1"/>
  <c r="DL20" i="1"/>
  <c r="DQ20" i="1"/>
  <c r="DP20" i="1"/>
  <c r="DN20" i="1"/>
  <c r="DM28" i="1"/>
  <c r="DL28" i="1"/>
  <c r="DQ28" i="1"/>
  <c r="DP28" i="1"/>
  <c r="DN28" i="1"/>
  <c r="DM36" i="1"/>
  <c r="DL36" i="1"/>
  <c r="DQ36" i="1"/>
  <c r="DP36" i="1"/>
  <c r="DN36" i="1"/>
  <c r="DO36" i="1" s="1"/>
  <c r="DM44" i="1"/>
  <c r="DL44" i="1"/>
  <c r="DQ44" i="1"/>
  <c r="DP44" i="1"/>
  <c r="DN44" i="1"/>
  <c r="DM52" i="1"/>
  <c r="DL52" i="1"/>
  <c r="DQ52" i="1"/>
  <c r="DP52" i="1"/>
  <c r="DN52" i="1"/>
  <c r="DL9" i="1"/>
  <c r="DQ9" i="1"/>
  <c r="DP9" i="1"/>
  <c r="DN9" i="1"/>
  <c r="DM9" i="1"/>
  <c r="DL17" i="1"/>
  <c r="DQ17" i="1"/>
  <c r="DP17" i="1"/>
  <c r="DN17" i="1"/>
  <c r="DM17" i="1"/>
  <c r="DL25" i="1"/>
  <c r="DN25" i="1"/>
  <c r="DM25" i="1"/>
  <c r="DQ25" i="1"/>
  <c r="DP25" i="1"/>
  <c r="DL33" i="1"/>
  <c r="DQ33" i="1"/>
  <c r="DP33" i="1"/>
  <c r="DN33" i="1"/>
  <c r="DM33" i="1"/>
  <c r="DL41" i="1"/>
  <c r="DQ41" i="1"/>
  <c r="DP41" i="1"/>
  <c r="DN41" i="1"/>
  <c r="DM41" i="1"/>
  <c r="DO41" i="1" s="1"/>
  <c r="DL49" i="1"/>
  <c r="DQ49" i="1"/>
  <c r="DP49" i="1"/>
  <c r="DN49" i="1"/>
  <c r="DM49" i="1"/>
  <c r="DL57" i="1"/>
  <c r="DQ57" i="1"/>
  <c r="DN57" i="1"/>
  <c r="DP57" i="1"/>
  <c r="DM57" i="1"/>
  <c r="DO57" i="1" s="1"/>
  <c r="K12" i="21"/>
  <c r="P157" i="20"/>
  <c r="Q158" i="20"/>
  <c r="Q157" i="20" s="1"/>
  <c r="DK110" i="1" s="1"/>
  <c r="P106" i="20"/>
  <c r="Q107" i="20"/>
  <c r="Q106" i="20" s="1"/>
  <c r="DK88" i="1" s="1"/>
  <c r="BM109" i="1"/>
  <c r="BM104" i="1"/>
  <c r="BM96" i="1"/>
  <c r="BS19" i="1"/>
  <c r="BS49" i="1"/>
  <c r="Q170" i="20"/>
  <c r="Q169" i="20" s="1"/>
  <c r="DK126" i="1" s="1"/>
  <c r="P169" i="20"/>
  <c r="P185" i="20"/>
  <c r="Q186" i="20"/>
  <c r="Q185" i="20" s="1"/>
  <c r="DK115" i="1" s="1"/>
  <c r="Q140" i="20"/>
  <c r="Q138" i="20" s="1"/>
  <c r="DK113" i="1" s="1"/>
  <c r="P138" i="20"/>
  <c r="G19" i="20"/>
  <c r="P66" i="20"/>
  <c r="P61" i="20" s="1"/>
  <c r="Q67" i="20"/>
  <c r="Q66" i="20" s="1"/>
  <c r="Q125" i="20"/>
  <c r="Q123" i="20" s="1"/>
  <c r="DK104" i="1" s="1"/>
  <c r="P123" i="20"/>
  <c r="P166" i="20"/>
  <c r="Q167" i="20"/>
  <c r="Q166" i="20" s="1"/>
  <c r="DK127" i="1" s="1"/>
  <c r="P131" i="20"/>
  <c r="Q132" i="20"/>
  <c r="Q131" i="20" s="1"/>
  <c r="DK96" i="1" s="1"/>
  <c r="P163" i="20"/>
  <c r="Q101" i="20"/>
  <c r="Q99" i="20" s="1"/>
  <c r="DK107" i="1" s="1"/>
  <c r="P99" i="20"/>
  <c r="P87" i="20"/>
  <c r="Q88" i="20"/>
  <c r="Q87" i="20" s="1"/>
  <c r="BS25" i="1"/>
  <c r="BS17" i="1"/>
  <c r="Q163" i="20"/>
  <c r="DK121" i="1" s="1"/>
  <c r="P199" i="20"/>
  <c r="Q200" i="20"/>
  <c r="Q199" i="20" s="1"/>
  <c r="DK124" i="1" s="1"/>
  <c r="I19" i="20"/>
  <c r="P44" i="20"/>
  <c r="P21" i="20" s="1"/>
  <c r="Q45" i="20"/>
  <c r="Q44" i="20" s="1"/>
  <c r="DK79" i="1" s="1"/>
  <c r="Q77" i="20"/>
  <c r="DK80" i="1" s="1"/>
  <c r="Q155" i="20"/>
  <c r="Q154" i="20" s="1"/>
  <c r="DK101" i="1" s="1"/>
  <c r="P154" i="20"/>
  <c r="Q198" i="20"/>
  <c r="Q196" i="20" s="1"/>
  <c r="DK117" i="1" s="1"/>
  <c r="P196" i="20"/>
  <c r="CW65" i="1"/>
  <c r="CW73" i="1"/>
  <c r="BM100" i="1"/>
  <c r="BM92" i="1"/>
  <c r="BM84" i="1"/>
  <c r="BS23" i="1"/>
  <c r="BS15" i="1"/>
  <c r="BS7" i="1"/>
  <c r="P148" i="20"/>
  <c r="Q149" i="20"/>
  <c r="Q148" i="20" s="1"/>
  <c r="DK89" i="1" s="1"/>
  <c r="P179" i="20"/>
  <c r="Q180" i="20"/>
  <c r="Q179" i="20" s="1"/>
  <c r="DK109" i="1" s="1"/>
  <c r="Q178" i="20"/>
  <c r="Q176" i="20" s="1"/>
  <c r="DK86" i="1" s="1"/>
  <c r="P176" i="20"/>
  <c r="Q34" i="20"/>
  <c r="N42" i="17"/>
  <c r="N19" i="17" s="1"/>
  <c r="DE124" i="1"/>
  <c r="DD124" i="1"/>
  <c r="DA124" i="1"/>
  <c r="CZ124" i="1"/>
  <c r="DB124" i="1"/>
  <c r="DB114" i="1"/>
  <c r="DA114" i="1"/>
  <c r="CZ114" i="1"/>
  <c r="DE114" i="1"/>
  <c r="DD114" i="1"/>
  <c r="DB106" i="1"/>
  <c r="DA106" i="1"/>
  <c r="CZ106" i="1"/>
  <c r="DE106" i="1"/>
  <c r="DD106" i="1"/>
  <c r="DB98" i="1"/>
  <c r="DA98" i="1"/>
  <c r="CZ98" i="1"/>
  <c r="DE98" i="1"/>
  <c r="DD98" i="1"/>
  <c r="DB90" i="1"/>
  <c r="DA90" i="1"/>
  <c r="CZ90" i="1"/>
  <c r="DE90" i="1"/>
  <c r="DD90" i="1"/>
  <c r="DE120" i="1"/>
  <c r="DD120" i="1"/>
  <c r="DB120" i="1"/>
  <c r="DA120" i="1"/>
  <c r="CZ120" i="1"/>
  <c r="BA112" i="1"/>
  <c r="DE110" i="1"/>
  <c r="DD110" i="1"/>
  <c r="DB110" i="1"/>
  <c r="DA110" i="1"/>
  <c r="CZ110" i="1"/>
  <c r="BA104" i="1"/>
  <c r="DE102" i="1"/>
  <c r="DD102" i="1"/>
  <c r="DB102" i="1"/>
  <c r="DA102" i="1"/>
  <c r="CZ102" i="1"/>
  <c r="BA96" i="1"/>
  <c r="DE94" i="1"/>
  <c r="DD94" i="1"/>
  <c r="DB94" i="1"/>
  <c r="DA94" i="1"/>
  <c r="CZ94" i="1"/>
  <c r="BA88" i="1"/>
  <c r="DE86" i="1"/>
  <c r="DD86" i="1"/>
  <c r="DB86" i="1"/>
  <c r="DA86" i="1"/>
  <c r="CZ86" i="1"/>
  <c r="BA85" i="1"/>
  <c r="DF8" i="1"/>
  <c r="DK8" i="1"/>
  <c r="DJ8" i="1"/>
  <c r="DH8" i="1"/>
  <c r="DG8" i="1"/>
  <c r="DI8" i="1" s="1"/>
  <c r="DK15" i="1"/>
  <c r="DJ15" i="1"/>
  <c r="DH15" i="1"/>
  <c r="DG15" i="1"/>
  <c r="DF15" i="1"/>
  <c r="DA123" i="1"/>
  <c r="DE123" i="1"/>
  <c r="DD123" i="1"/>
  <c r="DB123" i="1"/>
  <c r="CZ123" i="1"/>
  <c r="DE113" i="1"/>
  <c r="DD113" i="1"/>
  <c r="DB113" i="1"/>
  <c r="DA113" i="1"/>
  <c r="CZ113" i="1"/>
  <c r="DE97" i="1"/>
  <c r="DD97" i="1"/>
  <c r="DB97" i="1"/>
  <c r="DA97" i="1"/>
  <c r="CZ97" i="1"/>
  <c r="DE89" i="1"/>
  <c r="DD89" i="1"/>
  <c r="DB89" i="1"/>
  <c r="DA89" i="1"/>
  <c r="CZ89" i="1"/>
  <c r="DK7" i="1"/>
  <c r="DJ7" i="1"/>
  <c r="DH7" i="1"/>
  <c r="DG7" i="1"/>
  <c r="DF7" i="1"/>
  <c r="DG22" i="1"/>
  <c r="DF22" i="1"/>
  <c r="DK22" i="1"/>
  <c r="DJ22" i="1"/>
  <c r="DH22" i="1"/>
  <c r="DG14" i="1"/>
  <c r="DF14" i="1"/>
  <c r="DH14" i="1"/>
  <c r="DK14" i="1"/>
  <c r="DJ14" i="1"/>
  <c r="BS63" i="1"/>
  <c r="Q42" i="17"/>
  <c r="DE105" i="1"/>
  <c r="DD105" i="1"/>
  <c r="DB105" i="1"/>
  <c r="DA105" i="1"/>
  <c r="CZ105" i="1"/>
  <c r="DB126" i="1"/>
  <c r="DA126" i="1"/>
  <c r="DD126" i="1"/>
  <c r="CZ126" i="1"/>
  <c r="DE126" i="1"/>
  <c r="CZ116" i="1"/>
  <c r="DE116" i="1"/>
  <c r="DD116" i="1"/>
  <c r="DB116" i="1"/>
  <c r="DA116" i="1"/>
  <c r="CZ108" i="1"/>
  <c r="DE108" i="1"/>
  <c r="DD108" i="1"/>
  <c r="DB108" i="1"/>
  <c r="DA108" i="1"/>
  <c r="CZ100" i="1"/>
  <c r="DE100" i="1"/>
  <c r="DD100" i="1"/>
  <c r="DB100" i="1"/>
  <c r="DA100" i="1"/>
  <c r="CZ92" i="1"/>
  <c r="DE92" i="1"/>
  <c r="DD92" i="1"/>
  <c r="DB92" i="1"/>
  <c r="DA92" i="1"/>
  <c r="CZ84" i="1"/>
  <c r="DE84" i="1"/>
  <c r="DD84" i="1"/>
  <c r="DB84" i="1"/>
  <c r="DA84" i="1"/>
  <c r="CZ60" i="1"/>
  <c r="DE60" i="1"/>
  <c r="DD60" i="1"/>
  <c r="DB60" i="1"/>
  <c r="DA60" i="1"/>
  <c r="DG6" i="1"/>
  <c r="DF6" i="1"/>
  <c r="DK6" i="1"/>
  <c r="DJ6" i="1"/>
  <c r="DH6" i="1"/>
  <c r="DK21" i="1"/>
  <c r="DG21" i="1"/>
  <c r="DF21" i="1"/>
  <c r="DJ21" i="1"/>
  <c r="DH21" i="1"/>
  <c r="DI21" i="1" s="1"/>
  <c r="DK13" i="1"/>
  <c r="DJ13" i="1"/>
  <c r="DH13" i="1"/>
  <c r="DG13" i="1"/>
  <c r="DF13" i="1"/>
  <c r="BS52" i="1"/>
  <c r="Q142" i="17"/>
  <c r="Q141" i="17" s="1"/>
  <c r="T38" i="19"/>
  <c r="Q143" i="17"/>
  <c r="CS80" i="1" s="1"/>
  <c r="T36" i="19"/>
  <c r="DE5" i="1" s="1"/>
  <c r="S47" i="19"/>
  <c r="T48" i="19"/>
  <c r="T47" i="19" s="1"/>
  <c r="DE18" i="1" s="1"/>
  <c r="DE81" i="1"/>
  <c r="DD81" i="1"/>
  <c r="DB81" i="1"/>
  <c r="DA81" i="1"/>
  <c r="CZ81" i="1"/>
  <c r="DE121" i="1"/>
  <c r="DD121" i="1"/>
  <c r="DB121" i="1"/>
  <c r="DA121" i="1"/>
  <c r="CZ121" i="1"/>
  <c r="DA111" i="1"/>
  <c r="CZ111" i="1"/>
  <c r="DE111" i="1"/>
  <c r="DD111" i="1"/>
  <c r="DB111" i="1"/>
  <c r="DA103" i="1"/>
  <c r="CZ103" i="1"/>
  <c r="DE103" i="1"/>
  <c r="DD103" i="1"/>
  <c r="DB103" i="1"/>
  <c r="DA95" i="1"/>
  <c r="CZ95" i="1"/>
  <c r="DE95" i="1"/>
  <c r="DD95" i="1"/>
  <c r="DB95" i="1"/>
  <c r="DA87" i="1"/>
  <c r="CZ87" i="1"/>
  <c r="DE87" i="1"/>
  <c r="DD87" i="1"/>
  <c r="DB87" i="1"/>
  <c r="DA79" i="1"/>
  <c r="CZ79" i="1"/>
  <c r="DE79" i="1"/>
  <c r="DD79" i="1"/>
  <c r="DB79" i="1"/>
  <c r="DD77" i="1"/>
  <c r="DB77" i="1"/>
  <c r="DA77" i="1"/>
  <c r="CZ77" i="1"/>
  <c r="DE77" i="1"/>
  <c r="DE75" i="1"/>
  <c r="DD75" i="1"/>
  <c r="DB75" i="1"/>
  <c r="DA75" i="1"/>
  <c r="CZ75" i="1"/>
  <c r="DE73" i="1"/>
  <c r="DD73" i="1"/>
  <c r="DB73" i="1"/>
  <c r="DA73" i="1"/>
  <c r="CZ73" i="1"/>
  <c r="DA71" i="1"/>
  <c r="CZ71" i="1"/>
  <c r="DE71" i="1"/>
  <c r="DD71" i="1"/>
  <c r="DB71" i="1"/>
  <c r="DD69" i="1"/>
  <c r="DB69" i="1"/>
  <c r="DA69" i="1"/>
  <c r="CZ69" i="1"/>
  <c r="DE69" i="1"/>
  <c r="DE65" i="1"/>
  <c r="DD65" i="1"/>
  <c r="DB65" i="1"/>
  <c r="DA65" i="1"/>
  <c r="CZ65" i="1"/>
  <c r="DA63" i="1"/>
  <c r="CZ63" i="1"/>
  <c r="DE63" i="1"/>
  <c r="DD63" i="1"/>
  <c r="DB63" i="1"/>
  <c r="DD61" i="1"/>
  <c r="DB61" i="1"/>
  <c r="DA61" i="1"/>
  <c r="CZ61" i="1"/>
  <c r="DE61" i="1"/>
  <c r="DJ5" i="1"/>
  <c r="DH5" i="1"/>
  <c r="DG5" i="1"/>
  <c r="DF5" i="1"/>
  <c r="DK5" i="1"/>
  <c r="DG20" i="1"/>
  <c r="DJ20" i="1"/>
  <c r="DH20" i="1"/>
  <c r="DK20" i="1"/>
  <c r="DF20" i="1"/>
  <c r="CE6" i="1"/>
  <c r="CE14" i="1"/>
  <c r="CE22" i="1"/>
  <c r="CW71" i="1"/>
  <c r="CW79" i="1"/>
  <c r="S59" i="19"/>
  <c r="S58" i="19" s="1"/>
  <c r="T60" i="19"/>
  <c r="DB82" i="1"/>
  <c r="DA82" i="1"/>
  <c r="CZ82" i="1"/>
  <c r="DE82" i="1"/>
  <c r="DD82" i="1"/>
  <c r="DJ12" i="1"/>
  <c r="DH12" i="1"/>
  <c r="DF12" i="1"/>
  <c r="DK12" i="1"/>
  <c r="DG12" i="1"/>
  <c r="T24" i="19"/>
  <c r="S23" i="19"/>
  <c r="DE127" i="1"/>
  <c r="DD127" i="1"/>
  <c r="DB127" i="1"/>
  <c r="DA127" i="1"/>
  <c r="CZ127" i="1"/>
  <c r="DD109" i="1"/>
  <c r="DB109" i="1"/>
  <c r="DA109" i="1"/>
  <c r="CZ109" i="1"/>
  <c r="DE109" i="1"/>
  <c r="DD101" i="1"/>
  <c r="DB101" i="1"/>
  <c r="DA101" i="1"/>
  <c r="CZ101" i="1"/>
  <c r="DE101" i="1"/>
  <c r="DD93" i="1"/>
  <c r="DB93" i="1"/>
  <c r="DA93" i="1"/>
  <c r="CZ93" i="1"/>
  <c r="DE93" i="1"/>
  <c r="DD85" i="1"/>
  <c r="DB85" i="1"/>
  <c r="DA85" i="1"/>
  <c r="CZ85" i="1"/>
  <c r="DE85" i="1"/>
  <c r="DF11" i="1"/>
  <c r="DK11" i="1"/>
  <c r="DJ11" i="1"/>
  <c r="DH11" i="1"/>
  <c r="DG11" i="1"/>
  <c r="DF3" i="1"/>
  <c r="DJ3" i="1"/>
  <c r="DH3" i="1"/>
  <c r="DG3" i="1"/>
  <c r="DK3" i="1"/>
  <c r="DJ18" i="1"/>
  <c r="DK18" i="1"/>
  <c r="DH18" i="1"/>
  <c r="DG18" i="1"/>
  <c r="DF18" i="1"/>
  <c r="BM81" i="1"/>
  <c r="S43" i="19"/>
  <c r="Q42" i="19"/>
  <c r="G122" i="17"/>
  <c r="G121" i="17" s="1"/>
  <c r="Q123" i="17"/>
  <c r="DE80" i="1"/>
  <c r="DD80" i="1"/>
  <c r="DB80" i="1"/>
  <c r="DA80" i="1"/>
  <c r="CZ80" i="1"/>
  <c r="DA119" i="1"/>
  <c r="CZ119" i="1"/>
  <c r="DE119" i="1"/>
  <c r="DD119" i="1"/>
  <c r="DB119" i="1"/>
  <c r="DB122" i="1"/>
  <c r="DA122" i="1"/>
  <c r="CZ122" i="1"/>
  <c r="DE122" i="1"/>
  <c r="DD122" i="1"/>
  <c r="DE112" i="1"/>
  <c r="DD112" i="1"/>
  <c r="DB112" i="1"/>
  <c r="DA112" i="1"/>
  <c r="CZ112" i="1"/>
  <c r="DE104" i="1"/>
  <c r="DD104" i="1"/>
  <c r="DB104" i="1"/>
  <c r="DA104" i="1"/>
  <c r="CZ104" i="1"/>
  <c r="DE96" i="1"/>
  <c r="DD96" i="1"/>
  <c r="DB96" i="1"/>
  <c r="DA96" i="1"/>
  <c r="CZ96" i="1"/>
  <c r="DE88" i="1"/>
  <c r="DD88" i="1"/>
  <c r="DB88" i="1"/>
  <c r="DA88" i="1"/>
  <c r="CZ88" i="1"/>
  <c r="DK10" i="1"/>
  <c r="DF10" i="1"/>
  <c r="DJ10" i="1"/>
  <c r="DH10" i="1"/>
  <c r="DG10" i="1"/>
  <c r="DI10" i="1" s="1"/>
  <c r="DF25" i="1"/>
  <c r="DH25" i="1"/>
  <c r="DG25" i="1"/>
  <c r="DK25" i="1"/>
  <c r="DJ25" i="1"/>
  <c r="DH17" i="1"/>
  <c r="DG17" i="1"/>
  <c r="DK17" i="1"/>
  <c r="DJ17" i="1"/>
  <c r="DF17" i="1"/>
  <c r="BS59" i="1"/>
  <c r="BS43" i="1"/>
  <c r="Q54" i="18"/>
  <c r="CY40" i="1" s="1"/>
  <c r="Q53" i="18"/>
  <c r="Q52" i="18" s="1"/>
  <c r="Q27" i="17"/>
  <c r="CS11" i="1" s="1"/>
  <c r="Q26" i="17"/>
  <c r="Q21" i="17" s="1"/>
  <c r="S53" i="19"/>
  <c r="DD117" i="1"/>
  <c r="DB117" i="1"/>
  <c r="DA117" i="1"/>
  <c r="CZ117" i="1"/>
  <c r="DE117" i="1"/>
  <c r="DE125" i="1"/>
  <c r="DD125" i="1"/>
  <c r="DB125" i="1"/>
  <c r="DA125" i="1"/>
  <c r="CZ125" i="1"/>
  <c r="DE115" i="1"/>
  <c r="DD115" i="1"/>
  <c r="DB115" i="1"/>
  <c r="DA115" i="1"/>
  <c r="CZ115" i="1"/>
  <c r="DE107" i="1"/>
  <c r="DD107" i="1"/>
  <c r="DB107" i="1"/>
  <c r="DA107" i="1"/>
  <c r="CZ107" i="1"/>
  <c r="DE99" i="1"/>
  <c r="DD99" i="1"/>
  <c r="DB99" i="1"/>
  <c r="DA99" i="1"/>
  <c r="DC99" i="1" s="1"/>
  <c r="CZ99" i="1"/>
  <c r="DE91" i="1"/>
  <c r="DD91" i="1"/>
  <c r="DB91" i="1"/>
  <c r="DA91" i="1"/>
  <c r="CZ91" i="1"/>
  <c r="DE83" i="1"/>
  <c r="DD83" i="1"/>
  <c r="DB83" i="1"/>
  <c r="DA83" i="1"/>
  <c r="CZ83" i="1"/>
  <c r="DE78" i="1"/>
  <c r="DD78" i="1"/>
  <c r="DB78" i="1"/>
  <c r="DA78" i="1"/>
  <c r="CZ78" i="1"/>
  <c r="CZ76" i="1"/>
  <c r="DE76" i="1"/>
  <c r="DD76" i="1"/>
  <c r="DB76" i="1"/>
  <c r="DA76" i="1"/>
  <c r="DB74" i="1"/>
  <c r="DA74" i="1"/>
  <c r="CZ74" i="1"/>
  <c r="DE74" i="1"/>
  <c r="DD74" i="1"/>
  <c r="DE72" i="1"/>
  <c r="DD72" i="1"/>
  <c r="DB72" i="1"/>
  <c r="DA72" i="1"/>
  <c r="CZ72" i="1"/>
  <c r="DE70" i="1"/>
  <c r="DD70" i="1"/>
  <c r="DB70" i="1"/>
  <c r="DA70" i="1"/>
  <c r="CZ70" i="1"/>
  <c r="CZ68" i="1"/>
  <c r="DE68" i="1"/>
  <c r="DD68" i="1"/>
  <c r="DB68" i="1"/>
  <c r="DA68" i="1"/>
  <c r="DB66" i="1"/>
  <c r="DA66" i="1"/>
  <c r="CZ66" i="1"/>
  <c r="DE66" i="1"/>
  <c r="DD66" i="1"/>
  <c r="DE64" i="1"/>
  <c r="DD64" i="1"/>
  <c r="DB64" i="1"/>
  <c r="DA64" i="1"/>
  <c r="CZ64" i="1"/>
  <c r="DE62" i="1"/>
  <c r="DD62" i="1"/>
  <c r="DB62" i="1"/>
  <c r="DA62" i="1"/>
  <c r="CZ62" i="1"/>
  <c r="DH9" i="1"/>
  <c r="DG9" i="1"/>
  <c r="DK9" i="1"/>
  <c r="DJ9" i="1"/>
  <c r="DF9" i="1"/>
  <c r="DF24" i="1"/>
  <c r="DK24" i="1"/>
  <c r="DJ24" i="1"/>
  <c r="DH24" i="1"/>
  <c r="DG24" i="1"/>
  <c r="DH16" i="1"/>
  <c r="DG16" i="1"/>
  <c r="DF16" i="1"/>
  <c r="DK16" i="1"/>
  <c r="DJ16" i="1"/>
  <c r="Q23" i="18"/>
  <c r="CY17" i="1" s="1"/>
  <c r="Q22" i="18"/>
  <c r="Q21" i="18" s="1"/>
  <c r="Q19" i="18" s="1"/>
  <c r="G141" i="17"/>
  <c r="S38" i="19"/>
  <c r="S50" i="19"/>
  <c r="T51" i="19"/>
  <c r="T50" i="19" s="1"/>
  <c r="DE21" i="1" s="1"/>
  <c r="G19" i="16"/>
  <c r="H18" i="16"/>
  <c r="P144" i="16"/>
  <c r="G206" i="16"/>
  <c r="G142" i="16"/>
  <c r="N206" i="16"/>
  <c r="P20" i="16"/>
  <c r="N107" i="16"/>
  <c r="N19" i="16" s="1"/>
  <c r="Q20" i="16"/>
  <c r="I18" i="16"/>
  <c r="G163" i="16"/>
  <c r="P73" i="16"/>
  <c r="BS41" i="1"/>
  <c r="CE26" i="1"/>
  <c r="BS6" i="1"/>
  <c r="BS86" i="1"/>
  <c r="BS50" i="1"/>
  <c r="BS39" i="1"/>
  <c r="BS69" i="1"/>
  <c r="BS121" i="1"/>
  <c r="BS113" i="1"/>
  <c r="BS72" i="1"/>
  <c r="BS92" i="1"/>
  <c r="BM7" i="1"/>
  <c r="CE27" i="1"/>
  <c r="CE35" i="1"/>
  <c r="CE43" i="1"/>
  <c r="CE51" i="1"/>
  <c r="CE59" i="1"/>
  <c r="CQ3" i="1"/>
  <c r="CW64" i="1"/>
  <c r="BS46" i="1"/>
  <c r="BA83" i="1"/>
  <c r="BS42" i="1"/>
  <c r="BY77" i="1"/>
  <c r="CE9" i="1"/>
  <c r="CE17" i="1"/>
  <c r="CE25" i="1"/>
  <c r="CE33" i="1"/>
  <c r="CE41" i="1"/>
  <c r="CE49" i="1"/>
  <c r="BS4" i="1"/>
  <c r="BG17" i="1"/>
  <c r="BG13" i="1"/>
  <c r="BG5" i="1"/>
  <c r="BG56" i="1"/>
  <c r="BG52" i="1"/>
  <c r="BG48" i="1"/>
  <c r="BG9" i="1"/>
  <c r="BA123" i="1"/>
  <c r="BA89" i="1"/>
  <c r="BG79" i="1"/>
  <c r="BG121" i="1"/>
  <c r="BG116" i="1"/>
  <c r="BG113" i="1"/>
  <c r="BG108" i="1"/>
  <c r="BG105" i="1"/>
  <c r="BG100" i="1"/>
  <c r="BG97" i="1"/>
  <c r="BG92" i="1"/>
  <c r="BG89" i="1"/>
  <c r="BG84" i="1"/>
  <c r="BG81" i="1"/>
  <c r="BM10" i="1"/>
  <c r="BM15" i="1"/>
  <c r="BM23" i="1"/>
  <c r="BM31" i="1"/>
  <c r="BG21" i="1"/>
  <c r="BM20" i="1"/>
  <c r="BM76" i="1"/>
  <c r="BG25" i="1"/>
  <c r="BS57" i="1"/>
  <c r="BS76" i="1"/>
  <c r="BA90" i="1"/>
  <c r="BS55" i="1"/>
  <c r="BS33" i="1"/>
  <c r="BS126" i="1"/>
  <c r="BS118" i="1"/>
  <c r="BS110" i="1"/>
  <c r="BS102" i="1"/>
  <c r="BM59" i="1"/>
  <c r="BM67" i="1"/>
  <c r="BM75" i="1"/>
  <c r="CE18" i="1"/>
  <c r="CW68" i="1"/>
  <c r="CW76" i="1"/>
  <c r="BS12" i="1"/>
  <c r="CE12" i="1"/>
  <c r="CE20" i="1"/>
  <c r="CE36" i="1"/>
  <c r="CE44" i="1"/>
  <c r="CE52" i="1"/>
  <c r="CE57" i="1"/>
  <c r="BS34" i="1"/>
  <c r="BG44" i="1"/>
  <c r="BG40" i="1"/>
  <c r="BG36" i="1"/>
  <c r="BG32" i="1"/>
  <c r="BG30" i="1"/>
  <c r="BM127" i="1"/>
  <c r="BM119" i="1"/>
  <c r="BG124" i="1"/>
  <c r="BM39" i="1"/>
  <c r="BM47" i="1"/>
  <c r="BM55" i="1"/>
  <c r="BM63" i="1"/>
  <c r="BM71" i="1"/>
  <c r="BM79" i="1"/>
  <c r="CE11" i="1"/>
  <c r="CE19" i="1"/>
  <c r="BS98" i="1"/>
  <c r="BS87" i="1"/>
  <c r="BS90" i="1"/>
  <c r="BA87" i="1"/>
  <c r="BA84" i="1"/>
  <c r="BS68" i="1"/>
  <c r="BS125" i="1"/>
  <c r="BS117" i="1"/>
  <c r="BS109" i="1"/>
  <c r="BS101" i="1"/>
  <c r="BS93" i="1"/>
  <c r="BS85" i="1"/>
  <c r="BS88" i="1"/>
  <c r="BA127" i="1"/>
  <c r="BA119" i="1"/>
  <c r="BA93" i="1"/>
  <c r="BS123" i="1"/>
  <c r="BS99" i="1"/>
  <c r="BA125" i="1"/>
  <c r="BA64" i="1"/>
  <c r="BM124" i="1"/>
  <c r="BS28" i="1"/>
  <c r="BY30" i="1"/>
  <c r="BY38" i="1"/>
  <c r="BY46" i="1"/>
  <c r="BY54" i="1"/>
  <c r="Q108" i="16"/>
  <c r="CW63" i="1"/>
  <c r="BS11" i="1"/>
  <c r="BS35" i="1"/>
  <c r="BS32" i="1"/>
  <c r="BS78" i="1"/>
  <c r="BS75" i="1"/>
  <c r="BS127" i="1"/>
  <c r="BS119" i="1"/>
  <c r="BS111" i="1"/>
  <c r="BS103" i="1"/>
  <c r="BS95" i="1"/>
  <c r="BA120" i="1"/>
  <c r="BY72" i="1"/>
  <c r="BM115" i="1"/>
  <c r="BM107" i="1"/>
  <c r="BM99" i="1"/>
  <c r="BM91" i="1"/>
  <c r="BM83" i="1"/>
  <c r="BS14" i="1"/>
  <c r="BS30" i="1"/>
  <c r="BS84" i="1"/>
  <c r="BS81" i="1"/>
  <c r="BG75" i="1"/>
  <c r="BG71" i="1"/>
  <c r="BG67" i="1"/>
  <c r="BG63" i="1"/>
  <c r="N185" i="16"/>
  <c r="N163" i="16" s="1"/>
  <c r="P186" i="16"/>
  <c r="CM59" i="1" s="1"/>
  <c r="BA116" i="1"/>
  <c r="BA108" i="1"/>
  <c r="BA100" i="1"/>
  <c r="BM61" i="1"/>
  <c r="BM69" i="1"/>
  <c r="BM77" i="1"/>
  <c r="BY34" i="1"/>
  <c r="BY42" i="1"/>
  <c r="BY50" i="1"/>
  <c r="BY58" i="1"/>
  <c r="CW67" i="1"/>
  <c r="CW75" i="1"/>
  <c r="BM116" i="1"/>
  <c r="BM108" i="1"/>
  <c r="BS20" i="1"/>
  <c r="BS47" i="1"/>
  <c r="BS36" i="1"/>
  <c r="S22" i="15"/>
  <c r="S21" i="15" s="1"/>
  <c r="S53" i="15" s="1"/>
  <c r="T23" i="15"/>
  <c r="T22" i="15" s="1"/>
  <c r="T21" i="15" s="1"/>
  <c r="T53" i="15" s="1"/>
  <c r="P52" i="16"/>
  <c r="Q54" i="16"/>
  <c r="Q52" i="16" s="1"/>
  <c r="Q150" i="16"/>
  <c r="BA124" i="1"/>
  <c r="BA111" i="1"/>
  <c r="BA103" i="1"/>
  <c r="BA95" i="1"/>
  <c r="BA81" i="1"/>
  <c r="BA63" i="1"/>
  <c r="BA61" i="1"/>
  <c r="BG127" i="1"/>
  <c r="BG119" i="1"/>
  <c r="BG111" i="1"/>
  <c r="BG103" i="1"/>
  <c r="BG95" i="1"/>
  <c r="BG87" i="1"/>
  <c r="BM4" i="1"/>
  <c r="BM122" i="1"/>
  <c r="BM111" i="1"/>
  <c r="BM95" i="1"/>
  <c r="BM87" i="1"/>
  <c r="BS18" i="1"/>
  <c r="BS10" i="1"/>
  <c r="BS53" i="1"/>
  <c r="BS45" i="1"/>
  <c r="BS37" i="1"/>
  <c r="BS31" i="1"/>
  <c r="BS66" i="1"/>
  <c r="BS91" i="1"/>
  <c r="P164" i="16"/>
  <c r="BG24" i="1"/>
  <c r="BG22" i="1"/>
  <c r="BG20" i="1"/>
  <c r="BG18" i="1"/>
  <c r="BG16" i="1"/>
  <c r="BG14" i="1"/>
  <c r="BG12" i="1"/>
  <c r="BG10" i="1"/>
  <c r="BG8" i="1"/>
  <c r="BG76" i="1"/>
  <c r="BG72" i="1"/>
  <c r="BG68" i="1"/>
  <c r="BG64" i="1"/>
  <c r="BM9" i="1"/>
  <c r="BM17" i="1"/>
  <c r="BM25" i="1"/>
  <c r="BM33" i="1"/>
  <c r="BM41" i="1"/>
  <c r="BM49" i="1"/>
  <c r="BM57" i="1"/>
  <c r="BY33" i="1"/>
  <c r="CE5" i="1"/>
  <c r="CE13" i="1"/>
  <c r="CE21" i="1"/>
  <c r="CE29" i="1"/>
  <c r="CE37" i="1"/>
  <c r="CE45" i="1"/>
  <c r="CW61" i="1"/>
  <c r="CW66" i="1"/>
  <c r="CW69" i="1"/>
  <c r="CW74" i="1"/>
  <c r="CW77" i="1"/>
  <c r="BM125" i="1"/>
  <c r="BM114" i="1"/>
  <c r="BM106" i="1"/>
  <c r="BM98" i="1"/>
  <c r="BM90" i="1"/>
  <c r="BM82" i="1"/>
  <c r="BS21" i="1"/>
  <c r="BS16" i="1"/>
  <c r="BS13" i="1"/>
  <c r="BS8" i="1"/>
  <c r="BS51" i="1"/>
  <c r="BS64" i="1"/>
  <c r="BS124" i="1"/>
  <c r="BS116" i="1"/>
  <c r="BS108" i="1"/>
  <c r="BS105" i="1"/>
  <c r="BS100" i="1"/>
  <c r="BS83" i="1"/>
  <c r="Q73" i="16"/>
  <c r="Q164" i="16"/>
  <c r="BA117" i="1"/>
  <c r="BA114" i="1"/>
  <c r="BA109" i="1"/>
  <c r="BA106" i="1"/>
  <c r="BA101" i="1"/>
  <c r="BA98" i="1"/>
  <c r="BG28" i="1"/>
  <c r="BG60" i="1"/>
  <c r="BG77" i="1"/>
  <c r="BG73" i="1"/>
  <c r="BG69" i="1"/>
  <c r="BG65" i="1"/>
  <c r="BG61" i="1"/>
  <c r="BG126" i="1"/>
  <c r="BG118" i="1"/>
  <c r="BG110" i="1"/>
  <c r="BG102" i="1"/>
  <c r="BG94" i="1"/>
  <c r="BG86" i="1"/>
  <c r="BM18" i="1"/>
  <c r="BM26" i="1"/>
  <c r="BM34" i="1"/>
  <c r="BM42" i="1"/>
  <c r="BM50" i="1"/>
  <c r="BM58" i="1"/>
  <c r="BM66" i="1"/>
  <c r="BM74" i="1"/>
  <c r="BY27" i="1"/>
  <c r="BA122" i="1"/>
  <c r="BA79" i="1"/>
  <c r="BA75" i="1"/>
  <c r="BA67" i="1"/>
  <c r="BA65" i="1"/>
  <c r="BY32" i="1"/>
  <c r="BY40" i="1"/>
  <c r="BA80" i="1"/>
  <c r="BA115" i="1"/>
  <c r="BA107" i="1"/>
  <c r="BA99" i="1"/>
  <c r="BG6" i="1"/>
  <c r="BG4" i="1"/>
  <c r="BG59" i="1"/>
  <c r="BG57" i="1"/>
  <c r="BG55" i="1"/>
  <c r="BG53" i="1"/>
  <c r="BG51" i="1"/>
  <c r="BG49" i="1"/>
  <c r="BG47" i="1"/>
  <c r="BG45" i="1"/>
  <c r="BG43" i="1"/>
  <c r="BG41" i="1"/>
  <c r="BG39" i="1"/>
  <c r="BG37" i="1"/>
  <c r="BG35" i="1"/>
  <c r="BG33" i="1"/>
  <c r="BG31" i="1"/>
  <c r="BM12" i="1"/>
  <c r="BM28" i="1"/>
  <c r="BM36" i="1"/>
  <c r="BM44" i="1"/>
  <c r="BM52" i="1"/>
  <c r="BA113" i="1"/>
  <c r="BA110" i="1"/>
  <c r="BA105" i="1"/>
  <c r="BA102" i="1"/>
  <c r="BA97" i="1"/>
  <c r="BA94" i="1"/>
  <c r="BA91" i="1"/>
  <c r="BA82" i="1"/>
  <c r="BG29" i="1"/>
  <c r="BG27" i="1"/>
  <c r="BG78" i="1"/>
  <c r="BG74" i="1"/>
  <c r="BG70" i="1"/>
  <c r="BG66" i="1"/>
  <c r="BG62" i="1"/>
  <c r="BG122" i="1"/>
  <c r="BG114" i="1"/>
  <c r="BG106" i="1"/>
  <c r="BG98" i="1"/>
  <c r="BG90" i="1"/>
  <c r="BG82" i="1"/>
  <c r="BM22" i="1"/>
  <c r="BM30" i="1"/>
  <c r="BM38" i="1"/>
  <c r="BM46" i="1"/>
  <c r="BM54" i="1"/>
  <c r="BM62" i="1"/>
  <c r="BM65" i="1"/>
  <c r="BM70" i="1"/>
  <c r="BM73" i="1"/>
  <c r="BM78" i="1"/>
  <c r="BA126" i="1"/>
  <c r="BA121" i="1"/>
  <c r="BA92" i="1"/>
  <c r="BA86" i="1"/>
  <c r="BA74" i="1"/>
  <c r="BA72" i="1"/>
  <c r="BA70" i="1"/>
  <c r="BA68" i="1"/>
  <c r="BA66" i="1"/>
  <c r="BG23" i="1"/>
  <c r="BG19" i="1"/>
  <c r="BG15" i="1"/>
  <c r="BG11" i="1"/>
  <c r="BG7" i="1"/>
  <c r="BG58" i="1"/>
  <c r="BG54" i="1"/>
  <c r="BG50" i="1"/>
  <c r="BG46" i="1"/>
  <c r="BG42" i="1"/>
  <c r="BG38" i="1"/>
  <c r="BG34" i="1"/>
  <c r="BG123" i="1"/>
  <c r="BG115" i="1"/>
  <c r="BG107" i="1"/>
  <c r="BG99" i="1"/>
  <c r="BG91" i="1"/>
  <c r="BG83" i="1"/>
  <c r="BM8" i="1"/>
  <c r="BM16" i="1"/>
  <c r="BM64" i="1"/>
  <c r="BM72" i="1"/>
  <c r="BY28" i="1"/>
  <c r="BY48" i="1"/>
  <c r="BY56" i="1"/>
  <c r="BY64" i="1"/>
  <c r="CE16" i="1"/>
  <c r="CE24" i="1"/>
  <c r="CE40" i="1"/>
  <c r="CE56" i="1"/>
  <c r="CK3" i="1"/>
  <c r="BY26" i="1"/>
  <c r="BY31" i="1"/>
  <c r="BY39" i="1"/>
  <c r="BY47" i="1"/>
  <c r="BY55" i="1"/>
  <c r="BY63" i="1"/>
  <c r="BY66" i="1"/>
  <c r="BY71" i="1"/>
  <c r="BY74" i="1"/>
  <c r="BY79" i="1"/>
  <c r="CE34" i="1"/>
  <c r="CE42" i="1"/>
  <c r="CE50" i="1"/>
  <c r="CE53" i="1"/>
  <c r="CE58" i="1"/>
  <c r="CE31" i="1"/>
  <c r="CE39" i="1"/>
  <c r="CE47" i="1"/>
  <c r="CE55" i="1"/>
  <c r="BY36" i="1"/>
  <c r="BY41" i="1"/>
  <c r="BY44" i="1"/>
  <c r="BY49" i="1"/>
  <c r="BY52" i="1"/>
  <c r="BY57" i="1"/>
  <c r="BY60" i="1"/>
  <c r="BY65" i="1"/>
  <c r="BY68" i="1"/>
  <c r="BY73" i="1"/>
  <c r="CE4" i="1"/>
  <c r="CE28" i="1"/>
  <c r="BY35" i="1"/>
  <c r="BY43" i="1"/>
  <c r="BY51" i="1"/>
  <c r="BY59" i="1"/>
  <c r="BY62" i="1"/>
  <c r="BY67" i="1"/>
  <c r="BY70" i="1"/>
  <c r="BY75" i="1"/>
  <c r="BY78" i="1"/>
  <c r="CE30" i="1"/>
  <c r="CE38" i="1"/>
  <c r="CE46" i="1"/>
  <c r="CE54" i="1"/>
  <c r="BM113" i="1"/>
  <c r="BM110" i="1"/>
  <c r="BM101" i="1"/>
  <c r="BM85" i="1"/>
  <c r="BS44" i="1"/>
  <c r="BS115" i="1"/>
  <c r="BS107" i="1"/>
  <c r="BS94" i="1"/>
  <c r="BM120" i="1"/>
  <c r="BM105" i="1"/>
  <c r="BM89" i="1"/>
  <c r="BS24" i="1"/>
  <c r="BS56" i="1"/>
  <c r="BS27" i="1"/>
  <c r="BS73" i="1"/>
  <c r="BS70" i="1"/>
  <c r="BS67" i="1"/>
  <c r="BS61" i="1"/>
  <c r="BS97" i="1"/>
  <c r="BM112" i="1"/>
  <c r="BM93" i="1"/>
  <c r="BS54" i="1"/>
  <c r="BS48" i="1"/>
  <c r="BS79" i="1"/>
  <c r="BS9" i="1"/>
  <c r="BS65" i="1"/>
  <c r="BS89" i="1"/>
  <c r="BM121" i="1"/>
  <c r="BM118" i="1"/>
  <c r="BM97" i="1"/>
  <c r="BS40" i="1"/>
  <c r="BS77" i="1"/>
  <c r="BS74" i="1"/>
  <c r="BS71" i="1"/>
  <c r="BS62" i="1"/>
  <c r="CW72" i="1"/>
  <c r="BS58" i="1"/>
  <c r="BS38" i="1"/>
  <c r="BS120" i="1"/>
  <c r="BS112" i="1"/>
  <c r="BS104" i="1"/>
  <c r="BS96" i="1"/>
  <c r="P27" i="14"/>
  <c r="H27" i="14"/>
  <c r="H22" i="14"/>
  <c r="I20" i="14"/>
  <c r="I18" i="14" s="1"/>
  <c r="H32" i="14"/>
  <c r="BS80" i="1"/>
  <c r="BS60" i="1"/>
  <c r="BS26" i="1"/>
  <c r="M354" i="13"/>
  <c r="M315" i="13"/>
  <c r="P189" i="13"/>
  <c r="BT80" i="1" s="1"/>
  <c r="P234" i="13"/>
  <c r="BT94" i="1" s="1"/>
  <c r="R285" i="13"/>
  <c r="BU118" i="1" s="1"/>
  <c r="P22" i="13"/>
  <c r="BT62" i="1" s="1"/>
  <c r="P51" i="13"/>
  <c r="BT67" i="1" s="1"/>
  <c r="O58" i="13"/>
  <c r="P86" i="13"/>
  <c r="BT19" i="1" s="1"/>
  <c r="P140" i="13"/>
  <c r="BT35" i="1" s="1"/>
  <c r="P144" i="13"/>
  <c r="BT57" i="1" s="1"/>
  <c r="R149" i="13"/>
  <c r="BU36" i="1" s="1"/>
  <c r="P221" i="13"/>
  <c r="BT84" i="1" s="1"/>
  <c r="P230" i="13"/>
  <c r="BT100" i="1" s="1"/>
  <c r="O234" i="13"/>
  <c r="P292" i="13"/>
  <c r="BT96" i="1" s="1"/>
  <c r="M171" i="13"/>
  <c r="R45" i="13"/>
  <c r="BU63" i="1" s="1"/>
  <c r="R54" i="13"/>
  <c r="BU68" i="1" s="1"/>
  <c r="P83" i="13"/>
  <c r="BT17" i="1" s="1"/>
  <c r="R89" i="13"/>
  <c r="BU8" i="1" s="1"/>
  <c r="P137" i="13"/>
  <c r="BT26" i="1" s="1"/>
  <c r="P179" i="13"/>
  <c r="P182" i="13"/>
  <c r="BT95" i="1" s="1"/>
  <c r="R189" i="13"/>
  <c r="BU80" i="1" s="1"/>
  <c r="R270" i="13"/>
  <c r="BU81" i="1" s="1"/>
  <c r="P285" i="13"/>
  <c r="BT118" i="1" s="1"/>
  <c r="R39" i="13"/>
  <c r="BU78" i="1" s="1"/>
  <c r="R51" i="13"/>
  <c r="BU67" i="1" s="1"/>
  <c r="R75" i="13"/>
  <c r="BU4" i="1" s="1"/>
  <c r="P79" i="13"/>
  <c r="BT13" i="1" s="1"/>
  <c r="R86" i="13"/>
  <c r="P124" i="13"/>
  <c r="BT31" i="1" s="1"/>
  <c r="R140" i="13"/>
  <c r="BU35" i="1" s="1"/>
  <c r="O182" i="13"/>
  <c r="O171" i="13" s="1"/>
  <c r="R211" i="13"/>
  <c r="BU103" i="1" s="1"/>
  <c r="P216" i="13"/>
  <c r="BT93" i="1" s="1"/>
  <c r="R221" i="13"/>
  <c r="BU84" i="1" s="1"/>
  <c r="R262" i="13"/>
  <c r="BU107" i="1" s="1"/>
  <c r="P278" i="13"/>
  <c r="BT90" i="1" s="1"/>
  <c r="O285" i="13"/>
  <c r="R311" i="13"/>
  <c r="BU97" i="1" s="1"/>
  <c r="I354" i="13"/>
  <c r="I170" i="13" s="1"/>
  <c r="R36" i="13"/>
  <c r="BU77" i="1" s="1"/>
  <c r="P45" i="13"/>
  <c r="BT63" i="1" s="1"/>
  <c r="R83" i="13"/>
  <c r="BU17" i="1" s="1"/>
  <c r="R102" i="13"/>
  <c r="BU16" i="1" s="1"/>
  <c r="P108" i="13"/>
  <c r="BT11" i="1" s="1"/>
  <c r="R137" i="13"/>
  <c r="BU26" i="1" s="1"/>
  <c r="P165" i="13"/>
  <c r="P172" i="13"/>
  <c r="BT99" i="1" s="1"/>
  <c r="R179" i="13"/>
  <c r="BU122" i="1" s="1"/>
  <c r="R204" i="13"/>
  <c r="BU98" i="1" s="1"/>
  <c r="R256" i="13"/>
  <c r="BU92" i="1" s="1"/>
  <c r="P270" i="13"/>
  <c r="BT81" i="1" s="1"/>
  <c r="R305" i="13"/>
  <c r="BU114" i="1" s="1"/>
  <c r="R32" i="13"/>
  <c r="BU74" i="1" s="1"/>
  <c r="P39" i="13"/>
  <c r="BT78" i="1" s="1"/>
  <c r="P75" i="13"/>
  <c r="R79" i="13"/>
  <c r="BU13" i="1" s="1"/>
  <c r="R98" i="13"/>
  <c r="R124" i="13"/>
  <c r="BU31" i="1" s="1"/>
  <c r="P159" i="13"/>
  <c r="BT32" i="1" s="1"/>
  <c r="O172" i="13"/>
  <c r="R200" i="13"/>
  <c r="BU87" i="1" s="1"/>
  <c r="P211" i="13"/>
  <c r="BT103" i="1" s="1"/>
  <c r="R216" i="13"/>
  <c r="BU93" i="1" s="1"/>
  <c r="R247" i="13"/>
  <c r="BU102" i="1" s="1"/>
  <c r="P262" i="13"/>
  <c r="BT107" i="1" s="1"/>
  <c r="O270" i="13"/>
  <c r="P311" i="13"/>
  <c r="BT97" i="1" s="1"/>
  <c r="R27" i="13"/>
  <c r="BU65" i="1" s="1"/>
  <c r="P36" i="13"/>
  <c r="BT77" i="1" s="1"/>
  <c r="R58" i="13"/>
  <c r="BU72" i="1" s="1"/>
  <c r="P64" i="13"/>
  <c r="BT79" i="1" s="1"/>
  <c r="P69" i="13"/>
  <c r="BT6" i="1" s="1"/>
  <c r="P102" i="13"/>
  <c r="BT16" i="1" s="1"/>
  <c r="R108" i="13"/>
  <c r="BU11" i="1" s="1"/>
  <c r="R165" i="13"/>
  <c r="R192" i="13"/>
  <c r="BU82" i="1" s="1"/>
  <c r="P204" i="13"/>
  <c r="BT98" i="1" s="1"/>
  <c r="R234" i="13"/>
  <c r="BU94" i="1" s="1"/>
  <c r="P256" i="13"/>
  <c r="BT92" i="1" s="1"/>
  <c r="O262" i="13"/>
  <c r="R296" i="13"/>
  <c r="BU105" i="1" s="1"/>
  <c r="P305" i="13"/>
  <c r="BT114" i="1" s="1"/>
  <c r="P32" i="13"/>
  <c r="P95" i="13"/>
  <c r="BT14" i="1" s="1"/>
  <c r="P98" i="13"/>
  <c r="P94" i="13" s="1"/>
  <c r="R144" i="13"/>
  <c r="BU57" i="1" s="1"/>
  <c r="P149" i="13"/>
  <c r="BT36" i="1" s="1"/>
  <c r="I152" i="13"/>
  <c r="R159" i="13"/>
  <c r="BU32" i="1" s="1"/>
  <c r="M172" i="13"/>
  <c r="P200" i="13"/>
  <c r="BT87" i="1" s="1"/>
  <c r="R230" i="13"/>
  <c r="BU100" i="1" s="1"/>
  <c r="P247" i="13"/>
  <c r="BT102" i="1" s="1"/>
  <c r="R292" i="13"/>
  <c r="BU96" i="1" s="1"/>
  <c r="P300" i="13"/>
  <c r="BT106" i="1" s="1"/>
  <c r="M68" i="13"/>
  <c r="M67" i="13" s="1"/>
  <c r="M42" i="13"/>
  <c r="M20" i="13" s="1"/>
  <c r="H20" i="13"/>
  <c r="O276" i="13"/>
  <c r="M119" i="13"/>
  <c r="O42" i="13"/>
  <c r="O20" i="13" s="1"/>
  <c r="O67" i="13"/>
  <c r="H67" i="13"/>
  <c r="H170" i="13"/>
  <c r="P276" i="13"/>
  <c r="G68" i="13"/>
  <c r="G276" i="13"/>
  <c r="M226" i="13"/>
  <c r="S70" i="13"/>
  <c r="G21" i="13"/>
  <c r="P226" i="13"/>
  <c r="P295" i="13"/>
  <c r="G315" i="13"/>
  <c r="G134" i="13"/>
  <c r="S238" i="13"/>
  <c r="S242" i="13"/>
  <c r="I67" i="13"/>
  <c r="G120" i="13"/>
  <c r="G226" i="13"/>
  <c r="G295" i="13"/>
  <c r="G94" i="13"/>
  <c r="G42" i="13"/>
  <c r="G171" i="13"/>
  <c r="O354" i="13"/>
  <c r="BG80" i="1"/>
  <c r="BG26" i="1"/>
  <c r="BG3" i="1"/>
  <c r="M193" i="11"/>
  <c r="M196" i="11"/>
  <c r="T59" i="11"/>
  <c r="BI23" i="1" s="1"/>
  <c r="S77" i="11"/>
  <c r="M21" i="11"/>
  <c r="M26" i="11"/>
  <c r="M32" i="11"/>
  <c r="M37" i="11"/>
  <c r="M40" i="11"/>
  <c r="M44" i="11"/>
  <c r="M47" i="11"/>
  <c r="M50" i="11"/>
  <c r="S62" i="11"/>
  <c r="S71" i="11"/>
  <c r="S81" i="11"/>
  <c r="S172" i="11"/>
  <c r="S179" i="11"/>
  <c r="S59" i="11"/>
  <c r="Q77" i="11"/>
  <c r="BH24" i="1" s="1"/>
  <c r="P90" i="11"/>
  <c r="P97" i="11"/>
  <c r="P102" i="11"/>
  <c r="P116" i="11"/>
  <c r="P138" i="11"/>
  <c r="P146" i="11"/>
  <c r="P152" i="11"/>
  <c r="S26" i="11"/>
  <c r="S32" i="11"/>
  <c r="S37" i="11"/>
  <c r="S40" i="11"/>
  <c r="S44" i="11"/>
  <c r="S47" i="11"/>
  <c r="S50" i="11"/>
  <c r="Q62" i="11"/>
  <c r="BH25" i="1" s="1"/>
  <c r="Q71" i="11"/>
  <c r="BH5" i="1" s="1"/>
  <c r="Q74" i="11"/>
  <c r="BH9" i="1" s="1"/>
  <c r="Q81" i="11"/>
  <c r="BH18" i="1" s="1"/>
  <c r="Q90" i="11"/>
  <c r="BH26" i="1" s="1"/>
  <c r="Q94" i="11"/>
  <c r="BH28" i="1" s="1"/>
  <c r="Q116" i="11"/>
  <c r="Q135" i="11"/>
  <c r="I89" i="11"/>
  <c r="Q146" i="11"/>
  <c r="BH54" i="1" s="1"/>
  <c r="Q149" i="11"/>
  <c r="Q172" i="11"/>
  <c r="Q179" i="11"/>
  <c r="BH123" i="1" s="1"/>
  <c r="Q59" i="11"/>
  <c r="BH23" i="1" s="1"/>
  <c r="P62" i="11"/>
  <c r="P81" i="11"/>
  <c r="P121" i="11"/>
  <c r="P129" i="11"/>
  <c r="P135" i="11"/>
  <c r="P142" i="11"/>
  <c r="P161" i="11"/>
  <c r="P172" i="11"/>
  <c r="P179" i="11"/>
  <c r="P196" i="11"/>
  <c r="Q26" i="11"/>
  <c r="Q32" i="11"/>
  <c r="BH12" i="1" s="1"/>
  <c r="Q37" i="11"/>
  <c r="BH14" i="1" s="1"/>
  <c r="Q40" i="11"/>
  <c r="BH15" i="1" s="1"/>
  <c r="Q44" i="11"/>
  <c r="BH16" i="1" s="1"/>
  <c r="Q47" i="11"/>
  <c r="BH19" i="1" s="1"/>
  <c r="Q50" i="11"/>
  <c r="BH20" i="1" s="1"/>
  <c r="S74" i="11"/>
  <c r="S94" i="11"/>
  <c r="S116" i="11"/>
  <c r="S146" i="11"/>
  <c r="S149" i="11"/>
  <c r="P50" i="11"/>
  <c r="M59" i="11"/>
  <c r="M77" i="11"/>
  <c r="I19" i="11"/>
  <c r="P59" i="11"/>
  <c r="J19" i="11"/>
  <c r="J18" i="11" s="1"/>
  <c r="T93" i="11"/>
  <c r="T100" i="11"/>
  <c r="BI29" i="1" s="1"/>
  <c r="T92" i="11"/>
  <c r="T90" i="11" s="1"/>
  <c r="BI26" i="1" s="1"/>
  <c r="Q110" i="11"/>
  <c r="S110" i="11" s="1"/>
  <c r="T110" i="11" s="1"/>
  <c r="N181" i="11"/>
  <c r="H89" i="11"/>
  <c r="H19" i="11"/>
  <c r="Q108" i="11"/>
  <c r="Q185" i="11"/>
  <c r="S199" i="11"/>
  <c r="Q105" i="11"/>
  <c r="N195" i="11"/>
  <c r="P109" i="11"/>
  <c r="P107" i="11" s="1"/>
  <c r="P187" i="11"/>
  <c r="Q113" i="11"/>
  <c r="H185" i="11"/>
  <c r="H158" i="11"/>
  <c r="N176" i="11"/>
  <c r="N114" i="11"/>
  <c r="N194" i="11"/>
  <c r="N193" i="11" s="1"/>
  <c r="BA77" i="1"/>
  <c r="BA62" i="1"/>
  <c r="BA73" i="1"/>
  <c r="BA71" i="1"/>
  <c r="BA69" i="1"/>
  <c r="BA78" i="1"/>
  <c r="BA76" i="1"/>
  <c r="BA60" i="1"/>
  <c r="J26" i="10"/>
  <c r="N18" i="10"/>
  <c r="S18" i="10"/>
  <c r="J18" i="10"/>
  <c r="K87" i="10"/>
  <c r="H76" i="10"/>
  <c r="P76" i="10"/>
  <c r="T78" i="10"/>
  <c r="Q27" i="10"/>
  <c r="Q26" i="10" s="1"/>
  <c r="Q18" i="10" s="1"/>
  <c r="T60" i="10"/>
  <c r="H27" i="10"/>
  <c r="I19" i="10"/>
  <c r="I18" i="10" s="1"/>
  <c r="P60" i="10"/>
  <c r="H60" i="10"/>
  <c r="P19" i="10"/>
  <c r="T171" i="11"/>
  <c r="BI90" i="1" s="1"/>
  <c r="S158" i="11"/>
  <c r="S50" i="12"/>
  <c r="BO126" i="1" s="1"/>
  <c r="S66" i="12"/>
  <c r="T48" i="11"/>
  <c r="T47" i="11" s="1"/>
  <c r="BI19" i="1" s="1"/>
  <c r="T194" i="11"/>
  <c r="T193" i="11" s="1"/>
  <c r="BI65" i="1" s="1"/>
  <c r="S39" i="12"/>
  <c r="BO108" i="1" s="1"/>
  <c r="Q38" i="12"/>
  <c r="T75" i="12"/>
  <c r="S22" i="11"/>
  <c r="S21" i="11" s="1"/>
  <c r="Q19" i="11"/>
  <c r="T174" i="11"/>
  <c r="T172" i="11" s="1"/>
  <c r="J21" i="12"/>
  <c r="J19" i="12" s="1"/>
  <c r="T31" i="10"/>
  <c r="T137" i="11"/>
  <c r="T135" i="11" s="1"/>
  <c r="T29" i="12"/>
  <c r="T88" i="12"/>
  <c r="S87" i="12"/>
  <c r="S41" i="12"/>
  <c r="T41" i="12" s="1"/>
  <c r="Q50" i="12"/>
  <c r="T67" i="12"/>
  <c r="S76" i="12"/>
  <c r="T76" i="12" s="1"/>
  <c r="T73" i="12" s="1"/>
  <c r="S84" i="12"/>
  <c r="Q102" i="12"/>
  <c r="S106" i="12"/>
  <c r="T106" i="12" s="1"/>
  <c r="S173" i="13"/>
  <c r="S172" i="13" s="1"/>
  <c r="Q158" i="11"/>
  <c r="N174" i="11"/>
  <c r="N172" i="11" s="1"/>
  <c r="N180" i="11"/>
  <c r="N179" i="11" s="1"/>
  <c r="N198" i="11"/>
  <c r="S30" i="12"/>
  <c r="H24" i="10"/>
  <c r="S317" i="13"/>
  <c r="T21" i="10"/>
  <c r="P106" i="11"/>
  <c r="P111" i="11"/>
  <c r="S24" i="12"/>
  <c r="S23" i="12" s="1"/>
  <c r="S60" i="12"/>
  <c r="S63" i="12"/>
  <c r="R94" i="13"/>
  <c r="S96" i="13"/>
  <c r="R120" i="13"/>
  <c r="S121" i="13"/>
  <c r="R136" i="13"/>
  <c r="S136" i="13" s="1"/>
  <c r="O134" i="13"/>
  <c r="O119" i="13" s="1"/>
  <c r="S167" i="13"/>
  <c r="S165" i="13" s="1"/>
  <c r="P354" i="13"/>
  <c r="R364" i="13"/>
  <c r="T23" i="14"/>
  <c r="P21" i="14"/>
  <c r="N48" i="11"/>
  <c r="N197" i="11"/>
  <c r="N196" i="11" s="1"/>
  <c r="R26" i="13"/>
  <c r="S277" i="13"/>
  <c r="S299" i="13"/>
  <c r="S296" i="13" s="1"/>
  <c r="S102" i="12"/>
  <c r="T103" i="12"/>
  <c r="P42" i="13"/>
  <c r="R49" i="13"/>
  <c r="R186" i="13"/>
  <c r="T33" i="14"/>
  <c r="T32" i="14" s="1"/>
  <c r="P32" i="14"/>
  <c r="S358" i="13"/>
  <c r="T26" i="14"/>
  <c r="CA127" i="1" s="1"/>
  <c r="P154" i="13"/>
  <c r="R228" i="13"/>
  <c r="R227" i="13" s="1"/>
  <c r="BU88" i="1" s="1"/>
  <c r="R284" i="13"/>
  <c r="R302" i="13"/>
  <c r="S302" i="13" s="1"/>
  <c r="S300" i="13" s="1"/>
  <c r="P315" i="13"/>
  <c r="P120" i="13"/>
  <c r="N31" i="14"/>
  <c r="S356" i="13"/>
  <c r="S355" i="13" s="1"/>
  <c r="S23" i="13"/>
  <c r="S22" i="13" s="1"/>
  <c r="G364" i="13"/>
  <c r="S135" i="13"/>
  <c r="H21" i="14"/>
  <c r="H20" i="14" s="1"/>
  <c r="H18" i="14" s="1"/>
  <c r="G363" i="13" l="1"/>
  <c r="G354" i="13" s="1"/>
  <c r="S284" i="13"/>
  <c r="R278" i="13"/>
  <c r="BU90" i="1" s="1"/>
  <c r="R154" i="13"/>
  <c r="P152" i="13"/>
  <c r="BT29" i="1" s="1"/>
  <c r="S186" i="13"/>
  <c r="S182" i="13" s="1"/>
  <c r="R182" i="13"/>
  <c r="BU95" i="1" s="1"/>
  <c r="T102" i="12"/>
  <c r="BO124" i="1"/>
  <c r="S26" i="13"/>
  <c r="BU64" i="1"/>
  <c r="S364" i="13"/>
  <c r="S363" i="13" s="1"/>
  <c r="R363" i="13"/>
  <c r="BU117" i="1" s="1"/>
  <c r="BO103" i="1"/>
  <c r="T23" i="12"/>
  <c r="S316" i="13"/>
  <c r="H19" i="10"/>
  <c r="H20" i="10"/>
  <c r="AY118" i="1" s="1"/>
  <c r="BA118" i="1" s="1"/>
  <c r="T30" i="12"/>
  <c r="S28" i="12"/>
  <c r="BO88" i="1" s="1"/>
  <c r="Q72" i="12"/>
  <c r="BN124" i="1"/>
  <c r="Q49" i="12"/>
  <c r="BN126" i="1"/>
  <c r="T87" i="12"/>
  <c r="BO109" i="1"/>
  <c r="DF19" i="1"/>
  <c r="DK19" i="1"/>
  <c r="DJ19" i="1"/>
  <c r="DH19" i="1"/>
  <c r="DG19" i="1"/>
  <c r="T66" i="12"/>
  <c r="BO121" i="1"/>
  <c r="T76" i="10"/>
  <c r="T77" i="10"/>
  <c r="S105" i="11"/>
  <c r="T105" i="11" s="1"/>
  <c r="BI45" i="1" s="1"/>
  <c r="BH45" i="1"/>
  <c r="P19" i="11"/>
  <c r="P158" i="11"/>
  <c r="DH23" i="1"/>
  <c r="DK23" i="1"/>
  <c r="DJ23" i="1"/>
  <c r="DG23" i="1"/>
  <c r="DF23" i="1"/>
  <c r="S234" i="13"/>
  <c r="I134" i="13"/>
  <c r="I119" i="13" s="1"/>
  <c r="BR29" i="1"/>
  <c r="BS29" i="1" s="1"/>
  <c r="P21" i="13"/>
  <c r="BT74" i="1"/>
  <c r="P68" i="13"/>
  <c r="BT4" i="1"/>
  <c r="R68" i="13"/>
  <c r="BU19" i="1"/>
  <c r="P171" i="13"/>
  <c r="BT122" i="1"/>
  <c r="O226" i="13"/>
  <c r="CM65" i="1"/>
  <c r="DI17" i="1"/>
  <c r="DC122" i="1"/>
  <c r="Q122" i="17"/>
  <c r="Q121" i="17" s="1"/>
  <c r="Q19" i="17" s="1"/>
  <c r="CS78" i="1"/>
  <c r="G19" i="17"/>
  <c r="Q35" i="19"/>
  <c r="Q22" i="19" s="1"/>
  <c r="Q61" i="19" s="1"/>
  <c r="DD14" i="1"/>
  <c r="DC85" i="1"/>
  <c r="DC101" i="1"/>
  <c r="T23" i="19"/>
  <c r="DE4" i="1"/>
  <c r="T59" i="19"/>
  <c r="T58" i="19" s="1"/>
  <c r="DE30" i="1"/>
  <c r="DC81" i="1"/>
  <c r="Q21" i="20"/>
  <c r="DK74" i="1"/>
  <c r="Q76" i="20"/>
  <c r="DK122" i="1"/>
  <c r="Q61" i="20"/>
  <c r="DK59" i="1"/>
  <c r="DO42" i="1"/>
  <c r="DO10" i="1"/>
  <c r="DO56" i="1"/>
  <c r="DO48" i="1"/>
  <c r="DO32" i="1"/>
  <c r="DO24" i="1"/>
  <c r="DO54" i="1"/>
  <c r="DO30" i="1"/>
  <c r="CM81" i="1"/>
  <c r="P32" i="16"/>
  <c r="CM110" i="1"/>
  <c r="P83" i="16"/>
  <c r="CL64" i="1"/>
  <c r="N143" i="16"/>
  <c r="Q147" i="16"/>
  <c r="Q146" i="16" s="1"/>
  <c r="P146" i="16"/>
  <c r="CL60" i="1"/>
  <c r="N149" i="16"/>
  <c r="Q153" i="16"/>
  <c r="Q152" i="16" s="1"/>
  <c r="P152" i="16"/>
  <c r="Q156" i="16"/>
  <c r="Q155" i="16" s="1"/>
  <c r="P155" i="16"/>
  <c r="CM79" i="1" s="1"/>
  <c r="Q159" i="16"/>
  <c r="Q158" i="16" s="1"/>
  <c r="P158" i="16"/>
  <c r="CM73" i="1" s="1"/>
  <c r="Q136" i="16"/>
  <c r="Q135" i="16" s="1"/>
  <c r="Q107" i="16" s="1"/>
  <c r="P135" i="16"/>
  <c r="Q207" i="16"/>
  <c r="Q206" i="16" s="1"/>
  <c r="S388" i="13"/>
  <c r="S387" i="13" s="1"/>
  <c r="R387" i="13"/>
  <c r="BU123" i="1" s="1"/>
  <c r="S386" i="13"/>
  <c r="BU116" i="1"/>
  <c r="S383" i="13"/>
  <c r="S382" i="13" s="1"/>
  <c r="R382" i="13"/>
  <c r="BU111" i="1" s="1"/>
  <c r="S380" i="13"/>
  <c r="S379" i="13" s="1"/>
  <c r="R379" i="13"/>
  <c r="BU115" i="1" s="1"/>
  <c r="S375" i="13"/>
  <c r="S374" i="13" s="1"/>
  <c r="R374" i="13"/>
  <c r="BU86" i="1" s="1"/>
  <c r="S371" i="13"/>
  <c r="S370" i="13" s="1"/>
  <c r="R370" i="13"/>
  <c r="BU85" i="1" s="1"/>
  <c r="S368" i="13"/>
  <c r="S367" i="13" s="1"/>
  <c r="R367" i="13"/>
  <c r="BU124" i="1" s="1"/>
  <c r="S361" i="13"/>
  <c r="S360" i="13" s="1"/>
  <c r="R360" i="13"/>
  <c r="BU109" i="1" s="1"/>
  <c r="S349" i="13"/>
  <c r="S348" i="13" s="1"/>
  <c r="R348" i="13"/>
  <c r="BU126" i="1" s="1"/>
  <c r="S345" i="13"/>
  <c r="S344" i="13" s="1"/>
  <c r="R344" i="13"/>
  <c r="BU120" i="1" s="1"/>
  <c r="S340" i="13"/>
  <c r="S339" i="13" s="1"/>
  <c r="R339" i="13"/>
  <c r="BU101" i="1" s="1"/>
  <c r="S338" i="13"/>
  <c r="BU89" i="1"/>
  <c r="S336" i="13"/>
  <c r="S335" i="13" s="1"/>
  <c r="R335" i="13"/>
  <c r="BU83" i="1" s="1"/>
  <c r="S332" i="13"/>
  <c r="S331" i="13" s="1"/>
  <c r="R331" i="13"/>
  <c r="BU91" i="1" s="1"/>
  <c r="S328" i="13"/>
  <c r="S327" i="13" s="1"/>
  <c r="R327" i="13"/>
  <c r="BU110" i="1" s="1"/>
  <c r="S321" i="13"/>
  <c r="S320" i="13" s="1"/>
  <c r="S315" i="13" s="1"/>
  <c r="R320" i="13"/>
  <c r="S314" i="13"/>
  <c r="BU113" i="1"/>
  <c r="S291" i="13"/>
  <c r="BU112" i="1"/>
  <c r="S283" i="13"/>
  <c r="BU104" i="1"/>
  <c r="S261" i="13"/>
  <c r="S256" i="13" s="1"/>
  <c r="BU125" i="1"/>
  <c r="S168" i="13"/>
  <c r="BU53" i="1"/>
  <c r="S164" i="13"/>
  <c r="BU39" i="1"/>
  <c r="S163" i="13"/>
  <c r="BU51" i="1"/>
  <c r="S162" i="13"/>
  <c r="BU55" i="1"/>
  <c r="S158" i="13"/>
  <c r="BU27" i="1"/>
  <c r="S157" i="13"/>
  <c r="BU48" i="1"/>
  <c r="S155" i="13"/>
  <c r="BU40" i="1"/>
  <c r="S148" i="13"/>
  <c r="BU58" i="1"/>
  <c r="S143" i="13"/>
  <c r="BU59" i="1"/>
  <c r="S133" i="13"/>
  <c r="BU56" i="1"/>
  <c r="S131" i="13"/>
  <c r="BU49" i="1"/>
  <c r="S130" i="13"/>
  <c r="BU38" i="1"/>
  <c r="S129" i="13"/>
  <c r="BU45" i="1"/>
  <c r="S128" i="13"/>
  <c r="BU30" i="1"/>
  <c r="S127" i="13"/>
  <c r="BU54" i="1"/>
  <c r="S122" i="13"/>
  <c r="S120" i="13" s="1"/>
  <c r="BU47" i="1"/>
  <c r="S117" i="13"/>
  <c r="BU18" i="1"/>
  <c r="S115" i="13"/>
  <c r="BU23" i="1"/>
  <c r="S114" i="13"/>
  <c r="BU15" i="1"/>
  <c r="S113" i="13"/>
  <c r="BU5" i="1"/>
  <c r="S112" i="13"/>
  <c r="BU24" i="1"/>
  <c r="S107" i="13"/>
  <c r="BU12" i="1"/>
  <c r="S92" i="13"/>
  <c r="BU3" i="1"/>
  <c r="S63" i="13"/>
  <c r="BU73" i="1"/>
  <c r="S62" i="13"/>
  <c r="BU76" i="1"/>
  <c r="S57" i="13"/>
  <c r="BU71" i="1"/>
  <c r="S44" i="13"/>
  <c r="BU61" i="1"/>
  <c r="S43" i="13"/>
  <c r="BU60" i="1"/>
  <c r="S35" i="13"/>
  <c r="BU75" i="1"/>
  <c r="S30" i="13"/>
  <c r="BU70" i="1"/>
  <c r="T107" i="12"/>
  <c r="BO86" i="1"/>
  <c r="S94" i="12"/>
  <c r="BN123" i="1"/>
  <c r="H72" i="12"/>
  <c r="BK117" i="1"/>
  <c r="BM117" i="1" s="1"/>
  <c r="H49" i="12"/>
  <c r="BK126" i="1"/>
  <c r="BM126" i="1" s="1"/>
  <c r="T37" i="12"/>
  <c r="BO125" i="1"/>
  <c r="Q27" i="12"/>
  <c r="BN88" i="1"/>
  <c r="H27" i="12"/>
  <c r="BK88" i="1"/>
  <c r="BM88" i="1" s="1"/>
  <c r="BN103" i="1"/>
  <c r="Q22" i="12"/>
  <c r="BK103" i="1"/>
  <c r="BM103" i="1" s="1"/>
  <c r="H22" i="12"/>
  <c r="H21" i="12" s="1"/>
  <c r="H19" i="12" s="1"/>
  <c r="T38" i="10"/>
  <c r="S36" i="10"/>
  <c r="T37" i="10"/>
  <c r="T36" i="10" s="1"/>
  <c r="T27" i="10" s="1"/>
  <c r="P36" i="10"/>
  <c r="T28" i="10"/>
  <c r="T24" i="10"/>
  <c r="P20" i="10"/>
  <c r="BC118" i="1" s="1"/>
  <c r="DI19" i="1"/>
  <c r="DC65" i="1"/>
  <c r="DI7" i="1"/>
  <c r="DO60" i="1"/>
  <c r="DO34" i="1"/>
  <c r="DO53" i="1"/>
  <c r="DO46" i="1"/>
  <c r="DO22" i="1"/>
  <c r="DO6" i="1"/>
  <c r="DO20" i="1"/>
  <c r="DC87" i="1"/>
  <c r="DO49" i="1"/>
  <c r="DO44" i="1"/>
  <c r="DO12" i="1"/>
  <c r="DO18" i="1"/>
  <c r="DO37" i="1"/>
  <c r="DO7" i="1"/>
  <c r="DO51" i="1"/>
  <c r="DC72" i="1"/>
  <c r="DC115" i="1"/>
  <c r="DC92" i="1"/>
  <c r="DO33" i="1"/>
  <c r="DO31" i="1"/>
  <c r="DO27" i="1"/>
  <c r="DO11" i="1"/>
  <c r="DI20" i="1"/>
  <c r="DO17" i="1"/>
  <c r="DO4" i="1"/>
  <c r="DO15" i="1"/>
  <c r="DO5" i="1"/>
  <c r="DO59" i="1"/>
  <c r="DO38" i="1"/>
  <c r="DO14" i="1"/>
  <c r="DO25" i="1"/>
  <c r="DO9" i="1"/>
  <c r="DO47" i="1"/>
  <c r="DO26" i="1"/>
  <c r="J14" i="21"/>
  <c r="J12" i="21" s="1"/>
  <c r="DO40" i="1"/>
  <c r="DO28" i="1"/>
  <c r="DO19" i="1"/>
  <c r="DO52" i="1"/>
  <c r="DO39" i="1"/>
  <c r="DO8" i="1"/>
  <c r="DI16" i="1"/>
  <c r="DC108" i="1"/>
  <c r="DO58" i="1"/>
  <c r="DO45" i="1"/>
  <c r="DO43" i="1"/>
  <c r="DO3" i="1"/>
  <c r="Q19" i="20"/>
  <c r="DC96" i="1"/>
  <c r="DC114" i="1"/>
  <c r="P76" i="20"/>
  <c r="P19" i="20" s="1"/>
  <c r="DC61" i="1"/>
  <c r="DC77" i="1"/>
  <c r="DC97" i="1"/>
  <c r="DI15" i="1"/>
  <c r="DC126" i="1"/>
  <c r="DC124" i="1"/>
  <c r="DC117" i="1"/>
  <c r="DC71" i="1"/>
  <c r="DC111" i="1"/>
  <c r="DI9" i="1"/>
  <c r="DC125" i="1"/>
  <c r="DI25" i="1"/>
  <c r="DC69" i="1"/>
  <c r="DC123" i="1"/>
  <c r="DC102" i="1"/>
  <c r="DC98" i="1"/>
  <c r="DC62" i="1"/>
  <c r="DC74" i="1"/>
  <c r="DC78" i="1"/>
  <c r="DC104" i="1"/>
  <c r="DI3" i="1"/>
  <c r="DC93" i="1"/>
  <c r="DI5" i="1"/>
  <c r="DI13" i="1"/>
  <c r="DC106" i="1"/>
  <c r="DC110" i="1"/>
  <c r="DC76" i="1"/>
  <c r="DC91" i="1"/>
  <c r="DC119" i="1"/>
  <c r="DI18" i="1"/>
  <c r="DC109" i="1"/>
  <c r="DC73" i="1"/>
  <c r="DC103" i="1"/>
  <c r="DC121" i="1"/>
  <c r="DC84" i="1"/>
  <c r="DC105" i="1"/>
  <c r="DI22" i="1"/>
  <c r="DC89" i="1"/>
  <c r="T43" i="19"/>
  <c r="T42" i="19" s="1"/>
  <c r="S42" i="19"/>
  <c r="S35" i="19" s="1"/>
  <c r="S22" i="19" s="1"/>
  <c r="S61" i="19" s="1"/>
  <c r="DC63" i="1"/>
  <c r="DC79" i="1"/>
  <c r="DC66" i="1"/>
  <c r="DC70" i="1"/>
  <c r="DC107" i="1"/>
  <c r="DC80" i="1"/>
  <c r="DI11" i="1"/>
  <c r="DI6" i="1"/>
  <c r="DC100" i="1"/>
  <c r="DC113" i="1"/>
  <c r="DC94" i="1"/>
  <c r="DI24" i="1"/>
  <c r="DC64" i="1"/>
  <c r="DC83" i="1"/>
  <c r="DC112" i="1"/>
  <c r="DC127" i="1"/>
  <c r="DI26" i="1"/>
  <c r="DC95" i="1"/>
  <c r="DC60" i="1"/>
  <c r="DI14" i="1"/>
  <c r="DC90" i="1"/>
  <c r="DC68" i="1"/>
  <c r="DC88" i="1"/>
  <c r="DI12" i="1"/>
  <c r="DC82" i="1"/>
  <c r="DC75" i="1"/>
  <c r="DC116" i="1"/>
  <c r="DI23" i="1"/>
  <c r="DC86" i="1"/>
  <c r="DC120" i="1"/>
  <c r="G18" i="16"/>
  <c r="Q144" i="16"/>
  <c r="Q143" i="16" s="1"/>
  <c r="Q19" i="16"/>
  <c r="P185" i="16"/>
  <c r="P163" i="16" s="1"/>
  <c r="Q186" i="16"/>
  <c r="Q185" i="16" s="1"/>
  <c r="Q163" i="16" s="1"/>
  <c r="N20" i="14"/>
  <c r="N18" i="14" s="1"/>
  <c r="N27" i="14"/>
  <c r="T21" i="14"/>
  <c r="T20" i="14" s="1"/>
  <c r="T18" i="14" s="1"/>
  <c r="T22" i="14"/>
  <c r="CA88" i="1" s="1"/>
  <c r="P20" i="14"/>
  <c r="P18" i="14" s="1"/>
  <c r="S68" i="13"/>
  <c r="S69" i="13"/>
  <c r="R300" i="13"/>
  <c r="BU106" i="1" s="1"/>
  <c r="S94" i="13"/>
  <c r="S95" i="13"/>
  <c r="S154" i="13"/>
  <c r="S152" i="13" s="1"/>
  <c r="S134" i="13" s="1"/>
  <c r="S119" i="13" s="1"/>
  <c r="R152" i="13"/>
  <c r="BU29" i="1" s="1"/>
  <c r="M170" i="13"/>
  <c r="M19" i="13" s="1"/>
  <c r="S49" i="13"/>
  <c r="R48" i="13"/>
  <c r="BU66" i="1" s="1"/>
  <c r="S295" i="13"/>
  <c r="G67" i="13"/>
  <c r="H19" i="13"/>
  <c r="O170" i="13"/>
  <c r="O19" i="13" s="1"/>
  <c r="R67" i="13"/>
  <c r="G119" i="13"/>
  <c r="G20" i="13"/>
  <c r="G170" i="13"/>
  <c r="S21" i="13"/>
  <c r="R42" i="13"/>
  <c r="R295" i="13"/>
  <c r="I19" i="13"/>
  <c r="S354" i="13"/>
  <c r="P170" i="13"/>
  <c r="R276" i="13"/>
  <c r="P67" i="13"/>
  <c r="S113" i="11"/>
  <c r="Q112" i="11"/>
  <c r="BH30" i="1" s="1"/>
  <c r="T187" i="11"/>
  <c r="T186" i="11" s="1"/>
  <c r="BI75" i="1" s="1"/>
  <c r="P186" i="11"/>
  <c r="S108" i="11"/>
  <c r="Q107" i="11"/>
  <c r="I18" i="11"/>
  <c r="N47" i="11"/>
  <c r="N19" i="11" s="1"/>
  <c r="S196" i="11"/>
  <c r="S185" i="11" s="1"/>
  <c r="N112" i="11"/>
  <c r="N89" i="11" s="1"/>
  <c r="T199" i="11"/>
  <c r="P185" i="11"/>
  <c r="T158" i="11"/>
  <c r="N185" i="11"/>
  <c r="P89" i="11"/>
  <c r="H18" i="11"/>
  <c r="H26" i="10"/>
  <c r="H18" i="10" s="1"/>
  <c r="T26" i="10"/>
  <c r="Q21" i="12"/>
  <c r="Q19" i="12" s="1"/>
  <c r="P134" i="13"/>
  <c r="P119" i="13" s="1"/>
  <c r="T24" i="12"/>
  <c r="S83" i="12"/>
  <c r="BO115" i="1" s="1"/>
  <c r="T84" i="12"/>
  <c r="T83" i="12" s="1"/>
  <c r="S38" i="12"/>
  <c r="T39" i="12"/>
  <c r="T38" i="12" s="1"/>
  <c r="T50" i="12"/>
  <c r="S171" i="13"/>
  <c r="S27" i="12"/>
  <c r="T27" i="12" s="1"/>
  <c r="T28" i="12"/>
  <c r="R226" i="13"/>
  <c r="S228" i="13"/>
  <c r="R171" i="13"/>
  <c r="R134" i="13"/>
  <c r="R119" i="13" s="1"/>
  <c r="T22" i="11"/>
  <c r="S19" i="11"/>
  <c r="R354" i="13"/>
  <c r="P20" i="13"/>
  <c r="S62" i="12"/>
  <c r="T62" i="12" s="1"/>
  <c r="T63" i="12"/>
  <c r="N158" i="11"/>
  <c r="S67" i="13"/>
  <c r="S73" i="12"/>
  <c r="S59" i="12"/>
  <c r="T60" i="12"/>
  <c r="R21" i="13"/>
  <c r="T59" i="12" l="1"/>
  <c r="BO127" i="1"/>
  <c r="S72" i="12"/>
  <c r="BO117" i="1"/>
  <c r="Q89" i="11"/>
  <c r="Q18" i="11" s="1"/>
  <c r="BH31" i="1"/>
  <c r="T35" i="19"/>
  <c r="T22" i="19" s="1"/>
  <c r="T61" i="19" s="1"/>
  <c r="DE14" i="1"/>
  <c r="DE118" i="1"/>
  <c r="DD118" i="1"/>
  <c r="DB118" i="1"/>
  <c r="DA118" i="1"/>
  <c r="DC118" i="1" s="1"/>
  <c r="CZ118" i="1"/>
  <c r="T19" i="10"/>
  <c r="T18" i="10" s="1"/>
  <c r="T20" i="10"/>
  <c r="BC67" i="1"/>
  <c r="P27" i="10"/>
  <c r="P26" i="10" s="1"/>
  <c r="P18" i="10" s="1"/>
  <c r="T94" i="12"/>
  <c r="T72" i="12" s="1"/>
  <c r="BO123" i="1"/>
  <c r="BU121" i="1"/>
  <c r="R315" i="13"/>
  <c r="CM123" i="1"/>
  <c r="P107" i="16"/>
  <c r="CM60" i="1"/>
  <c r="P149" i="16"/>
  <c r="Q149" i="16"/>
  <c r="Q142" i="16" s="1"/>
  <c r="CM64" i="1"/>
  <c r="P143" i="16"/>
  <c r="P142" i="16" s="1"/>
  <c r="N142" i="16"/>
  <c r="N18" i="16" s="1"/>
  <c r="S278" i="13"/>
  <c r="S276" i="13" s="1"/>
  <c r="Q18" i="16"/>
  <c r="S226" i="13"/>
  <c r="S170" i="13" s="1"/>
  <c r="S227" i="13"/>
  <c r="S48" i="13"/>
  <c r="S42" i="13" s="1"/>
  <c r="S20" i="13" s="1"/>
  <c r="G19" i="13"/>
  <c r="R20" i="13"/>
  <c r="T196" i="11"/>
  <c r="T108" i="11"/>
  <c r="T107" i="11" s="1"/>
  <c r="BI31" i="1" s="1"/>
  <c r="S107" i="11"/>
  <c r="T21" i="11"/>
  <c r="T113" i="11"/>
  <c r="T112" i="11" s="1"/>
  <c r="BI30" i="1" s="1"/>
  <c r="S112" i="11"/>
  <c r="P18" i="11"/>
  <c r="N18" i="11"/>
  <c r="R170" i="13"/>
  <c r="S49" i="12"/>
  <c r="T49" i="12" s="1"/>
  <c r="S22" i="12"/>
  <c r="S21" i="12" s="1"/>
  <c r="S19" i="12" s="1"/>
  <c r="T22" i="12"/>
  <c r="T21" i="12" s="1"/>
  <c r="T19" i="12" s="1"/>
  <c r="P19" i="13"/>
  <c r="T19" i="11" l="1"/>
  <c r="BI4" i="1"/>
  <c r="T185" i="11"/>
  <c r="BI78" i="1"/>
  <c r="DE67" i="1"/>
  <c r="DD67" i="1"/>
  <c r="DB67" i="1"/>
  <c r="DA67" i="1"/>
  <c r="DC67" i="1" s="1"/>
  <c r="CZ67" i="1"/>
  <c r="S19" i="13"/>
  <c r="R19" i="13"/>
  <c r="S89" i="11"/>
  <c r="S18" i="11" s="1"/>
  <c r="T89" i="11"/>
  <c r="T18" i="11" s="1"/>
  <c r="AR81" i="1"/>
  <c r="AS81" i="1"/>
  <c r="AT81" i="1"/>
  <c r="AV81" i="1"/>
  <c r="AW81" i="1"/>
  <c r="AR83" i="1"/>
  <c r="AS83" i="1"/>
  <c r="AT83" i="1"/>
  <c r="AR84" i="1"/>
  <c r="AS84" i="1"/>
  <c r="AR89" i="1"/>
  <c r="AS89" i="1"/>
  <c r="AT89" i="1"/>
  <c r="AV89" i="1"/>
  <c r="AW89" i="1"/>
  <c r="AR90" i="1"/>
  <c r="AS90" i="1"/>
  <c r="AT90" i="1"/>
  <c r="AV90" i="1"/>
  <c r="AW90" i="1"/>
  <c r="AR91" i="1"/>
  <c r="AS91" i="1"/>
  <c r="AT91" i="1"/>
  <c r="AV91" i="1"/>
  <c r="AW91" i="1"/>
  <c r="AR92" i="1"/>
  <c r="AS92" i="1"/>
  <c r="AT92" i="1"/>
  <c r="AV92" i="1"/>
  <c r="AW92" i="1"/>
  <c r="AR94" i="1"/>
  <c r="AS94" i="1"/>
  <c r="AT94" i="1"/>
  <c r="AV94" i="1"/>
  <c r="AW94" i="1"/>
  <c r="AR95" i="1"/>
  <c r="AS95" i="1"/>
  <c r="AT95" i="1"/>
  <c r="AV95" i="1"/>
  <c r="AW95" i="1"/>
  <c r="AR96" i="1"/>
  <c r="AS96" i="1"/>
  <c r="AT96" i="1"/>
  <c r="AV96" i="1"/>
  <c r="AW96" i="1"/>
  <c r="AR97" i="1"/>
  <c r="AS97" i="1"/>
  <c r="AT97" i="1"/>
  <c r="AV97" i="1"/>
  <c r="AW97" i="1"/>
  <c r="AR98" i="1"/>
  <c r="AS98" i="1"/>
  <c r="AR100" i="1"/>
  <c r="AS100" i="1"/>
  <c r="AT100" i="1"/>
  <c r="AV100" i="1"/>
  <c r="AW100" i="1"/>
  <c r="AR101" i="1"/>
  <c r="AS101" i="1"/>
  <c r="AT101" i="1"/>
  <c r="AV101" i="1"/>
  <c r="AW101" i="1"/>
  <c r="AR102" i="1"/>
  <c r="AS102" i="1"/>
  <c r="AT102" i="1"/>
  <c r="AV102" i="1"/>
  <c r="AW102" i="1"/>
  <c r="AR103" i="1"/>
  <c r="AS103" i="1"/>
  <c r="AR104" i="1"/>
  <c r="AS104" i="1"/>
  <c r="AT104" i="1"/>
  <c r="AV104" i="1"/>
  <c r="AW104" i="1"/>
  <c r="AR105" i="1"/>
  <c r="AS105" i="1"/>
  <c r="AT105" i="1"/>
  <c r="AV105" i="1"/>
  <c r="AW105" i="1"/>
  <c r="AR106" i="1"/>
  <c r="AS106" i="1"/>
  <c r="AT106" i="1"/>
  <c r="AV106" i="1"/>
  <c r="AW106" i="1"/>
  <c r="AR109" i="1"/>
  <c r="AS109" i="1"/>
  <c r="AT109" i="1"/>
  <c r="AV109" i="1"/>
  <c r="AW109" i="1"/>
  <c r="AR111" i="1"/>
  <c r="AS111" i="1"/>
  <c r="AT111" i="1"/>
  <c r="AV111" i="1"/>
  <c r="AW111" i="1"/>
  <c r="AR112" i="1"/>
  <c r="AS112" i="1"/>
  <c r="AT112" i="1"/>
  <c r="AV112" i="1"/>
  <c r="AW112" i="1"/>
  <c r="AR113" i="1"/>
  <c r="AS113" i="1"/>
  <c r="AT113" i="1"/>
  <c r="AV113" i="1"/>
  <c r="AW113" i="1"/>
  <c r="AR114" i="1"/>
  <c r="AS114" i="1"/>
  <c r="AT114" i="1"/>
  <c r="AV114" i="1"/>
  <c r="AW114" i="1"/>
  <c r="AR115" i="1"/>
  <c r="AS115" i="1"/>
  <c r="AT115" i="1"/>
  <c r="AV115" i="1"/>
  <c r="AR116" i="1"/>
  <c r="AS116" i="1"/>
  <c r="AT116" i="1"/>
  <c r="AV116" i="1"/>
  <c r="AW116" i="1"/>
  <c r="AR117" i="1"/>
  <c r="AS117" i="1"/>
  <c r="AT117" i="1"/>
  <c r="AV117" i="1"/>
  <c r="AW117" i="1"/>
  <c r="AR118" i="1"/>
  <c r="AS118" i="1"/>
  <c r="AT118" i="1"/>
  <c r="AV118" i="1"/>
  <c r="AW118" i="1"/>
  <c r="AR120" i="1"/>
  <c r="AS120" i="1"/>
  <c r="AT120" i="1"/>
  <c r="AV120" i="1"/>
  <c r="AW120" i="1"/>
  <c r="AR121" i="1"/>
  <c r="AS121" i="1"/>
  <c r="AT121" i="1"/>
  <c r="AV121" i="1"/>
  <c r="AW121" i="1"/>
  <c r="AR122" i="1"/>
  <c r="AS122" i="1"/>
  <c r="AT122" i="1"/>
  <c r="AV122" i="1"/>
  <c r="AW122" i="1"/>
  <c r="AR124" i="1"/>
  <c r="AS124" i="1"/>
  <c r="AT124" i="1"/>
  <c r="AV124" i="1"/>
  <c r="AW124" i="1"/>
  <c r="AR125" i="1"/>
  <c r="AS125" i="1"/>
  <c r="AT125" i="1"/>
  <c r="AV125" i="1"/>
  <c r="AW125" i="1"/>
  <c r="AR126" i="1"/>
  <c r="AS126" i="1"/>
  <c r="AR127" i="1"/>
  <c r="AS127" i="1"/>
  <c r="AT127" i="1"/>
  <c r="AV127" i="1"/>
  <c r="AW127" i="1"/>
  <c r="AW80" i="1"/>
  <c r="AV80" i="1"/>
  <c r="AT80" i="1"/>
  <c r="AS80" i="1"/>
  <c r="AR80" i="1"/>
  <c r="AR60" i="1"/>
  <c r="AS60" i="1"/>
  <c r="AT60" i="1"/>
  <c r="AV60" i="1"/>
  <c r="AW60" i="1"/>
  <c r="AR28" i="1"/>
  <c r="AS28" i="1"/>
  <c r="AT28" i="1"/>
  <c r="AV28" i="1"/>
  <c r="AW28" i="1"/>
  <c r="AR30" i="1"/>
  <c r="AS30" i="1"/>
  <c r="AT30" i="1"/>
  <c r="AV30" i="1"/>
  <c r="AW30" i="1"/>
  <c r="AR31" i="1"/>
  <c r="AS31" i="1"/>
  <c r="AT31" i="1"/>
  <c r="AV31" i="1"/>
  <c r="AW31" i="1"/>
  <c r="AR34" i="1"/>
  <c r="AS34" i="1"/>
  <c r="AT34" i="1"/>
  <c r="AR40" i="1"/>
  <c r="AS40" i="1"/>
  <c r="AR42" i="1"/>
  <c r="AS42" i="1"/>
  <c r="AR46" i="1"/>
  <c r="AS46" i="1"/>
  <c r="AR47" i="1"/>
  <c r="AS47" i="1"/>
  <c r="AT47" i="1"/>
  <c r="AR48" i="1"/>
  <c r="AS48" i="1"/>
  <c r="AR49" i="1"/>
  <c r="AS49" i="1"/>
  <c r="AT49" i="1"/>
  <c r="AR58" i="1"/>
  <c r="AS58" i="1"/>
  <c r="AT58" i="1"/>
  <c r="AR59" i="1"/>
  <c r="AS59" i="1"/>
  <c r="AT59" i="1"/>
  <c r="AR4" i="1"/>
  <c r="AS4" i="1"/>
  <c r="AT4" i="1"/>
  <c r="AV4" i="1"/>
  <c r="AW4" i="1"/>
  <c r="AR7" i="1"/>
  <c r="AS7" i="1"/>
  <c r="AT7" i="1"/>
  <c r="AV7" i="1"/>
  <c r="AW7" i="1"/>
  <c r="AR9" i="1"/>
  <c r="AS9" i="1"/>
  <c r="AR10" i="1"/>
  <c r="AS10" i="1"/>
  <c r="AT10" i="1"/>
  <c r="AV10" i="1"/>
  <c r="AW10" i="1"/>
  <c r="AR13" i="1"/>
  <c r="AS13" i="1"/>
  <c r="AR24" i="1"/>
  <c r="AS24" i="1"/>
  <c r="E195" i="9"/>
  <c r="F195" i="9"/>
  <c r="G195" i="9"/>
  <c r="H195" i="9"/>
  <c r="J195" i="9"/>
  <c r="L195" i="9"/>
  <c r="M195" i="9"/>
  <c r="N195" i="9"/>
  <c r="O195" i="9"/>
  <c r="Q195" i="9"/>
  <c r="D195" i="9"/>
  <c r="E181" i="9"/>
  <c r="F181" i="9"/>
  <c r="G181" i="9"/>
  <c r="H181" i="9"/>
  <c r="AS20" i="1" s="1"/>
  <c r="J181" i="9"/>
  <c r="L181" i="9"/>
  <c r="M181" i="9"/>
  <c r="N181" i="9"/>
  <c r="O181" i="9"/>
  <c r="Q181" i="9"/>
  <c r="D181" i="9"/>
  <c r="AR20" i="1" s="1"/>
  <c r="E69" i="9"/>
  <c r="F69" i="9"/>
  <c r="G69" i="9"/>
  <c r="H69" i="9"/>
  <c r="AS38" i="1" s="1"/>
  <c r="I69" i="9"/>
  <c r="AT38" i="1" s="1"/>
  <c r="J69" i="9"/>
  <c r="L69" i="9"/>
  <c r="M69" i="9"/>
  <c r="N69" i="9"/>
  <c r="O69" i="9"/>
  <c r="Q69" i="9"/>
  <c r="D69" i="9"/>
  <c r="AR38" i="1" s="1"/>
  <c r="E118" i="9"/>
  <c r="F118" i="9"/>
  <c r="G118" i="9"/>
  <c r="H118" i="9"/>
  <c r="AS50" i="1" s="1"/>
  <c r="J118" i="9"/>
  <c r="L118" i="9"/>
  <c r="M118" i="9"/>
  <c r="N118" i="9"/>
  <c r="O118" i="9"/>
  <c r="Q118" i="9"/>
  <c r="D118" i="9"/>
  <c r="AR50" i="1" s="1"/>
  <c r="Q112" i="9"/>
  <c r="O112" i="9"/>
  <c r="N112" i="9"/>
  <c r="M112" i="9"/>
  <c r="L112" i="9"/>
  <c r="J112" i="9"/>
  <c r="H112" i="9"/>
  <c r="AS51" i="1" s="1"/>
  <c r="G112" i="9"/>
  <c r="F112" i="9"/>
  <c r="E112" i="9"/>
  <c r="D112" i="9"/>
  <c r="AR51" i="1" s="1"/>
  <c r="Q140" i="9"/>
  <c r="O140" i="9"/>
  <c r="N140" i="9"/>
  <c r="M140" i="9"/>
  <c r="L140" i="9"/>
  <c r="J140" i="9"/>
  <c r="I140" i="9"/>
  <c r="AT57" i="1" s="1"/>
  <c r="H140" i="9"/>
  <c r="AS57" i="1" s="1"/>
  <c r="G140" i="9"/>
  <c r="F140" i="9"/>
  <c r="E140" i="9"/>
  <c r="D140" i="9"/>
  <c r="AR57" i="1" s="1"/>
  <c r="E224" i="9"/>
  <c r="F224" i="9"/>
  <c r="G224" i="9"/>
  <c r="H224" i="9"/>
  <c r="AS12" i="1" s="1"/>
  <c r="J224" i="9"/>
  <c r="L224" i="9"/>
  <c r="M224" i="9"/>
  <c r="N224" i="9"/>
  <c r="O224" i="9"/>
  <c r="Q224" i="9"/>
  <c r="D224" i="9"/>
  <c r="AR12" i="1" s="1"/>
  <c r="Q229" i="9"/>
  <c r="O229" i="9"/>
  <c r="N229" i="9"/>
  <c r="M229" i="9"/>
  <c r="L229" i="9"/>
  <c r="J229" i="9"/>
  <c r="H229" i="9"/>
  <c r="AS22" i="1" s="1"/>
  <c r="G229" i="9"/>
  <c r="F229" i="9"/>
  <c r="E229" i="9"/>
  <c r="D229" i="9"/>
  <c r="AR22" i="1" s="1"/>
  <c r="Q240" i="9"/>
  <c r="O240" i="9"/>
  <c r="N240" i="9"/>
  <c r="M240" i="9"/>
  <c r="L240" i="9"/>
  <c r="J240" i="9"/>
  <c r="H240" i="9"/>
  <c r="AS99" i="1" s="1"/>
  <c r="G240" i="9"/>
  <c r="F240" i="9"/>
  <c r="E240" i="9"/>
  <c r="D240" i="9"/>
  <c r="AR99" i="1" s="1"/>
  <c r="Q247" i="9"/>
  <c r="O247" i="9"/>
  <c r="N247" i="9"/>
  <c r="M247" i="9"/>
  <c r="L247" i="9"/>
  <c r="J247" i="9"/>
  <c r="H247" i="9"/>
  <c r="AS87" i="1" s="1"/>
  <c r="G247" i="9"/>
  <c r="F247" i="9"/>
  <c r="E247" i="9"/>
  <c r="D247" i="9"/>
  <c r="AR87" i="1" s="1"/>
  <c r="Q56" i="9"/>
  <c r="O56" i="9"/>
  <c r="N56" i="9"/>
  <c r="M56" i="9"/>
  <c r="L56" i="9"/>
  <c r="J56" i="9"/>
  <c r="I56" i="9"/>
  <c r="AT54" i="1" s="1"/>
  <c r="H56" i="9"/>
  <c r="AS54" i="1" s="1"/>
  <c r="G56" i="9"/>
  <c r="F56" i="9"/>
  <c r="E56" i="9"/>
  <c r="D56" i="9"/>
  <c r="AR54" i="1" s="1"/>
  <c r="Q65" i="9"/>
  <c r="O65" i="9"/>
  <c r="N65" i="9"/>
  <c r="M65" i="9"/>
  <c r="L65" i="9"/>
  <c r="J65" i="9"/>
  <c r="I65" i="9"/>
  <c r="AT56" i="1" s="1"/>
  <c r="H65" i="9"/>
  <c r="AS56" i="1" s="1"/>
  <c r="G65" i="9"/>
  <c r="F65" i="9"/>
  <c r="E65" i="9"/>
  <c r="D65" i="9"/>
  <c r="AR56" i="1" s="1"/>
  <c r="Q80" i="9"/>
  <c r="O80" i="9"/>
  <c r="N80" i="9"/>
  <c r="M80" i="9"/>
  <c r="L80" i="9"/>
  <c r="J80" i="9"/>
  <c r="H80" i="9"/>
  <c r="AS27" i="1" s="1"/>
  <c r="G80" i="9"/>
  <c r="F80" i="9"/>
  <c r="E80" i="9"/>
  <c r="D80" i="9"/>
  <c r="AR27" i="1" s="1"/>
  <c r="Q84" i="9"/>
  <c r="O84" i="9"/>
  <c r="N84" i="9"/>
  <c r="M84" i="9"/>
  <c r="L84" i="9"/>
  <c r="J84" i="9"/>
  <c r="H84" i="9"/>
  <c r="AS29" i="1" s="1"/>
  <c r="G84" i="9"/>
  <c r="F84" i="9"/>
  <c r="E84" i="9"/>
  <c r="D84" i="9"/>
  <c r="AR29" i="1" s="1"/>
  <c r="Q94" i="9"/>
  <c r="O94" i="9"/>
  <c r="N94" i="9"/>
  <c r="M94" i="9"/>
  <c r="L94" i="9"/>
  <c r="J94" i="9"/>
  <c r="H94" i="9"/>
  <c r="AS35" i="1" s="1"/>
  <c r="G94" i="9"/>
  <c r="F94" i="9"/>
  <c r="E94" i="9"/>
  <c r="D94" i="9"/>
  <c r="AR35" i="1" s="1"/>
  <c r="Q104" i="9"/>
  <c r="O104" i="9"/>
  <c r="N104" i="9"/>
  <c r="M104" i="9"/>
  <c r="L104" i="9"/>
  <c r="J104" i="9"/>
  <c r="H104" i="9"/>
  <c r="AS39" i="1" s="1"/>
  <c r="G104" i="9"/>
  <c r="F104" i="9"/>
  <c r="E104" i="9"/>
  <c r="D104" i="9"/>
  <c r="AR39" i="1" s="1"/>
  <c r="Q126" i="9"/>
  <c r="O126" i="9"/>
  <c r="N126" i="9"/>
  <c r="M126" i="9"/>
  <c r="L126" i="9"/>
  <c r="J126" i="9"/>
  <c r="H126" i="9"/>
  <c r="AS43" i="1" s="1"/>
  <c r="G126" i="9"/>
  <c r="F126" i="9"/>
  <c r="E126" i="9"/>
  <c r="D126" i="9"/>
  <c r="AR43" i="1" s="1"/>
  <c r="Q130" i="9"/>
  <c r="O130" i="9"/>
  <c r="N130" i="9"/>
  <c r="M130" i="9"/>
  <c r="L130" i="9"/>
  <c r="J130" i="9"/>
  <c r="H130" i="9"/>
  <c r="AS44" i="1" s="1"/>
  <c r="G130" i="9"/>
  <c r="F130" i="9"/>
  <c r="E130" i="9"/>
  <c r="D130" i="9"/>
  <c r="AR44" i="1" s="1"/>
  <c r="Q148" i="9"/>
  <c r="O148" i="9"/>
  <c r="N148" i="9"/>
  <c r="M148" i="9"/>
  <c r="L148" i="9"/>
  <c r="J148" i="9"/>
  <c r="I148" i="9"/>
  <c r="AT3" i="1" s="1"/>
  <c r="H148" i="9"/>
  <c r="AS3" i="1" s="1"/>
  <c r="G148" i="9"/>
  <c r="F148" i="9"/>
  <c r="E148" i="9"/>
  <c r="D148" i="9"/>
  <c r="AR3" i="1" s="1"/>
  <c r="Q152" i="9"/>
  <c r="O152" i="9"/>
  <c r="N152" i="9"/>
  <c r="M152" i="9"/>
  <c r="L152" i="9"/>
  <c r="J152" i="9"/>
  <c r="H152" i="9"/>
  <c r="G152" i="9"/>
  <c r="F152" i="9"/>
  <c r="E152" i="9"/>
  <c r="D152" i="9"/>
  <c r="Q162" i="9"/>
  <c r="O162" i="9"/>
  <c r="N162" i="9"/>
  <c r="M162" i="9"/>
  <c r="L162" i="9"/>
  <c r="J162" i="9"/>
  <c r="H162" i="9"/>
  <c r="AS17" i="1" s="1"/>
  <c r="G162" i="9"/>
  <c r="F162" i="9"/>
  <c r="E162" i="9"/>
  <c r="D162" i="9"/>
  <c r="AR17" i="1" s="1"/>
  <c r="Q166" i="9"/>
  <c r="O166" i="9"/>
  <c r="N166" i="9"/>
  <c r="M166" i="9"/>
  <c r="L166" i="9"/>
  <c r="J166" i="9"/>
  <c r="H166" i="9"/>
  <c r="AS19" i="1" s="1"/>
  <c r="G166" i="9"/>
  <c r="F166" i="9"/>
  <c r="E166" i="9"/>
  <c r="D166" i="9"/>
  <c r="AR19" i="1" s="1"/>
  <c r="Q170" i="9"/>
  <c r="O170" i="9"/>
  <c r="N170" i="9"/>
  <c r="M170" i="9"/>
  <c r="L170" i="9"/>
  <c r="J170" i="9"/>
  <c r="H170" i="9"/>
  <c r="AS6" i="1" s="1"/>
  <c r="G170" i="9"/>
  <c r="F170" i="9"/>
  <c r="E170" i="9"/>
  <c r="D170" i="9"/>
  <c r="AR6" i="1" s="1"/>
  <c r="Q174" i="9"/>
  <c r="O174" i="9"/>
  <c r="N174" i="9"/>
  <c r="M174" i="9"/>
  <c r="L174" i="9"/>
  <c r="J174" i="9"/>
  <c r="H174" i="9"/>
  <c r="AS23" i="1" s="1"/>
  <c r="G174" i="9"/>
  <c r="F174" i="9"/>
  <c r="E174" i="9"/>
  <c r="D174" i="9"/>
  <c r="AR23" i="1" s="1"/>
  <c r="Q191" i="9"/>
  <c r="O191" i="9"/>
  <c r="N191" i="9"/>
  <c r="M191" i="9"/>
  <c r="L191" i="9"/>
  <c r="J191" i="9"/>
  <c r="H191" i="9"/>
  <c r="AS5" i="1" s="1"/>
  <c r="G191" i="9"/>
  <c r="F191" i="9"/>
  <c r="E191" i="9"/>
  <c r="D191" i="9"/>
  <c r="AR5" i="1" s="1"/>
  <c r="Q203" i="9"/>
  <c r="O203" i="9"/>
  <c r="N203" i="9"/>
  <c r="M203" i="9"/>
  <c r="L203" i="9"/>
  <c r="J203" i="9"/>
  <c r="H203" i="9"/>
  <c r="G203" i="9"/>
  <c r="F203" i="9"/>
  <c r="E203" i="9"/>
  <c r="D203" i="9"/>
  <c r="Q213" i="9"/>
  <c r="O213" i="9"/>
  <c r="N213" i="9"/>
  <c r="M213" i="9"/>
  <c r="L213" i="9"/>
  <c r="J213" i="9"/>
  <c r="H213" i="9"/>
  <c r="AS16" i="1" s="1"/>
  <c r="G213" i="9"/>
  <c r="F213" i="9"/>
  <c r="E213" i="9"/>
  <c r="D213" i="9"/>
  <c r="AR16" i="1" s="1"/>
  <c r="Q217" i="9"/>
  <c r="O217" i="9"/>
  <c r="N217" i="9"/>
  <c r="M217" i="9"/>
  <c r="L217" i="9"/>
  <c r="J217" i="9"/>
  <c r="H217" i="9"/>
  <c r="AS18" i="1" s="1"/>
  <c r="G217" i="9"/>
  <c r="F217" i="9"/>
  <c r="E217" i="9"/>
  <c r="D217" i="9"/>
  <c r="AR18" i="1" s="1"/>
  <c r="Q236" i="9"/>
  <c r="O236" i="9"/>
  <c r="N236" i="9"/>
  <c r="M236" i="9"/>
  <c r="L236" i="9"/>
  <c r="J236" i="9"/>
  <c r="H236" i="9"/>
  <c r="AS82" i="1" s="1"/>
  <c r="G236" i="9"/>
  <c r="F236" i="9"/>
  <c r="E236" i="9"/>
  <c r="D236" i="9"/>
  <c r="AR82" i="1" s="1"/>
  <c r="E257" i="9"/>
  <c r="F257" i="9"/>
  <c r="G257" i="9"/>
  <c r="H257" i="9"/>
  <c r="AS107" i="1" s="1"/>
  <c r="J257" i="9"/>
  <c r="L257" i="9"/>
  <c r="M257" i="9"/>
  <c r="N257" i="9"/>
  <c r="O257" i="9"/>
  <c r="Q257" i="9"/>
  <c r="D257" i="9"/>
  <c r="AR107" i="1" s="1"/>
  <c r="Q272" i="9"/>
  <c r="O272" i="9"/>
  <c r="N272" i="9"/>
  <c r="M272" i="9"/>
  <c r="L272" i="9"/>
  <c r="J272" i="9"/>
  <c r="I272" i="9"/>
  <c r="AT85" i="1" s="1"/>
  <c r="H272" i="9"/>
  <c r="AS85" i="1" s="1"/>
  <c r="G272" i="9"/>
  <c r="F272" i="9"/>
  <c r="E272" i="9"/>
  <c r="D272" i="9"/>
  <c r="AR85" i="1" s="1"/>
  <c r="Q61" i="9"/>
  <c r="O61" i="9"/>
  <c r="O50" i="9" s="1"/>
  <c r="N61" i="9"/>
  <c r="M61" i="9"/>
  <c r="L61" i="9"/>
  <c r="J61" i="9"/>
  <c r="I61" i="9"/>
  <c r="AT45" i="1" s="1"/>
  <c r="H61" i="9"/>
  <c r="AS45" i="1" s="1"/>
  <c r="G61" i="9"/>
  <c r="G50" i="9" s="1"/>
  <c r="F61" i="9"/>
  <c r="E61" i="9"/>
  <c r="E50" i="9" s="1"/>
  <c r="D61" i="9"/>
  <c r="Q77" i="9"/>
  <c r="O77" i="9"/>
  <c r="N77" i="9"/>
  <c r="M77" i="9"/>
  <c r="L77" i="9"/>
  <c r="J77" i="9"/>
  <c r="H77" i="9"/>
  <c r="AS26" i="1" s="1"/>
  <c r="G77" i="9"/>
  <c r="F77" i="9"/>
  <c r="E77" i="9"/>
  <c r="D77" i="9"/>
  <c r="AR26" i="1" s="1"/>
  <c r="Q88" i="9"/>
  <c r="O88" i="9"/>
  <c r="N88" i="9"/>
  <c r="M88" i="9"/>
  <c r="L88" i="9"/>
  <c r="J88" i="9"/>
  <c r="H88" i="9"/>
  <c r="AS33" i="1" s="1"/>
  <c r="G88" i="9"/>
  <c r="F88" i="9"/>
  <c r="E88" i="9"/>
  <c r="D88" i="9"/>
  <c r="AR33" i="1" s="1"/>
  <c r="Q91" i="9"/>
  <c r="O91" i="9"/>
  <c r="N91" i="9"/>
  <c r="M91" i="9"/>
  <c r="L91" i="9"/>
  <c r="J91" i="9"/>
  <c r="H91" i="9"/>
  <c r="AS32" i="1" s="1"/>
  <c r="G91" i="9"/>
  <c r="F91" i="9"/>
  <c r="E91" i="9"/>
  <c r="D91" i="9"/>
  <c r="AR32" i="1" s="1"/>
  <c r="Q98" i="9"/>
  <c r="O98" i="9"/>
  <c r="N98" i="9"/>
  <c r="M98" i="9"/>
  <c r="L98" i="9"/>
  <c r="J98" i="9"/>
  <c r="H98" i="9"/>
  <c r="AS36" i="1" s="1"/>
  <c r="G98" i="9"/>
  <c r="F98" i="9"/>
  <c r="E98" i="9"/>
  <c r="D98" i="9"/>
  <c r="AR36" i="1" s="1"/>
  <c r="Q101" i="9"/>
  <c r="O101" i="9"/>
  <c r="N101" i="9"/>
  <c r="M101" i="9"/>
  <c r="L101" i="9"/>
  <c r="J101" i="9"/>
  <c r="H101" i="9"/>
  <c r="AS37" i="1" s="1"/>
  <c r="G101" i="9"/>
  <c r="F101" i="9"/>
  <c r="E101" i="9"/>
  <c r="D101" i="9"/>
  <c r="AR37" i="1" s="1"/>
  <c r="Q109" i="9"/>
  <c r="O109" i="9"/>
  <c r="N109" i="9"/>
  <c r="M109" i="9"/>
  <c r="L109" i="9"/>
  <c r="J109" i="9"/>
  <c r="H109" i="9"/>
  <c r="AS41" i="1" s="1"/>
  <c r="G109" i="9"/>
  <c r="F109" i="9"/>
  <c r="E109" i="9"/>
  <c r="D109" i="9"/>
  <c r="Q123" i="9"/>
  <c r="O123" i="9"/>
  <c r="N123" i="9"/>
  <c r="M123" i="9"/>
  <c r="L123" i="9"/>
  <c r="J123" i="9"/>
  <c r="H123" i="9"/>
  <c r="AS53" i="1" s="1"/>
  <c r="G123" i="9"/>
  <c r="F123" i="9"/>
  <c r="E123" i="9"/>
  <c r="D123" i="9"/>
  <c r="AR53" i="1" s="1"/>
  <c r="Q134" i="9"/>
  <c r="O134" i="9"/>
  <c r="N134" i="9"/>
  <c r="M134" i="9"/>
  <c r="L134" i="9"/>
  <c r="J134" i="9"/>
  <c r="H134" i="9"/>
  <c r="AS52" i="1" s="1"/>
  <c r="G134" i="9"/>
  <c r="F134" i="9"/>
  <c r="E134" i="9"/>
  <c r="D134" i="9"/>
  <c r="AR52" i="1" s="1"/>
  <c r="Q137" i="9"/>
  <c r="O137" i="9"/>
  <c r="O76" i="9" s="1"/>
  <c r="N137" i="9"/>
  <c r="M137" i="9"/>
  <c r="M76" i="9" s="1"/>
  <c r="L137" i="9"/>
  <c r="J137" i="9"/>
  <c r="H137" i="9"/>
  <c r="AS55" i="1" s="1"/>
  <c r="G137" i="9"/>
  <c r="F137" i="9"/>
  <c r="E137" i="9"/>
  <c r="D137" i="9"/>
  <c r="AR55" i="1" s="1"/>
  <c r="Q156" i="9"/>
  <c r="O156" i="9"/>
  <c r="N156" i="9"/>
  <c r="M156" i="9"/>
  <c r="L156" i="9"/>
  <c r="J156" i="9"/>
  <c r="H156" i="9"/>
  <c r="AS8" i="1" s="1"/>
  <c r="G156" i="9"/>
  <c r="F156" i="9"/>
  <c r="E156" i="9"/>
  <c r="D156" i="9"/>
  <c r="AR8" i="1" s="1"/>
  <c r="Q159" i="9"/>
  <c r="O159" i="9"/>
  <c r="N159" i="9"/>
  <c r="M159" i="9"/>
  <c r="L159" i="9"/>
  <c r="J159" i="9"/>
  <c r="H159" i="9"/>
  <c r="AS14" i="1" s="1"/>
  <c r="G159" i="9"/>
  <c r="F159" i="9"/>
  <c r="E159" i="9"/>
  <c r="D159" i="9"/>
  <c r="Q178" i="9"/>
  <c r="O178" i="9"/>
  <c r="N178" i="9"/>
  <c r="M178" i="9"/>
  <c r="L178" i="9"/>
  <c r="J178" i="9"/>
  <c r="H178" i="9"/>
  <c r="AS25" i="1" s="1"/>
  <c r="G178" i="9"/>
  <c r="F178" i="9"/>
  <c r="E178" i="9"/>
  <c r="D178" i="9"/>
  <c r="AR25" i="1" s="1"/>
  <c r="I179" i="9"/>
  <c r="K179" i="9"/>
  <c r="P179" i="9"/>
  <c r="R179" i="9"/>
  <c r="Q207" i="9"/>
  <c r="O207" i="9"/>
  <c r="N207" i="9"/>
  <c r="M207" i="9"/>
  <c r="L207" i="9"/>
  <c r="J207" i="9"/>
  <c r="H207" i="9"/>
  <c r="AS11" i="1" s="1"/>
  <c r="G207" i="9"/>
  <c r="F207" i="9"/>
  <c r="E207" i="9"/>
  <c r="D207" i="9"/>
  <c r="AR11" i="1" s="1"/>
  <c r="Q210" i="9"/>
  <c r="O210" i="9"/>
  <c r="N210" i="9"/>
  <c r="M210" i="9"/>
  <c r="L210" i="9"/>
  <c r="J210" i="9"/>
  <c r="H210" i="9"/>
  <c r="AS15" i="1" s="1"/>
  <c r="G210" i="9"/>
  <c r="F210" i="9"/>
  <c r="E210" i="9"/>
  <c r="D210" i="9"/>
  <c r="AR15" i="1" s="1"/>
  <c r="Q221" i="9"/>
  <c r="O221" i="9"/>
  <c r="N221" i="9"/>
  <c r="M221" i="9"/>
  <c r="L221" i="9"/>
  <c r="J221" i="9"/>
  <c r="H221" i="9"/>
  <c r="AS21" i="1" s="1"/>
  <c r="G221" i="9"/>
  <c r="F221" i="9"/>
  <c r="E221" i="9"/>
  <c r="D221" i="9"/>
  <c r="AR21" i="1" s="1"/>
  <c r="Q244" i="9"/>
  <c r="O244" i="9"/>
  <c r="N244" i="9"/>
  <c r="M244" i="9"/>
  <c r="L244" i="9"/>
  <c r="J244" i="9"/>
  <c r="H244" i="9"/>
  <c r="AS93" i="1" s="1"/>
  <c r="G244" i="9"/>
  <c r="F244" i="9"/>
  <c r="E244" i="9"/>
  <c r="D244" i="9"/>
  <c r="AR93" i="1" s="1"/>
  <c r="Q254" i="9"/>
  <c r="O254" i="9"/>
  <c r="N254" i="9"/>
  <c r="M254" i="9"/>
  <c r="L254" i="9"/>
  <c r="J254" i="9"/>
  <c r="H254" i="9"/>
  <c r="AS88" i="1" s="1"/>
  <c r="G254" i="9"/>
  <c r="F254" i="9"/>
  <c r="E254" i="9"/>
  <c r="D254" i="9"/>
  <c r="AR88" i="1" s="1"/>
  <c r="Q262" i="9"/>
  <c r="O262" i="9"/>
  <c r="N262" i="9"/>
  <c r="M262" i="9"/>
  <c r="L262" i="9"/>
  <c r="J262" i="9"/>
  <c r="I262" i="9"/>
  <c r="AT108" i="1" s="1"/>
  <c r="H262" i="9"/>
  <c r="AS108" i="1" s="1"/>
  <c r="G262" i="9"/>
  <c r="F262" i="9"/>
  <c r="E262" i="9"/>
  <c r="D262" i="9"/>
  <c r="AR108" i="1" s="1"/>
  <c r="E267" i="9"/>
  <c r="F267" i="9"/>
  <c r="G267" i="9"/>
  <c r="H267" i="9"/>
  <c r="AS110" i="1" s="1"/>
  <c r="J267" i="9"/>
  <c r="L267" i="9"/>
  <c r="M267" i="9"/>
  <c r="N267" i="9"/>
  <c r="O267" i="9"/>
  <c r="Q267" i="9"/>
  <c r="D267" i="9"/>
  <c r="AR110" i="1" s="1"/>
  <c r="E275" i="9"/>
  <c r="F275" i="9"/>
  <c r="G275" i="9"/>
  <c r="H275" i="9"/>
  <c r="AS119" i="1" s="1"/>
  <c r="I275" i="9"/>
  <c r="AT119" i="1" s="1"/>
  <c r="J275" i="9"/>
  <c r="L275" i="9"/>
  <c r="M275" i="9"/>
  <c r="N275" i="9"/>
  <c r="O275" i="9"/>
  <c r="P275" i="9"/>
  <c r="AV119" i="1" s="1"/>
  <c r="Q275" i="9"/>
  <c r="R275" i="9"/>
  <c r="AW119" i="1" s="1"/>
  <c r="D275" i="9"/>
  <c r="AR119" i="1" s="1"/>
  <c r="E281" i="9"/>
  <c r="F281" i="9"/>
  <c r="G281" i="9"/>
  <c r="H281" i="9"/>
  <c r="AS123" i="1" s="1"/>
  <c r="I281" i="9"/>
  <c r="AT123" i="1" s="1"/>
  <c r="J281" i="9"/>
  <c r="L281" i="9"/>
  <c r="M281" i="9"/>
  <c r="N281" i="9"/>
  <c r="O281" i="9"/>
  <c r="P281" i="9"/>
  <c r="AV123" i="1" s="1"/>
  <c r="Q281" i="9"/>
  <c r="D281" i="9"/>
  <c r="AR123" i="1" s="1"/>
  <c r="E288" i="9"/>
  <c r="F288" i="9"/>
  <c r="G288" i="9"/>
  <c r="H288" i="9"/>
  <c r="I288" i="9"/>
  <c r="J288" i="9"/>
  <c r="L288" i="9"/>
  <c r="M288" i="9"/>
  <c r="N288" i="9"/>
  <c r="O288" i="9"/>
  <c r="P288" i="9"/>
  <c r="AV86" i="1" s="1"/>
  <c r="Q288" i="9"/>
  <c r="D288" i="9"/>
  <c r="AR86" i="1" s="1"/>
  <c r="AO97" i="1"/>
  <c r="R293" i="9"/>
  <c r="S293" i="9" s="1"/>
  <c r="K293" i="9"/>
  <c r="R292" i="9"/>
  <c r="S292" i="9" s="1"/>
  <c r="K292" i="9"/>
  <c r="S291" i="9"/>
  <c r="K291" i="9"/>
  <c r="R290" i="9"/>
  <c r="K290" i="9"/>
  <c r="S289" i="9"/>
  <c r="K289" i="9"/>
  <c r="K288" i="9" s="1"/>
  <c r="R287" i="9"/>
  <c r="S287" i="9" s="1"/>
  <c r="K287" i="9"/>
  <c r="R286" i="9"/>
  <c r="K286" i="9"/>
  <c r="S285" i="9"/>
  <c r="K285" i="9"/>
  <c r="S284" i="9"/>
  <c r="K284" i="9"/>
  <c r="S283" i="9"/>
  <c r="K283" i="9"/>
  <c r="S282" i="9"/>
  <c r="K282" i="9"/>
  <c r="K281" i="9" s="1"/>
  <c r="R280" i="9"/>
  <c r="K280" i="9"/>
  <c r="S279" i="9"/>
  <c r="K279" i="9"/>
  <c r="S278" i="9"/>
  <c r="K278" i="9"/>
  <c r="S277" i="9"/>
  <c r="K277" i="9"/>
  <c r="S276" i="9"/>
  <c r="S275" i="9" s="1"/>
  <c r="K276" i="9"/>
  <c r="K275" i="9" s="1"/>
  <c r="P274" i="9"/>
  <c r="R274" i="9" s="1"/>
  <c r="S274" i="9" s="1"/>
  <c r="K274" i="9"/>
  <c r="P273" i="9"/>
  <c r="P272" i="9" s="1"/>
  <c r="AV85" i="1" s="1"/>
  <c r="K273" i="9"/>
  <c r="K272" i="9" s="1"/>
  <c r="F271" i="9"/>
  <c r="D271" i="9"/>
  <c r="P270" i="9"/>
  <c r="P269" i="9"/>
  <c r="R269" i="9" s="1"/>
  <c r="S269" i="9" s="1"/>
  <c r="K269" i="9"/>
  <c r="I269" i="9"/>
  <c r="P268" i="9"/>
  <c r="K268" i="9"/>
  <c r="K267" i="9" s="1"/>
  <c r="I268" i="9"/>
  <c r="I267" i="9" s="1"/>
  <c r="AT110" i="1" s="1"/>
  <c r="P266" i="9"/>
  <c r="K266" i="9"/>
  <c r="I266" i="9"/>
  <c r="AT126" i="1" s="1"/>
  <c r="N265" i="9"/>
  <c r="F265" i="9"/>
  <c r="P264" i="9"/>
  <c r="R264" i="9" s="1"/>
  <c r="S264" i="9" s="1"/>
  <c r="K264" i="9"/>
  <c r="P263" i="9"/>
  <c r="P262" i="9" s="1"/>
  <c r="AV108" i="1" s="1"/>
  <c r="K263" i="9"/>
  <c r="K262" i="9" s="1"/>
  <c r="N261" i="9"/>
  <c r="F261" i="9"/>
  <c r="P260" i="9"/>
  <c r="R260" i="9" s="1"/>
  <c r="S260" i="9" s="1"/>
  <c r="K260" i="9"/>
  <c r="I260" i="9"/>
  <c r="P259" i="9"/>
  <c r="R259" i="9" s="1"/>
  <c r="S259" i="9" s="1"/>
  <c r="K259" i="9"/>
  <c r="I259" i="9"/>
  <c r="P258" i="9"/>
  <c r="K258" i="9"/>
  <c r="K257" i="9" s="1"/>
  <c r="I258" i="9"/>
  <c r="I257" i="9" s="1"/>
  <c r="AT107" i="1" s="1"/>
  <c r="P256" i="9"/>
  <c r="R256" i="9" s="1"/>
  <c r="K256" i="9"/>
  <c r="I256" i="9"/>
  <c r="P255" i="9"/>
  <c r="K255" i="9"/>
  <c r="K254" i="9" s="1"/>
  <c r="I255" i="9"/>
  <c r="I254" i="9" s="1"/>
  <c r="AT88" i="1" s="1"/>
  <c r="N253" i="9"/>
  <c r="F253" i="9"/>
  <c r="P251" i="9"/>
  <c r="K251" i="9"/>
  <c r="I251" i="9"/>
  <c r="AT103" i="1" s="1"/>
  <c r="P250" i="9"/>
  <c r="K250" i="9"/>
  <c r="I250" i="9"/>
  <c r="AT98" i="1" s="1"/>
  <c r="P249" i="9"/>
  <c r="R249" i="9" s="1"/>
  <c r="S249" i="9" s="1"/>
  <c r="K249" i="9"/>
  <c r="I249" i="9"/>
  <c r="P248" i="9"/>
  <c r="K248" i="9"/>
  <c r="K247" i="9" s="1"/>
  <c r="I248" i="9"/>
  <c r="I247" i="9" s="1"/>
  <c r="AT87" i="1" s="1"/>
  <c r="P246" i="9"/>
  <c r="R246" i="9" s="1"/>
  <c r="S246" i="9" s="1"/>
  <c r="K246" i="9"/>
  <c r="I246" i="9"/>
  <c r="P245" i="9"/>
  <c r="K245" i="9"/>
  <c r="K244" i="9" s="1"/>
  <c r="I245" i="9"/>
  <c r="I244" i="9" s="1"/>
  <c r="AT93" i="1" s="1"/>
  <c r="P243" i="9"/>
  <c r="K243" i="9"/>
  <c r="I243" i="9"/>
  <c r="AT84" i="1" s="1"/>
  <c r="P242" i="9"/>
  <c r="R242" i="9" s="1"/>
  <c r="S242" i="9" s="1"/>
  <c r="K242" i="9"/>
  <c r="I242" i="9"/>
  <c r="P241" i="9"/>
  <c r="K241" i="9"/>
  <c r="K240" i="9" s="1"/>
  <c r="I241" i="9"/>
  <c r="I240" i="9" s="1"/>
  <c r="AT99" i="1" s="1"/>
  <c r="P239" i="9"/>
  <c r="R239" i="9" s="1"/>
  <c r="S239" i="9" s="1"/>
  <c r="K239" i="9"/>
  <c r="I239" i="9"/>
  <c r="P238" i="9"/>
  <c r="R238" i="9" s="1"/>
  <c r="S238" i="9" s="1"/>
  <c r="K238" i="9"/>
  <c r="I238" i="9"/>
  <c r="P237" i="9"/>
  <c r="K237" i="9"/>
  <c r="K236" i="9" s="1"/>
  <c r="I237" i="9"/>
  <c r="I236" i="9" s="1"/>
  <c r="AT82" i="1" s="1"/>
  <c r="F235" i="9"/>
  <c r="P232" i="9"/>
  <c r="K232" i="9"/>
  <c r="I232" i="9"/>
  <c r="AT24" i="1" s="1"/>
  <c r="P231" i="9"/>
  <c r="R231" i="9" s="1"/>
  <c r="S231" i="9" s="1"/>
  <c r="K231" i="9"/>
  <c r="I231" i="9"/>
  <c r="P230" i="9"/>
  <c r="K230" i="9"/>
  <c r="K229" i="9" s="1"/>
  <c r="I230" i="9"/>
  <c r="I229" i="9" s="1"/>
  <c r="AT22" i="1" s="1"/>
  <c r="P228" i="9"/>
  <c r="R228" i="9" s="1"/>
  <c r="S228" i="9" s="1"/>
  <c r="K228" i="9"/>
  <c r="I228" i="9"/>
  <c r="P227" i="9"/>
  <c r="R227" i="9" s="1"/>
  <c r="S227" i="9" s="1"/>
  <c r="K227" i="9"/>
  <c r="I227" i="9"/>
  <c r="P226" i="9"/>
  <c r="R226" i="9" s="1"/>
  <c r="S226" i="9" s="1"/>
  <c r="K226" i="9"/>
  <c r="I226" i="9"/>
  <c r="P225" i="9"/>
  <c r="K225" i="9"/>
  <c r="K224" i="9" s="1"/>
  <c r="I225" i="9"/>
  <c r="I224" i="9" s="1"/>
  <c r="AT12" i="1" s="1"/>
  <c r="P223" i="9"/>
  <c r="R223" i="9" s="1"/>
  <c r="S223" i="9" s="1"/>
  <c r="K223" i="9"/>
  <c r="I223" i="9"/>
  <c r="P222" i="9"/>
  <c r="K222" i="9"/>
  <c r="K221" i="9" s="1"/>
  <c r="I222" i="9"/>
  <c r="I221" i="9" s="1"/>
  <c r="AT21" i="1" s="1"/>
  <c r="P220" i="9"/>
  <c r="R220" i="9" s="1"/>
  <c r="S220" i="9" s="1"/>
  <c r="K220" i="9"/>
  <c r="I220" i="9"/>
  <c r="P219" i="9"/>
  <c r="R219" i="9" s="1"/>
  <c r="S219" i="9" s="1"/>
  <c r="K219" i="9"/>
  <c r="I219" i="9"/>
  <c r="P218" i="9"/>
  <c r="K218" i="9"/>
  <c r="K217" i="9" s="1"/>
  <c r="I218" i="9"/>
  <c r="I217" i="9" s="1"/>
  <c r="AT18" i="1" s="1"/>
  <c r="P216" i="9"/>
  <c r="R216" i="9" s="1"/>
  <c r="S216" i="9" s="1"/>
  <c r="K216" i="9"/>
  <c r="I216" i="9"/>
  <c r="P215" i="9"/>
  <c r="R215" i="9" s="1"/>
  <c r="S215" i="9" s="1"/>
  <c r="K215" i="9"/>
  <c r="I215" i="9"/>
  <c r="P214" i="9"/>
  <c r="K214" i="9"/>
  <c r="K213" i="9" s="1"/>
  <c r="I214" i="9"/>
  <c r="I213" i="9" s="1"/>
  <c r="AT16" i="1" s="1"/>
  <c r="P212" i="9"/>
  <c r="R212" i="9" s="1"/>
  <c r="S212" i="9" s="1"/>
  <c r="K212" i="9"/>
  <c r="I212" i="9"/>
  <c r="P211" i="9"/>
  <c r="K211" i="9"/>
  <c r="K210" i="9" s="1"/>
  <c r="I211" i="9"/>
  <c r="I210" i="9" s="1"/>
  <c r="AT15" i="1" s="1"/>
  <c r="P209" i="9"/>
  <c r="R209" i="9" s="1"/>
  <c r="S209" i="9" s="1"/>
  <c r="K209" i="9"/>
  <c r="I209" i="9"/>
  <c r="P208" i="9"/>
  <c r="K208" i="9"/>
  <c r="K207" i="9" s="1"/>
  <c r="I208" i="9"/>
  <c r="I207" i="9" s="1"/>
  <c r="AT11" i="1" s="1"/>
  <c r="P206" i="9"/>
  <c r="R206" i="9" s="1"/>
  <c r="S206" i="9" s="1"/>
  <c r="K206" i="9"/>
  <c r="I206" i="9"/>
  <c r="P205" i="9"/>
  <c r="R205" i="9" s="1"/>
  <c r="S205" i="9" s="1"/>
  <c r="K205" i="9"/>
  <c r="I205" i="9"/>
  <c r="P204" i="9"/>
  <c r="K204" i="9"/>
  <c r="K203" i="9" s="1"/>
  <c r="I204" i="9"/>
  <c r="I203" i="9" s="1"/>
  <c r="P202" i="9"/>
  <c r="R202" i="9" s="1"/>
  <c r="S202" i="9" s="1"/>
  <c r="K202" i="9"/>
  <c r="I202" i="9"/>
  <c r="P201" i="9"/>
  <c r="R201" i="9" s="1"/>
  <c r="S201" i="9" s="1"/>
  <c r="K201" i="9"/>
  <c r="I201" i="9"/>
  <c r="P200" i="9"/>
  <c r="R200" i="9" s="1"/>
  <c r="S200" i="9" s="1"/>
  <c r="K200" i="9"/>
  <c r="I200" i="9"/>
  <c r="P199" i="9"/>
  <c r="R199" i="9" s="1"/>
  <c r="S199" i="9" s="1"/>
  <c r="K199" i="9"/>
  <c r="I199" i="9"/>
  <c r="P198" i="9"/>
  <c r="R198" i="9" s="1"/>
  <c r="S198" i="9" s="1"/>
  <c r="K198" i="9"/>
  <c r="I198" i="9"/>
  <c r="P197" i="9"/>
  <c r="R197" i="9" s="1"/>
  <c r="S197" i="9" s="1"/>
  <c r="K197" i="9"/>
  <c r="I197" i="9"/>
  <c r="P196" i="9"/>
  <c r="K196" i="9"/>
  <c r="K195" i="9" s="1"/>
  <c r="I196" i="9"/>
  <c r="I195" i="9" s="1"/>
  <c r="P194" i="9"/>
  <c r="R194" i="9" s="1"/>
  <c r="S194" i="9" s="1"/>
  <c r="K194" i="9"/>
  <c r="I194" i="9"/>
  <c r="P193" i="9"/>
  <c r="R193" i="9" s="1"/>
  <c r="S193" i="9" s="1"/>
  <c r="K193" i="9"/>
  <c r="I193" i="9"/>
  <c r="P192" i="9"/>
  <c r="K192" i="9"/>
  <c r="K191" i="9" s="1"/>
  <c r="I192" i="9"/>
  <c r="I191" i="9" s="1"/>
  <c r="AT5" i="1" s="1"/>
  <c r="F190" i="9"/>
  <c r="P189" i="9"/>
  <c r="P188" i="9"/>
  <c r="K188" i="9"/>
  <c r="I188" i="9"/>
  <c r="AT13" i="1" s="1"/>
  <c r="P187" i="9"/>
  <c r="K187" i="9"/>
  <c r="I187" i="9"/>
  <c r="AT9" i="1" s="1"/>
  <c r="P186" i="9"/>
  <c r="R186" i="9" s="1"/>
  <c r="S186" i="9" s="1"/>
  <c r="K186" i="9"/>
  <c r="I186" i="9"/>
  <c r="P185" i="9"/>
  <c r="R185" i="9" s="1"/>
  <c r="S185" i="9" s="1"/>
  <c r="K185" i="9"/>
  <c r="I185" i="9"/>
  <c r="P184" i="9"/>
  <c r="R184" i="9" s="1"/>
  <c r="S184" i="9" s="1"/>
  <c r="K184" i="9"/>
  <c r="I184" i="9"/>
  <c r="P183" i="9"/>
  <c r="R183" i="9" s="1"/>
  <c r="S183" i="9" s="1"/>
  <c r="K183" i="9"/>
  <c r="I183" i="9"/>
  <c r="P182" i="9"/>
  <c r="K182" i="9"/>
  <c r="K181" i="9" s="1"/>
  <c r="I182" i="9"/>
  <c r="I181" i="9" s="1"/>
  <c r="AT20" i="1" s="1"/>
  <c r="P180" i="9"/>
  <c r="R180" i="9" s="1"/>
  <c r="S180" i="9" s="1"/>
  <c r="K180" i="9"/>
  <c r="I180" i="9"/>
  <c r="P177" i="9"/>
  <c r="R177" i="9" s="1"/>
  <c r="S177" i="9" s="1"/>
  <c r="K177" i="9"/>
  <c r="I177" i="9"/>
  <c r="P176" i="9"/>
  <c r="R176" i="9" s="1"/>
  <c r="S176" i="9" s="1"/>
  <c r="K176" i="9"/>
  <c r="I176" i="9"/>
  <c r="P175" i="9"/>
  <c r="K175" i="9"/>
  <c r="K174" i="9" s="1"/>
  <c r="I175" i="9"/>
  <c r="I174" i="9" s="1"/>
  <c r="AT23" i="1" s="1"/>
  <c r="P173" i="9"/>
  <c r="R173" i="9" s="1"/>
  <c r="S173" i="9" s="1"/>
  <c r="K173" i="9"/>
  <c r="I173" i="9"/>
  <c r="P172" i="9"/>
  <c r="R172" i="9" s="1"/>
  <c r="S172" i="9" s="1"/>
  <c r="K172" i="9"/>
  <c r="I172" i="9"/>
  <c r="P171" i="9"/>
  <c r="K171" i="9"/>
  <c r="K170" i="9" s="1"/>
  <c r="I171" i="9"/>
  <c r="I170" i="9" s="1"/>
  <c r="AT6" i="1" s="1"/>
  <c r="P169" i="9"/>
  <c r="R169" i="9" s="1"/>
  <c r="S169" i="9" s="1"/>
  <c r="K169" i="9"/>
  <c r="I169" i="9"/>
  <c r="P168" i="9"/>
  <c r="R168" i="9" s="1"/>
  <c r="S168" i="9" s="1"/>
  <c r="K168" i="9"/>
  <c r="I168" i="9"/>
  <c r="P167" i="9"/>
  <c r="K167" i="9"/>
  <c r="K166" i="9" s="1"/>
  <c r="I167" i="9"/>
  <c r="I166" i="9" s="1"/>
  <c r="AT19" i="1" s="1"/>
  <c r="P165" i="9"/>
  <c r="R165" i="9" s="1"/>
  <c r="S165" i="9" s="1"/>
  <c r="K165" i="9"/>
  <c r="I165" i="9"/>
  <c r="P164" i="9"/>
  <c r="R164" i="9" s="1"/>
  <c r="S164" i="9" s="1"/>
  <c r="K164" i="9"/>
  <c r="I164" i="9"/>
  <c r="P163" i="9"/>
  <c r="K163" i="9"/>
  <c r="K162" i="9" s="1"/>
  <c r="I163" i="9"/>
  <c r="I162" i="9" s="1"/>
  <c r="AT17" i="1" s="1"/>
  <c r="P161" i="9"/>
  <c r="R161" i="9" s="1"/>
  <c r="S161" i="9" s="1"/>
  <c r="K161" i="9"/>
  <c r="I161" i="9"/>
  <c r="P160" i="9"/>
  <c r="K160" i="9"/>
  <c r="K159" i="9" s="1"/>
  <c r="I160" i="9"/>
  <c r="P158" i="9"/>
  <c r="R158" i="9" s="1"/>
  <c r="S158" i="9" s="1"/>
  <c r="K158" i="9"/>
  <c r="I158" i="9"/>
  <c r="P157" i="9"/>
  <c r="K157" i="9"/>
  <c r="K156" i="9" s="1"/>
  <c r="I157" i="9"/>
  <c r="I156" i="9" s="1"/>
  <c r="AT8" i="1" s="1"/>
  <c r="P155" i="9"/>
  <c r="R155" i="9" s="1"/>
  <c r="S155" i="9" s="1"/>
  <c r="K155" i="9"/>
  <c r="I155" i="9"/>
  <c r="P154" i="9"/>
  <c r="R154" i="9" s="1"/>
  <c r="S154" i="9" s="1"/>
  <c r="K154" i="9"/>
  <c r="I154" i="9"/>
  <c r="P153" i="9"/>
  <c r="K153" i="9"/>
  <c r="K152" i="9" s="1"/>
  <c r="I153" i="9"/>
  <c r="I152" i="9" s="1"/>
  <c r="P151" i="9"/>
  <c r="R151" i="9" s="1"/>
  <c r="S151" i="9" s="1"/>
  <c r="K151" i="9"/>
  <c r="P150" i="9"/>
  <c r="R150" i="9" s="1"/>
  <c r="S150" i="9" s="1"/>
  <c r="K150" i="9"/>
  <c r="P149" i="9"/>
  <c r="K149" i="9"/>
  <c r="K148" i="9" s="1"/>
  <c r="G147" i="9"/>
  <c r="G146" i="9" s="1"/>
  <c r="F147" i="9"/>
  <c r="P144" i="9"/>
  <c r="K144" i="9"/>
  <c r="P143" i="9"/>
  <c r="K143" i="9"/>
  <c r="P142" i="9"/>
  <c r="R142" i="9" s="1"/>
  <c r="S142" i="9" s="1"/>
  <c r="K142" i="9"/>
  <c r="P141" i="9"/>
  <c r="K141" i="9"/>
  <c r="K140" i="9" s="1"/>
  <c r="P139" i="9"/>
  <c r="R139" i="9" s="1"/>
  <c r="S139" i="9" s="1"/>
  <c r="K139" i="9"/>
  <c r="I139" i="9"/>
  <c r="P138" i="9"/>
  <c r="K138" i="9"/>
  <c r="K137" i="9" s="1"/>
  <c r="I138" i="9"/>
  <c r="I137" i="9" s="1"/>
  <c r="AT55" i="1" s="1"/>
  <c r="P136" i="9"/>
  <c r="R136" i="9" s="1"/>
  <c r="S136" i="9" s="1"/>
  <c r="K136" i="9"/>
  <c r="I136" i="9"/>
  <c r="P135" i="9"/>
  <c r="K135" i="9"/>
  <c r="K134" i="9" s="1"/>
  <c r="I135" i="9"/>
  <c r="I134" i="9" s="1"/>
  <c r="AT52" i="1" s="1"/>
  <c r="P133" i="9"/>
  <c r="R133" i="9" s="1"/>
  <c r="S133" i="9" s="1"/>
  <c r="K133" i="9"/>
  <c r="P132" i="9"/>
  <c r="R132" i="9" s="1"/>
  <c r="S132" i="9" s="1"/>
  <c r="K132" i="9"/>
  <c r="I132" i="9"/>
  <c r="P131" i="9"/>
  <c r="K131" i="9"/>
  <c r="K130" i="9" s="1"/>
  <c r="I131" i="9"/>
  <c r="I130" i="9" s="1"/>
  <c r="AT44" i="1" s="1"/>
  <c r="K129" i="9"/>
  <c r="I129" i="9"/>
  <c r="P128" i="9"/>
  <c r="R128" i="9" s="1"/>
  <c r="S128" i="9" s="1"/>
  <c r="K128" i="9"/>
  <c r="I128" i="9"/>
  <c r="P127" i="9"/>
  <c r="K127" i="9"/>
  <c r="K126" i="9" s="1"/>
  <c r="I127" i="9"/>
  <c r="I126" i="9" s="1"/>
  <c r="AT43" i="1" s="1"/>
  <c r="P125" i="9"/>
  <c r="R125" i="9" s="1"/>
  <c r="S125" i="9" s="1"/>
  <c r="K125" i="9"/>
  <c r="I125" i="9"/>
  <c r="P124" i="9"/>
  <c r="K124" i="9"/>
  <c r="K123" i="9" s="1"/>
  <c r="I124" i="9"/>
  <c r="I123" i="9" s="1"/>
  <c r="AT53" i="1" s="1"/>
  <c r="P122" i="9"/>
  <c r="R122" i="9" s="1"/>
  <c r="S122" i="9" s="1"/>
  <c r="K122" i="9"/>
  <c r="I122" i="9"/>
  <c r="P121" i="9"/>
  <c r="R121" i="9" s="1"/>
  <c r="S121" i="9" s="1"/>
  <c r="K121" i="9"/>
  <c r="I121" i="9"/>
  <c r="P120" i="9"/>
  <c r="R120" i="9" s="1"/>
  <c r="S120" i="9" s="1"/>
  <c r="K120" i="9"/>
  <c r="I120" i="9"/>
  <c r="I118" i="9" s="1"/>
  <c r="AT50" i="1" s="1"/>
  <c r="P119" i="9"/>
  <c r="K119" i="9"/>
  <c r="K118" i="9" s="1"/>
  <c r="P117" i="9"/>
  <c r="K117" i="9"/>
  <c r="I117" i="9"/>
  <c r="AT46" i="1" s="1"/>
  <c r="P116" i="9"/>
  <c r="K116" i="9"/>
  <c r="I116" i="9"/>
  <c r="AT48" i="1" s="1"/>
  <c r="P115" i="9"/>
  <c r="K115" i="9"/>
  <c r="I115" i="9"/>
  <c r="AT42" i="1" s="1"/>
  <c r="K114" i="9"/>
  <c r="I114" i="9"/>
  <c r="P113" i="9"/>
  <c r="K113" i="9"/>
  <c r="K112" i="9" s="1"/>
  <c r="I113" i="9"/>
  <c r="I112" i="9" s="1"/>
  <c r="AT51" i="1" s="1"/>
  <c r="P111" i="9"/>
  <c r="R111" i="9" s="1"/>
  <c r="S111" i="9" s="1"/>
  <c r="K111" i="9"/>
  <c r="I111" i="9"/>
  <c r="P110" i="9"/>
  <c r="K110" i="9"/>
  <c r="K109" i="9" s="1"/>
  <c r="I110" i="9"/>
  <c r="I109" i="9" s="1"/>
  <c r="AT41" i="1" s="1"/>
  <c r="P108" i="9"/>
  <c r="K108" i="9"/>
  <c r="I108" i="9"/>
  <c r="AT40" i="1" s="1"/>
  <c r="P107" i="9"/>
  <c r="R107" i="9" s="1"/>
  <c r="S107" i="9" s="1"/>
  <c r="K107" i="9"/>
  <c r="I107" i="9"/>
  <c r="P106" i="9"/>
  <c r="R106" i="9" s="1"/>
  <c r="S106" i="9" s="1"/>
  <c r="K106" i="9"/>
  <c r="I106" i="9"/>
  <c r="P105" i="9"/>
  <c r="K105" i="9"/>
  <c r="K104" i="9" s="1"/>
  <c r="I105" i="9"/>
  <c r="I104" i="9" s="1"/>
  <c r="AT39" i="1" s="1"/>
  <c r="P103" i="9"/>
  <c r="R103" i="9" s="1"/>
  <c r="S103" i="9" s="1"/>
  <c r="K103" i="9"/>
  <c r="I103" i="9"/>
  <c r="I101" i="9" s="1"/>
  <c r="AT37" i="1" s="1"/>
  <c r="P102" i="9"/>
  <c r="K102" i="9"/>
  <c r="K101" i="9" s="1"/>
  <c r="P100" i="9"/>
  <c r="R100" i="9" s="1"/>
  <c r="S100" i="9" s="1"/>
  <c r="K100" i="9"/>
  <c r="I100" i="9"/>
  <c r="P99" i="9"/>
  <c r="K99" i="9"/>
  <c r="K98" i="9" s="1"/>
  <c r="I99" i="9"/>
  <c r="I98" i="9" s="1"/>
  <c r="AT36" i="1" s="1"/>
  <c r="P97" i="9"/>
  <c r="R97" i="9" s="1"/>
  <c r="S97" i="9" s="1"/>
  <c r="K97" i="9"/>
  <c r="P96" i="9"/>
  <c r="R96" i="9" s="1"/>
  <c r="S96" i="9" s="1"/>
  <c r="K96" i="9"/>
  <c r="I96" i="9"/>
  <c r="P95" i="9"/>
  <c r="K95" i="9"/>
  <c r="K94" i="9" s="1"/>
  <c r="I95" i="9"/>
  <c r="I94" i="9" s="1"/>
  <c r="AT35" i="1" s="1"/>
  <c r="P93" i="9"/>
  <c r="R93" i="9" s="1"/>
  <c r="S93" i="9" s="1"/>
  <c r="K93" i="9"/>
  <c r="P92" i="9"/>
  <c r="K92" i="9"/>
  <c r="K91" i="9" s="1"/>
  <c r="I92" i="9"/>
  <c r="I91" i="9" s="1"/>
  <c r="AT32" i="1" s="1"/>
  <c r="P90" i="9"/>
  <c r="R90" i="9" s="1"/>
  <c r="S90" i="9" s="1"/>
  <c r="K90" i="9"/>
  <c r="I90" i="9"/>
  <c r="P89" i="9"/>
  <c r="K89" i="9"/>
  <c r="K88" i="9" s="1"/>
  <c r="I89" i="9"/>
  <c r="I88" i="9" s="1"/>
  <c r="AT33" i="1" s="1"/>
  <c r="P87" i="9"/>
  <c r="R87" i="9" s="1"/>
  <c r="S87" i="9" s="1"/>
  <c r="K87" i="9"/>
  <c r="I87" i="9"/>
  <c r="P86" i="9"/>
  <c r="R86" i="9" s="1"/>
  <c r="S86" i="9" s="1"/>
  <c r="K86" i="9"/>
  <c r="I86" i="9"/>
  <c r="P85" i="9"/>
  <c r="K85" i="9"/>
  <c r="K84" i="9" s="1"/>
  <c r="I85" i="9"/>
  <c r="I84" i="9" s="1"/>
  <c r="AT29" i="1" s="1"/>
  <c r="P83" i="9"/>
  <c r="R83" i="9" s="1"/>
  <c r="S83" i="9" s="1"/>
  <c r="K83" i="9"/>
  <c r="I83" i="9"/>
  <c r="P82" i="9"/>
  <c r="R82" i="9" s="1"/>
  <c r="S82" i="9" s="1"/>
  <c r="K82" i="9"/>
  <c r="I82" i="9"/>
  <c r="P81" i="9"/>
  <c r="K81" i="9"/>
  <c r="K80" i="9" s="1"/>
  <c r="I81" i="9"/>
  <c r="I80" i="9" s="1"/>
  <c r="AT27" i="1" s="1"/>
  <c r="P79" i="9"/>
  <c r="R79" i="9" s="1"/>
  <c r="S79" i="9" s="1"/>
  <c r="K79" i="9"/>
  <c r="P78" i="9"/>
  <c r="P77" i="9" s="1"/>
  <c r="AV26" i="1" s="1"/>
  <c r="K78" i="9"/>
  <c r="K77" i="9" s="1"/>
  <c r="I78" i="9"/>
  <c r="I77" i="9" s="1"/>
  <c r="AT26" i="1" s="1"/>
  <c r="H76" i="9"/>
  <c r="F76" i="9"/>
  <c r="P74" i="9"/>
  <c r="K74" i="9"/>
  <c r="P73" i="9"/>
  <c r="R73" i="9" s="1"/>
  <c r="S73" i="9" s="1"/>
  <c r="K73" i="9"/>
  <c r="P72" i="9"/>
  <c r="R72" i="9" s="1"/>
  <c r="S72" i="9" s="1"/>
  <c r="K72" i="9"/>
  <c r="P71" i="9"/>
  <c r="R71" i="9" s="1"/>
  <c r="S71" i="9" s="1"/>
  <c r="K71" i="9"/>
  <c r="P70" i="9"/>
  <c r="K70" i="9"/>
  <c r="K69" i="9" s="1"/>
  <c r="P68" i="9"/>
  <c r="R68" i="9" s="1"/>
  <c r="S68" i="9" s="1"/>
  <c r="K68" i="9"/>
  <c r="P67" i="9"/>
  <c r="R67" i="9" s="1"/>
  <c r="S67" i="9" s="1"/>
  <c r="K67" i="9"/>
  <c r="P66" i="9"/>
  <c r="K66" i="9"/>
  <c r="K65" i="9" s="1"/>
  <c r="P64" i="9"/>
  <c r="K64" i="9"/>
  <c r="P63" i="9"/>
  <c r="R63" i="9" s="1"/>
  <c r="S63" i="9" s="1"/>
  <c r="K63" i="9"/>
  <c r="P62" i="9"/>
  <c r="K62" i="9"/>
  <c r="K61" i="9" s="1"/>
  <c r="P60" i="9"/>
  <c r="K60" i="9"/>
  <c r="P59" i="9"/>
  <c r="R59" i="9" s="1"/>
  <c r="S59" i="9" s="1"/>
  <c r="K59" i="9"/>
  <c r="P58" i="9"/>
  <c r="R58" i="9" s="1"/>
  <c r="S58" i="9" s="1"/>
  <c r="K58" i="9"/>
  <c r="P57" i="9"/>
  <c r="K57" i="9"/>
  <c r="K56" i="9" s="1"/>
  <c r="P55" i="9"/>
  <c r="R55" i="9" s="1"/>
  <c r="S55" i="9" s="1"/>
  <c r="K55" i="9"/>
  <c r="P54" i="9"/>
  <c r="R54" i="9" s="1"/>
  <c r="S54" i="9" s="1"/>
  <c r="K54" i="9"/>
  <c r="P53" i="9"/>
  <c r="R53" i="9" s="1"/>
  <c r="S53" i="9" s="1"/>
  <c r="K53" i="9"/>
  <c r="P52" i="9"/>
  <c r="R52" i="9" s="1"/>
  <c r="S52" i="9" s="1"/>
  <c r="K52" i="9"/>
  <c r="P51" i="9"/>
  <c r="R51" i="9" s="1"/>
  <c r="K51" i="9"/>
  <c r="I50" i="9"/>
  <c r="H50" i="9"/>
  <c r="H49" i="9"/>
  <c r="G49" i="9"/>
  <c r="P47" i="9"/>
  <c r="R47" i="9" s="1"/>
  <c r="S47" i="9" s="1"/>
  <c r="K47" i="9"/>
  <c r="P46" i="9"/>
  <c r="R46" i="9" s="1"/>
  <c r="S46" i="9" s="1"/>
  <c r="K46" i="9"/>
  <c r="K45" i="9"/>
  <c r="G45" i="9"/>
  <c r="P45" i="9" s="1"/>
  <c r="P44" i="9"/>
  <c r="R44" i="9" s="1"/>
  <c r="S44" i="9" s="1"/>
  <c r="K44" i="9"/>
  <c r="P43" i="9"/>
  <c r="R43" i="9" s="1"/>
  <c r="S43" i="9" s="1"/>
  <c r="K43" i="9"/>
  <c r="P42" i="9"/>
  <c r="R42" i="9" s="1"/>
  <c r="S42" i="9" s="1"/>
  <c r="K42" i="9"/>
  <c r="P41" i="9"/>
  <c r="R41" i="9" s="1"/>
  <c r="S41" i="9" s="1"/>
  <c r="K41" i="9"/>
  <c r="P40" i="9"/>
  <c r="R40" i="9" s="1"/>
  <c r="S40" i="9" s="1"/>
  <c r="K40" i="9"/>
  <c r="P39" i="9"/>
  <c r="R39" i="9" s="1"/>
  <c r="S39" i="9" s="1"/>
  <c r="K39" i="9"/>
  <c r="P38" i="9"/>
  <c r="R38" i="9" s="1"/>
  <c r="S38" i="9" s="1"/>
  <c r="K38" i="9"/>
  <c r="P37" i="9"/>
  <c r="R37" i="9" s="1"/>
  <c r="S37" i="9" s="1"/>
  <c r="K37" i="9"/>
  <c r="P36" i="9"/>
  <c r="R36" i="9" s="1"/>
  <c r="S36" i="9" s="1"/>
  <c r="K36" i="9"/>
  <c r="P35" i="9"/>
  <c r="R35" i="9" s="1"/>
  <c r="S35" i="9" s="1"/>
  <c r="K35" i="9"/>
  <c r="P34" i="9"/>
  <c r="R34" i="9" s="1"/>
  <c r="K34" i="9"/>
  <c r="Q33" i="9"/>
  <c r="O33" i="9"/>
  <c r="N33" i="9"/>
  <c r="M33" i="9"/>
  <c r="I33" i="9"/>
  <c r="H33" i="9"/>
  <c r="F33" i="9"/>
  <c r="E33" i="9"/>
  <c r="D33" i="9"/>
  <c r="P32" i="9"/>
  <c r="R32" i="9" s="1"/>
  <c r="S32" i="9" s="1"/>
  <c r="K32" i="9"/>
  <c r="K31" i="9"/>
  <c r="K30" i="9"/>
  <c r="P29" i="9"/>
  <c r="R29" i="9" s="1"/>
  <c r="S29" i="9" s="1"/>
  <c r="K29" i="9"/>
  <c r="K28" i="9"/>
  <c r="K27" i="9"/>
  <c r="K26" i="9"/>
  <c r="G26" i="9"/>
  <c r="P26" i="9" s="1"/>
  <c r="R26" i="9" s="1"/>
  <c r="S26" i="9" s="1"/>
  <c r="K25" i="9"/>
  <c r="G25" i="9"/>
  <c r="P25" i="9" s="1"/>
  <c r="P24" i="9"/>
  <c r="R24" i="9" s="1"/>
  <c r="K24" i="9"/>
  <c r="P23" i="9"/>
  <c r="R23" i="9" s="1"/>
  <c r="S23" i="9" s="1"/>
  <c r="K23" i="9"/>
  <c r="P22" i="9"/>
  <c r="R22" i="9" s="1"/>
  <c r="S22" i="9" s="1"/>
  <c r="K22" i="9"/>
  <c r="O21" i="9"/>
  <c r="N21" i="9"/>
  <c r="M21" i="9"/>
  <c r="I21" i="9"/>
  <c r="H21" i="9"/>
  <c r="F21" i="9"/>
  <c r="E21" i="9"/>
  <c r="D21" i="9"/>
  <c r="Q19" i="9"/>
  <c r="S64" i="8"/>
  <c r="O64" i="8"/>
  <c r="N64" i="8"/>
  <c r="I64" i="8"/>
  <c r="H64" i="8"/>
  <c r="G64" i="8"/>
  <c r="S57" i="8"/>
  <c r="R57" i="8"/>
  <c r="P57" i="8"/>
  <c r="P56" i="8" s="1"/>
  <c r="P19" i="8" s="1"/>
  <c r="S56" i="8"/>
  <c r="R56" i="8"/>
  <c r="O56" i="8"/>
  <c r="M56" i="8"/>
  <c r="I56" i="8"/>
  <c r="H56" i="8"/>
  <c r="G56" i="8"/>
  <c r="R55" i="8"/>
  <c r="S55" i="8" s="1"/>
  <c r="R54" i="8"/>
  <c r="S54" i="8" s="1"/>
  <c r="R53" i="8"/>
  <c r="S53" i="8" s="1"/>
  <c r="R52" i="8"/>
  <c r="S52" i="8" s="1"/>
  <c r="S51" i="8"/>
  <c r="R50" i="8"/>
  <c r="S50" i="8" s="1"/>
  <c r="R49" i="8"/>
  <c r="S49" i="8" s="1"/>
  <c r="R48" i="8"/>
  <c r="S48" i="8" s="1"/>
  <c r="R47" i="8"/>
  <c r="S47" i="8" s="1"/>
  <c r="R46" i="8"/>
  <c r="S46" i="8" s="1"/>
  <c r="R45" i="8"/>
  <c r="S45" i="8" s="1"/>
  <c r="R44" i="8"/>
  <c r="S44" i="8" s="1"/>
  <c r="R43" i="8"/>
  <c r="S43" i="8" s="1"/>
  <c r="R42" i="8"/>
  <c r="S42" i="8" s="1"/>
  <c r="R41" i="8"/>
  <c r="S41" i="8" s="1"/>
  <c r="R40" i="8"/>
  <c r="S40" i="8" s="1"/>
  <c r="R39" i="8"/>
  <c r="S39" i="8" s="1"/>
  <c r="R38" i="8"/>
  <c r="S38" i="8" s="1"/>
  <c r="P37" i="8"/>
  <c r="O37" i="8"/>
  <c r="M37" i="8"/>
  <c r="I37" i="8"/>
  <c r="H37" i="8"/>
  <c r="G37" i="8"/>
  <c r="R36" i="8"/>
  <c r="S36" i="8" s="1"/>
  <c r="R35" i="8"/>
  <c r="S35" i="8" s="1"/>
  <c r="R34" i="8"/>
  <c r="S34" i="8" s="1"/>
  <c r="R33" i="8"/>
  <c r="S33" i="8" s="1"/>
  <c r="R32" i="8"/>
  <c r="S32" i="8" s="1"/>
  <c r="R31" i="8"/>
  <c r="S31" i="8" s="1"/>
  <c r="R30" i="8"/>
  <c r="S30" i="8" s="1"/>
  <c r="R29" i="8"/>
  <c r="S29" i="8" s="1"/>
  <c r="R28" i="8"/>
  <c r="S28" i="8" s="1"/>
  <c r="R27" i="8"/>
  <c r="S27" i="8" s="1"/>
  <c r="R26" i="8"/>
  <c r="S26" i="8" s="1"/>
  <c r="R25" i="8"/>
  <c r="S25" i="8" s="1"/>
  <c r="R24" i="8"/>
  <c r="S24" i="8" s="1"/>
  <c r="R23" i="8"/>
  <c r="S23" i="8" s="1"/>
  <c r="R22" i="8"/>
  <c r="S22" i="8" s="1"/>
  <c r="R21" i="8"/>
  <c r="P21" i="8"/>
  <c r="O21" i="8"/>
  <c r="M21" i="8"/>
  <c r="I21" i="8"/>
  <c r="H21" i="8"/>
  <c r="G21" i="8"/>
  <c r="P20" i="8"/>
  <c r="O20" i="8"/>
  <c r="M20" i="8"/>
  <c r="I20" i="8"/>
  <c r="H20" i="8"/>
  <c r="G20" i="8"/>
  <c r="S19" i="8"/>
  <c r="R19" i="8"/>
  <c r="O19" i="8"/>
  <c r="M19" i="8"/>
  <c r="I19" i="8"/>
  <c r="H19" i="8"/>
  <c r="G19" i="8"/>
  <c r="R12" i="8"/>
  <c r="R57" i="9" l="1"/>
  <c r="P56" i="9"/>
  <c r="AV54" i="1" s="1"/>
  <c r="R60" i="9"/>
  <c r="AV47" i="1"/>
  <c r="R62" i="9"/>
  <c r="P61" i="9"/>
  <c r="AV45" i="1" s="1"/>
  <c r="R64" i="9"/>
  <c r="AV49" i="1"/>
  <c r="R66" i="9"/>
  <c r="P65" i="9"/>
  <c r="AV56" i="1" s="1"/>
  <c r="R70" i="9"/>
  <c r="P69" i="9"/>
  <c r="AV38" i="1" s="1"/>
  <c r="R74" i="9"/>
  <c r="AV34" i="1"/>
  <c r="R81" i="9"/>
  <c r="P80" i="9"/>
  <c r="AV27" i="1" s="1"/>
  <c r="R85" i="9"/>
  <c r="P84" i="9"/>
  <c r="AV29" i="1" s="1"/>
  <c r="R89" i="9"/>
  <c r="P88" i="9"/>
  <c r="AV33" i="1" s="1"/>
  <c r="R92" i="9"/>
  <c r="P91" i="9"/>
  <c r="AV32" i="1" s="1"/>
  <c r="R95" i="9"/>
  <c r="P94" i="9"/>
  <c r="AV35" i="1" s="1"/>
  <c r="R99" i="9"/>
  <c r="P98" i="9"/>
  <c r="AV36" i="1" s="1"/>
  <c r="R102" i="9"/>
  <c r="P101" i="9"/>
  <c r="AV37" i="1" s="1"/>
  <c r="R105" i="9"/>
  <c r="P104" i="9"/>
  <c r="AV39" i="1" s="1"/>
  <c r="R108" i="9"/>
  <c r="AV40" i="1"/>
  <c r="R110" i="9"/>
  <c r="P109" i="9"/>
  <c r="AV41" i="1" s="1"/>
  <c r="R113" i="9"/>
  <c r="P112" i="9"/>
  <c r="AV51" i="1" s="1"/>
  <c r="R115" i="9"/>
  <c r="AV42" i="1"/>
  <c r="R116" i="9"/>
  <c r="AV48" i="1"/>
  <c r="R117" i="9"/>
  <c r="AV46" i="1"/>
  <c r="R119" i="9"/>
  <c r="P118" i="9"/>
  <c r="AV50" i="1" s="1"/>
  <c r="R124" i="9"/>
  <c r="P123" i="9"/>
  <c r="AV53" i="1" s="1"/>
  <c r="R127" i="9"/>
  <c r="P126" i="9"/>
  <c r="AV43" i="1" s="1"/>
  <c r="R131" i="9"/>
  <c r="P130" i="9"/>
  <c r="AV44" i="1" s="1"/>
  <c r="R135" i="9"/>
  <c r="P134" i="9"/>
  <c r="AV52" i="1" s="1"/>
  <c r="R138" i="9"/>
  <c r="P137" i="9"/>
  <c r="AV55" i="1" s="1"/>
  <c r="R141" i="9"/>
  <c r="P140" i="9"/>
  <c r="AV57" i="1" s="1"/>
  <c r="R143" i="9"/>
  <c r="AV58" i="1"/>
  <c r="R144" i="9"/>
  <c r="AV59" i="1"/>
  <c r="R149" i="9"/>
  <c r="R148" i="9" s="1"/>
  <c r="AW3" i="1" s="1"/>
  <c r="P148" i="9"/>
  <c r="AV3" i="1" s="1"/>
  <c r="R153" i="9"/>
  <c r="P152" i="9"/>
  <c r="R157" i="9"/>
  <c r="P156" i="9"/>
  <c r="AV8" i="1" s="1"/>
  <c r="I49" i="9"/>
  <c r="I159" i="9"/>
  <c r="AT14" i="1" s="1"/>
  <c r="R160" i="9"/>
  <c r="R159" i="9" s="1"/>
  <c r="AW14" i="1" s="1"/>
  <c r="P159" i="9"/>
  <c r="AV14" i="1" s="1"/>
  <c r="R163" i="9"/>
  <c r="P162" i="9"/>
  <c r="AV17" i="1" s="1"/>
  <c r="R167" i="9"/>
  <c r="P166" i="9"/>
  <c r="AV19" i="1" s="1"/>
  <c r="R171" i="9"/>
  <c r="P170" i="9"/>
  <c r="AV6" i="1" s="1"/>
  <c r="R175" i="9"/>
  <c r="P174" i="9"/>
  <c r="AV23" i="1" s="1"/>
  <c r="R182" i="9"/>
  <c r="P181" i="9"/>
  <c r="AV20" i="1" s="1"/>
  <c r="R187" i="9"/>
  <c r="AV9" i="1"/>
  <c r="R188" i="9"/>
  <c r="AV13" i="1"/>
  <c r="R192" i="9"/>
  <c r="R191" i="9" s="1"/>
  <c r="AW5" i="1" s="1"/>
  <c r="P191" i="9"/>
  <c r="AV5" i="1" s="1"/>
  <c r="R196" i="9"/>
  <c r="P195" i="9"/>
  <c r="R204" i="9"/>
  <c r="P203" i="9"/>
  <c r="R208" i="9"/>
  <c r="P207" i="9"/>
  <c r="AV11" i="1" s="1"/>
  <c r="R211" i="9"/>
  <c r="P210" i="9"/>
  <c r="AV15" i="1" s="1"/>
  <c r="R214" i="9"/>
  <c r="P213" i="9"/>
  <c r="AV16" i="1" s="1"/>
  <c r="R218" i="9"/>
  <c r="P217" i="9"/>
  <c r="AV18" i="1" s="1"/>
  <c r="R222" i="9"/>
  <c r="P221" i="9"/>
  <c r="AV21" i="1" s="1"/>
  <c r="R225" i="9"/>
  <c r="P224" i="9"/>
  <c r="AV12" i="1" s="1"/>
  <c r="R230" i="9"/>
  <c r="P229" i="9"/>
  <c r="AV22" i="1" s="1"/>
  <c r="R232" i="9"/>
  <c r="AV24" i="1"/>
  <c r="R237" i="9"/>
  <c r="R236" i="9" s="1"/>
  <c r="AW82" i="1" s="1"/>
  <c r="P236" i="9"/>
  <c r="AV82" i="1" s="1"/>
  <c r="R241" i="9"/>
  <c r="P240" i="9"/>
  <c r="AV99" i="1" s="1"/>
  <c r="R243" i="9"/>
  <c r="AV84" i="1"/>
  <c r="R245" i="9"/>
  <c r="P244" i="9"/>
  <c r="AV93" i="1" s="1"/>
  <c r="R248" i="9"/>
  <c r="P247" i="9"/>
  <c r="AV87" i="1" s="1"/>
  <c r="R250" i="9"/>
  <c r="AV98" i="1"/>
  <c r="R251" i="9"/>
  <c r="AV103" i="1"/>
  <c r="R255" i="9"/>
  <c r="P254" i="9"/>
  <c r="AV88" i="1" s="1"/>
  <c r="R258" i="9"/>
  <c r="P257" i="9"/>
  <c r="AV107" i="1" s="1"/>
  <c r="R266" i="9"/>
  <c r="AV126" i="1"/>
  <c r="R268" i="9"/>
  <c r="R267" i="9" s="1"/>
  <c r="AW110" i="1" s="1"/>
  <c r="P267" i="9"/>
  <c r="AV110" i="1" s="1"/>
  <c r="R270" i="9"/>
  <c r="AV83" i="1"/>
  <c r="S280" i="9"/>
  <c r="AW115" i="1"/>
  <c r="S286" i="9"/>
  <c r="S281" i="9" s="1"/>
  <c r="R281" i="9"/>
  <c r="AW123" i="1" s="1"/>
  <c r="R288" i="9"/>
  <c r="AW86" i="1" s="1"/>
  <c r="S290" i="9"/>
  <c r="S288" i="9" s="1"/>
  <c r="I271" i="9"/>
  <c r="AT86" i="1"/>
  <c r="H271" i="9"/>
  <c r="H265" i="9" s="1"/>
  <c r="H261" i="9" s="1"/>
  <c r="H253" i="9" s="1"/>
  <c r="H235" i="9" s="1"/>
  <c r="H190" i="9" s="1"/>
  <c r="AS86" i="1"/>
  <c r="O271" i="9"/>
  <c r="O265" i="9" s="1"/>
  <c r="O261" i="9" s="1"/>
  <c r="O253" i="9" s="1"/>
  <c r="G271" i="9"/>
  <c r="G265" i="9" s="1"/>
  <c r="G261" i="9" s="1"/>
  <c r="G253" i="9" s="1"/>
  <c r="M271" i="9"/>
  <c r="E271" i="9"/>
  <c r="S179" i="9"/>
  <c r="S178" i="9" s="1"/>
  <c r="R178" i="9"/>
  <c r="AW25" i="1" s="1"/>
  <c r="P178" i="9"/>
  <c r="AV25" i="1" s="1"/>
  <c r="K178" i="9"/>
  <c r="I178" i="9"/>
  <c r="AT25" i="1" s="1"/>
  <c r="D147" i="9"/>
  <c r="AR14" i="1"/>
  <c r="E147" i="9"/>
  <c r="G76" i="9"/>
  <c r="D76" i="9"/>
  <c r="AR41" i="1"/>
  <c r="D50" i="9"/>
  <c r="AR45" i="1"/>
  <c r="M50" i="9"/>
  <c r="N50" i="9"/>
  <c r="AU91" i="1"/>
  <c r="DJ4" i="1"/>
  <c r="DH4" i="1"/>
  <c r="DK4" i="1"/>
  <c r="DG4" i="1"/>
  <c r="DI4" i="1" s="1"/>
  <c r="DF4" i="1"/>
  <c r="AU115" i="1"/>
  <c r="AU107" i="1"/>
  <c r="AU84" i="1"/>
  <c r="AU117" i="1"/>
  <c r="AU3" i="1"/>
  <c r="AU114" i="1"/>
  <c r="AU90" i="1"/>
  <c r="AU22" i="1"/>
  <c r="AU100" i="1"/>
  <c r="AU6" i="1"/>
  <c r="AU118" i="1"/>
  <c r="AU127" i="1"/>
  <c r="AU10" i="1"/>
  <c r="AU112" i="1"/>
  <c r="AU104" i="1"/>
  <c r="AU96" i="1"/>
  <c r="AU19" i="1"/>
  <c r="AU123" i="1"/>
  <c r="AU20" i="1"/>
  <c r="AU121" i="1"/>
  <c r="AU119" i="1"/>
  <c r="AU97" i="1"/>
  <c r="AU81" i="1"/>
  <c r="AU18" i="1"/>
  <c r="AU111" i="1"/>
  <c r="AU87" i="1"/>
  <c r="AU99" i="1"/>
  <c r="AU88" i="1"/>
  <c r="AU25" i="1"/>
  <c r="AU14" i="1"/>
  <c r="CU80" i="1"/>
  <c r="CT80" i="1"/>
  <c r="CY80" i="1"/>
  <c r="CX80" i="1"/>
  <c r="CV80" i="1"/>
  <c r="CY124" i="1"/>
  <c r="CX124" i="1"/>
  <c r="CV124" i="1"/>
  <c r="CU124" i="1"/>
  <c r="CT124" i="1"/>
  <c r="CX110" i="1"/>
  <c r="CV110" i="1"/>
  <c r="CU110" i="1"/>
  <c r="CT110" i="1"/>
  <c r="CY110" i="1"/>
  <c r="AU106" i="1"/>
  <c r="AU103" i="1"/>
  <c r="AU83" i="1"/>
  <c r="AU17" i="1"/>
  <c r="CY127" i="1"/>
  <c r="CX127" i="1"/>
  <c r="CV127" i="1"/>
  <c r="CU127" i="1"/>
  <c r="CT127" i="1"/>
  <c r="CY119" i="1"/>
  <c r="CX119" i="1"/>
  <c r="CV119" i="1"/>
  <c r="CU119" i="1"/>
  <c r="CT119" i="1"/>
  <c r="CY116" i="1"/>
  <c r="CX116" i="1"/>
  <c r="CV116" i="1"/>
  <c r="CU116" i="1"/>
  <c r="CT116" i="1"/>
  <c r="CY113" i="1"/>
  <c r="CX113" i="1"/>
  <c r="CV113" i="1"/>
  <c r="CU113" i="1"/>
  <c r="CT113" i="1"/>
  <c r="CU96" i="1"/>
  <c r="CT96" i="1"/>
  <c r="CY96" i="1"/>
  <c r="CX96" i="1"/>
  <c r="CV96" i="1"/>
  <c r="AU92" i="1"/>
  <c r="CY90" i="1"/>
  <c r="CX90" i="1"/>
  <c r="CV90" i="1"/>
  <c r="CU90" i="1"/>
  <c r="CT90" i="1"/>
  <c r="AU89" i="1"/>
  <c r="CY122" i="1"/>
  <c r="CX122" i="1"/>
  <c r="CV122" i="1"/>
  <c r="CU122" i="1"/>
  <c r="CT122" i="1"/>
  <c r="CY105" i="1"/>
  <c r="CX105" i="1"/>
  <c r="CV105" i="1"/>
  <c r="CU105" i="1"/>
  <c r="CT105" i="1"/>
  <c r="CX102" i="1"/>
  <c r="CV102" i="1"/>
  <c r="CU102" i="1"/>
  <c r="CT102" i="1"/>
  <c r="CY102" i="1"/>
  <c r="AU98" i="1"/>
  <c r="AU95" i="1"/>
  <c r="CY82" i="1"/>
  <c r="CX82" i="1"/>
  <c r="CV82" i="1"/>
  <c r="CU82" i="1"/>
  <c r="CT82" i="1"/>
  <c r="CT125" i="1"/>
  <c r="CY125" i="1"/>
  <c r="CX125" i="1"/>
  <c r="CV125" i="1"/>
  <c r="CU125" i="1"/>
  <c r="AU116" i="1"/>
  <c r="CY111" i="1"/>
  <c r="CX111" i="1"/>
  <c r="CV111" i="1"/>
  <c r="CU111" i="1"/>
  <c r="CT111" i="1"/>
  <c r="CV91" i="1"/>
  <c r="CU91" i="1"/>
  <c r="CT91" i="1"/>
  <c r="CY91" i="1"/>
  <c r="CX91" i="1"/>
  <c r="CU120" i="1"/>
  <c r="CT120" i="1"/>
  <c r="CY120" i="1"/>
  <c r="CX120" i="1"/>
  <c r="CV120" i="1"/>
  <c r="CT117" i="1"/>
  <c r="CY117" i="1"/>
  <c r="CX117" i="1"/>
  <c r="CV117" i="1"/>
  <c r="CU117" i="1"/>
  <c r="CY114" i="1"/>
  <c r="CX114" i="1"/>
  <c r="CV114" i="1"/>
  <c r="CU114" i="1"/>
  <c r="CT114" i="1"/>
  <c r="CY100" i="1"/>
  <c r="CX100" i="1"/>
  <c r="CV100" i="1"/>
  <c r="CU100" i="1"/>
  <c r="CT100" i="1"/>
  <c r="CY97" i="1"/>
  <c r="CX97" i="1"/>
  <c r="CV97" i="1"/>
  <c r="CU97" i="1"/>
  <c r="CT97" i="1"/>
  <c r="CX94" i="1"/>
  <c r="CV94" i="1"/>
  <c r="CU94" i="1"/>
  <c r="CT94" i="1"/>
  <c r="CY94" i="1"/>
  <c r="AU13" i="1"/>
  <c r="AU51" i="1"/>
  <c r="AU27" i="1"/>
  <c r="CV123" i="1"/>
  <c r="CU123" i="1"/>
  <c r="CT123" i="1"/>
  <c r="CY123" i="1"/>
  <c r="CX123" i="1"/>
  <c r="CT109" i="1"/>
  <c r="CY109" i="1"/>
  <c r="CX109" i="1"/>
  <c r="CV109" i="1"/>
  <c r="CU109" i="1"/>
  <c r="AU108" i="1"/>
  <c r="CY106" i="1"/>
  <c r="CX106" i="1"/>
  <c r="CV106" i="1"/>
  <c r="CU106" i="1"/>
  <c r="CT106" i="1"/>
  <c r="AU105" i="1"/>
  <c r="AU82" i="1"/>
  <c r="AU16" i="1"/>
  <c r="AU11" i="1"/>
  <c r="CV115" i="1"/>
  <c r="CU115" i="1"/>
  <c r="CT115" i="1"/>
  <c r="CY115" i="1"/>
  <c r="CX115" i="1"/>
  <c r="CU112" i="1"/>
  <c r="CT112" i="1"/>
  <c r="CY112" i="1"/>
  <c r="CX112" i="1"/>
  <c r="CV112" i="1"/>
  <c r="CY92" i="1"/>
  <c r="CX92" i="1"/>
  <c r="CV92" i="1"/>
  <c r="CU92" i="1"/>
  <c r="CT92" i="1"/>
  <c r="CY89" i="1"/>
  <c r="CX89" i="1"/>
  <c r="CV89" i="1"/>
  <c r="CU89" i="1"/>
  <c r="CT89" i="1"/>
  <c r="CX86" i="1"/>
  <c r="CV86" i="1"/>
  <c r="CU86" i="1"/>
  <c r="CT86" i="1"/>
  <c r="CY86" i="1"/>
  <c r="CY60" i="1"/>
  <c r="CX60" i="1"/>
  <c r="CV60" i="1"/>
  <c r="CU60" i="1"/>
  <c r="CT60" i="1"/>
  <c r="CY121" i="1"/>
  <c r="CX121" i="1"/>
  <c r="CV121" i="1"/>
  <c r="CU121" i="1"/>
  <c r="CT121" i="1"/>
  <c r="CX118" i="1"/>
  <c r="CV118" i="1"/>
  <c r="CU118" i="1"/>
  <c r="CT118" i="1"/>
  <c r="CY118" i="1"/>
  <c r="CU104" i="1"/>
  <c r="CT104" i="1"/>
  <c r="CY104" i="1"/>
  <c r="CX104" i="1"/>
  <c r="CV104" i="1"/>
  <c r="CT101" i="1"/>
  <c r="CY101" i="1"/>
  <c r="CX101" i="1"/>
  <c r="CV101" i="1"/>
  <c r="CU101" i="1"/>
  <c r="CY95" i="1"/>
  <c r="CX95" i="1"/>
  <c r="CV95" i="1"/>
  <c r="CU95" i="1"/>
  <c r="CT95" i="1"/>
  <c r="CY81" i="1"/>
  <c r="CX81" i="1"/>
  <c r="CV81" i="1"/>
  <c r="CU81" i="1"/>
  <c r="CT81" i="1"/>
  <c r="AU15" i="1"/>
  <c r="AU24" i="1"/>
  <c r="AU21" i="1"/>
  <c r="AU7" i="1"/>
  <c r="AU60" i="1"/>
  <c r="AU126" i="1"/>
  <c r="AU102" i="1"/>
  <c r="AU86" i="1"/>
  <c r="AU12" i="1"/>
  <c r="AU4" i="1"/>
  <c r="AU124" i="1"/>
  <c r="AU109" i="1"/>
  <c r="AU93" i="1"/>
  <c r="AU23" i="1"/>
  <c r="AU8" i="1"/>
  <c r="AU5" i="1"/>
  <c r="AU113" i="1"/>
  <c r="AU110" i="1"/>
  <c r="AU94" i="1"/>
  <c r="AU125" i="1"/>
  <c r="AU122" i="1"/>
  <c r="AU101" i="1"/>
  <c r="AU85" i="1"/>
  <c r="AU47" i="1"/>
  <c r="AU120" i="1"/>
  <c r="AU9" i="1"/>
  <c r="AU80" i="1"/>
  <c r="AU42" i="1"/>
  <c r="AU29" i="1"/>
  <c r="AU52" i="1"/>
  <c r="AU55" i="1"/>
  <c r="AU35" i="1"/>
  <c r="AU46" i="1"/>
  <c r="AU38" i="1"/>
  <c r="AU30" i="1"/>
  <c r="AU39" i="1"/>
  <c r="AU53" i="1"/>
  <c r="AU26" i="1"/>
  <c r="AU49" i="1"/>
  <c r="AU41" i="1"/>
  <c r="AU33" i="1"/>
  <c r="AU31" i="1"/>
  <c r="AU28" i="1"/>
  <c r="AU48" i="1"/>
  <c r="AU34" i="1"/>
  <c r="AU57" i="1"/>
  <c r="AU40" i="1"/>
  <c r="AU37" i="1"/>
  <c r="AU43" i="1"/>
  <c r="AU54" i="1"/>
  <c r="AU58" i="1"/>
  <c r="AU45" i="1"/>
  <c r="AU50" i="1"/>
  <c r="AU59" i="1"/>
  <c r="AU56" i="1"/>
  <c r="AU32" i="1"/>
  <c r="AU36" i="1"/>
  <c r="AU44" i="1"/>
  <c r="E76" i="9"/>
  <c r="M265" i="9"/>
  <c r="M261" i="9" s="1"/>
  <c r="E265" i="9"/>
  <c r="E261" i="9" s="1"/>
  <c r="D265" i="9"/>
  <c r="D261" i="9" s="1"/>
  <c r="D253" i="9" s="1"/>
  <c r="D235" i="9" s="1"/>
  <c r="D190" i="9" s="1"/>
  <c r="H147" i="9"/>
  <c r="O235" i="9"/>
  <c r="O190" i="9" s="1"/>
  <c r="O147" i="9" s="1"/>
  <c r="G235" i="9"/>
  <c r="G234" i="9" s="1"/>
  <c r="G190" i="9" s="1"/>
  <c r="M253" i="9"/>
  <c r="M235" i="9" s="1"/>
  <c r="M190" i="9" s="1"/>
  <c r="M147" i="9" s="1"/>
  <c r="E253" i="9"/>
  <c r="E235" i="9" s="1"/>
  <c r="E190" i="9" s="1"/>
  <c r="H20" i="9"/>
  <c r="H19" i="9" s="1"/>
  <c r="F20" i="9"/>
  <c r="I20" i="9"/>
  <c r="I19" i="9" s="1"/>
  <c r="F50" i="9"/>
  <c r="E20" i="9"/>
  <c r="M20" i="9"/>
  <c r="M19" i="9" s="1"/>
  <c r="O20" i="9"/>
  <c r="O19" i="9" s="1"/>
  <c r="D20" i="9"/>
  <c r="P49" i="9"/>
  <c r="I76" i="9"/>
  <c r="N20" i="9"/>
  <c r="N19" i="9" s="1"/>
  <c r="P76" i="9"/>
  <c r="I147" i="9"/>
  <c r="I146" i="9" s="1"/>
  <c r="G21" i="9"/>
  <c r="I190" i="9"/>
  <c r="R78" i="9"/>
  <c r="G33" i="9"/>
  <c r="P50" i="9"/>
  <c r="I265" i="9"/>
  <c r="I261" i="9" s="1"/>
  <c r="I253" i="9" s="1"/>
  <c r="I235" i="9" s="1"/>
  <c r="I234" i="9" s="1"/>
  <c r="P271" i="9"/>
  <c r="P265" i="9" s="1"/>
  <c r="P261" i="9" s="1"/>
  <c r="P253" i="9" s="1"/>
  <c r="P235" i="9" s="1"/>
  <c r="P234" i="9" s="1"/>
  <c r="P190" i="9" s="1"/>
  <c r="P147" i="9" s="1"/>
  <c r="P146" i="9" s="1"/>
  <c r="S51" i="9"/>
  <c r="S256" i="9"/>
  <c r="S237" i="9"/>
  <c r="S236" i="9" s="1"/>
  <c r="S268" i="9"/>
  <c r="S267" i="9" s="1"/>
  <c r="R49" i="9"/>
  <c r="S160" i="9"/>
  <c r="S37" i="8"/>
  <c r="S192" i="9"/>
  <c r="S191" i="9" s="1"/>
  <c r="R45" i="9"/>
  <c r="S45" i="9" s="1"/>
  <c r="P33" i="9"/>
  <c r="S24" i="9"/>
  <c r="S34" i="9"/>
  <c r="S21" i="8"/>
  <c r="S20" i="8" s="1"/>
  <c r="R25" i="9"/>
  <c r="S25" i="9" s="1"/>
  <c r="P21" i="9"/>
  <c r="R37" i="8"/>
  <c r="R20" i="8" s="1"/>
  <c r="S149" i="9"/>
  <c r="S148" i="9" s="1"/>
  <c r="R263" i="9"/>
  <c r="R262" i="9" s="1"/>
  <c r="AW108" i="1" s="1"/>
  <c r="R273" i="9"/>
  <c r="R272" i="9" s="1"/>
  <c r="AW85" i="1" s="1"/>
  <c r="CT85" i="1" l="1"/>
  <c r="CY85" i="1"/>
  <c r="CX85" i="1"/>
  <c r="CV85" i="1"/>
  <c r="CU85" i="1"/>
  <c r="CY108" i="1"/>
  <c r="CX108" i="1"/>
  <c r="CV108" i="1"/>
  <c r="CU108" i="1"/>
  <c r="CT108" i="1"/>
  <c r="S49" i="9"/>
  <c r="S159" i="9"/>
  <c r="S78" i="9"/>
  <c r="R77" i="9"/>
  <c r="AW26" i="1" s="1"/>
  <c r="S270" i="9"/>
  <c r="AW83" i="1"/>
  <c r="S266" i="9"/>
  <c r="AW126" i="1"/>
  <c r="S258" i="9"/>
  <c r="S257" i="9" s="1"/>
  <c r="R257" i="9"/>
  <c r="AW107" i="1" s="1"/>
  <c r="S255" i="9"/>
  <c r="S254" i="9" s="1"/>
  <c r="R254" i="9"/>
  <c r="AW88" i="1" s="1"/>
  <c r="S251" i="9"/>
  <c r="AW103" i="1"/>
  <c r="S250" i="9"/>
  <c r="AW98" i="1"/>
  <c r="S248" i="9"/>
  <c r="S247" i="9" s="1"/>
  <c r="R247" i="9"/>
  <c r="AW87" i="1" s="1"/>
  <c r="S245" i="9"/>
  <c r="S244" i="9" s="1"/>
  <c r="R244" i="9"/>
  <c r="AW93" i="1" s="1"/>
  <c r="S243" i="9"/>
  <c r="AW84" i="1"/>
  <c r="S241" i="9"/>
  <c r="S240" i="9" s="1"/>
  <c r="R240" i="9"/>
  <c r="AW99" i="1" s="1"/>
  <c r="S232" i="9"/>
  <c r="AW24" i="1"/>
  <c r="S230" i="9"/>
  <c r="S229" i="9" s="1"/>
  <c r="R229" i="9"/>
  <c r="AW22" i="1" s="1"/>
  <c r="S225" i="9"/>
  <c r="S224" i="9" s="1"/>
  <c r="R224" i="9"/>
  <c r="AW12" i="1" s="1"/>
  <c r="S222" i="9"/>
  <c r="S221" i="9" s="1"/>
  <c r="R221" i="9"/>
  <c r="AW21" i="1" s="1"/>
  <c r="S218" i="9"/>
  <c r="S217" i="9" s="1"/>
  <c r="R217" i="9"/>
  <c r="AW18" i="1" s="1"/>
  <c r="S214" i="9"/>
  <c r="S213" i="9" s="1"/>
  <c r="R213" i="9"/>
  <c r="AW16" i="1" s="1"/>
  <c r="S211" i="9"/>
  <c r="S210" i="9" s="1"/>
  <c r="R210" i="9"/>
  <c r="AW15" i="1" s="1"/>
  <c r="S208" i="9"/>
  <c r="S207" i="9" s="1"/>
  <c r="R207" i="9"/>
  <c r="AW11" i="1" s="1"/>
  <c r="S204" i="9"/>
  <c r="S203" i="9" s="1"/>
  <c r="R203" i="9"/>
  <c r="S196" i="9"/>
  <c r="S195" i="9" s="1"/>
  <c r="R195" i="9"/>
  <c r="S188" i="9"/>
  <c r="AW13" i="1"/>
  <c r="S187" i="9"/>
  <c r="AW9" i="1"/>
  <c r="S182" i="9"/>
  <c r="S181" i="9" s="1"/>
  <c r="R181" i="9"/>
  <c r="AW20" i="1" s="1"/>
  <c r="S175" i="9"/>
  <c r="S174" i="9" s="1"/>
  <c r="R174" i="9"/>
  <c r="AW23" i="1" s="1"/>
  <c r="S171" i="9"/>
  <c r="S170" i="9" s="1"/>
  <c r="R170" i="9"/>
  <c r="AW6" i="1" s="1"/>
  <c r="S167" i="9"/>
  <c r="S166" i="9" s="1"/>
  <c r="R166" i="9"/>
  <c r="AW19" i="1" s="1"/>
  <c r="S163" i="9"/>
  <c r="S162" i="9" s="1"/>
  <c r="R162" i="9"/>
  <c r="AW17" i="1" s="1"/>
  <c r="S157" i="9"/>
  <c r="S156" i="9" s="1"/>
  <c r="R156" i="9"/>
  <c r="AW8" i="1" s="1"/>
  <c r="S153" i="9"/>
  <c r="S152" i="9" s="1"/>
  <c r="R152" i="9"/>
  <c r="S144" i="9"/>
  <c r="AW59" i="1"/>
  <c r="S143" i="9"/>
  <c r="AW58" i="1"/>
  <c r="S141" i="9"/>
  <c r="S140" i="9" s="1"/>
  <c r="R140" i="9"/>
  <c r="AW57" i="1" s="1"/>
  <c r="S138" i="9"/>
  <c r="S137" i="9" s="1"/>
  <c r="R137" i="9"/>
  <c r="AW55" i="1" s="1"/>
  <c r="S135" i="9"/>
  <c r="S134" i="9" s="1"/>
  <c r="R134" i="9"/>
  <c r="AW52" i="1" s="1"/>
  <c r="S131" i="9"/>
  <c r="S130" i="9" s="1"/>
  <c r="R130" i="9"/>
  <c r="AW44" i="1" s="1"/>
  <c r="S127" i="9"/>
  <c r="S126" i="9" s="1"/>
  <c r="R126" i="9"/>
  <c r="AW43" i="1" s="1"/>
  <c r="S124" i="9"/>
  <c r="S123" i="9" s="1"/>
  <c r="R123" i="9"/>
  <c r="AW53" i="1" s="1"/>
  <c r="S119" i="9"/>
  <c r="S118" i="9" s="1"/>
  <c r="R118" i="9"/>
  <c r="AW50" i="1" s="1"/>
  <c r="S117" i="9"/>
  <c r="AW46" i="1"/>
  <c r="S116" i="9"/>
  <c r="AW48" i="1"/>
  <c r="S115" i="9"/>
  <c r="AW42" i="1"/>
  <c r="S113" i="9"/>
  <c r="S112" i="9" s="1"/>
  <c r="R112" i="9"/>
  <c r="AW51" i="1" s="1"/>
  <c r="S110" i="9"/>
  <c r="S109" i="9" s="1"/>
  <c r="R109" i="9"/>
  <c r="AW41" i="1" s="1"/>
  <c r="S108" i="9"/>
  <c r="AW40" i="1"/>
  <c r="S105" i="9"/>
  <c r="S104" i="9" s="1"/>
  <c r="R104" i="9"/>
  <c r="AW39" i="1" s="1"/>
  <c r="S102" i="9"/>
  <c r="S101" i="9" s="1"/>
  <c r="R101" i="9"/>
  <c r="AW37" i="1" s="1"/>
  <c r="S99" i="9"/>
  <c r="S98" i="9" s="1"/>
  <c r="R98" i="9"/>
  <c r="AW36" i="1" s="1"/>
  <c r="S95" i="9"/>
  <c r="S94" i="9" s="1"/>
  <c r="R94" i="9"/>
  <c r="AW35" i="1" s="1"/>
  <c r="S92" i="9"/>
  <c r="S91" i="9" s="1"/>
  <c r="R91" i="9"/>
  <c r="AW32" i="1" s="1"/>
  <c r="S89" i="9"/>
  <c r="S88" i="9" s="1"/>
  <c r="R88" i="9"/>
  <c r="AW33" i="1" s="1"/>
  <c r="S85" i="9"/>
  <c r="S84" i="9" s="1"/>
  <c r="R84" i="9"/>
  <c r="AW29" i="1" s="1"/>
  <c r="S81" i="9"/>
  <c r="S80" i="9" s="1"/>
  <c r="R80" i="9"/>
  <c r="AW27" i="1" s="1"/>
  <c r="S74" i="9"/>
  <c r="AW34" i="1"/>
  <c r="S70" i="9"/>
  <c r="S69" i="9" s="1"/>
  <c r="R69" i="9"/>
  <c r="AW38" i="1" s="1"/>
  <c r="S66" i="9"/>
  <c r="S65" i="9" s="1"/>
  <c r="R65" i="9"/>
  <c r="AW56" i="1" s="1"/>
  <c r="S64" i="9"/>
  <c r="AW49" i="1"/>
  <c r="S62" i="9"/>
  <c r="S61" i="9" s="1"/>
  <c r="R61" i="9"/>
  <c r="AW45" i="1" s="1"/>
  <c r="S60" i="9"/>
  <c r="AW47" i="1"/>
  <c r="S57" i="9"/>
  <c r="S56" i="9" s="1"/>
  <c r="S50" i="9" s="1"/>
  <c r="R56" i="9"/>
  <c r="CW94" i="1"/>
  <c r="CW100" i="1"/>
  <c r="CW123" i="1"/>
  <c r="CW90" i="1"/>
  <c r="CW60" i="1"/>
  <c r="CW121" i="1"/>
  <c r="CW117" i="1"/>
  <c r="CW120" i="1"/>
  <c r="CW85" i="1"/>
  <c r="CW95" i="1"/>
  <c r="CW92" i="1"/>
  <c r="CW112" i="1"/>
  <c r="CW96" i="1"/>
  <c r="CW109" i="1"/>
  <c r="CW118" i="1"/>
  <c r="CW106" i="1"/>
  <c r="CW86" i="1"/>
  <c r="CW108" i="1"/>
  <c r="CW113" i="1"/>
  <c r="CW97" i="1"/>
  <c r="CW119" i="1"/>
  <c r="CW110" i="1"/>
  <c r="CW101" i="1"/>
  <c r="CW104" i="1"/>
  <c r="CW114" i="1"/>
  <c r="CW105" i="1"/>
  <c r="CW81" i="1"/>
  <c r="CW89" i="1"/>
  <c r="CW115" i="1"/>
  <c r="CW91" i="1"/>
  <c r="CW125" i="1"/>
  <c r="CW116" i="1"/>
  <c r="CW124" i="1"/>
  <c r="CW80" i="1"/>
  <c r="CW122" i="1"/>
  <c r="CW111" i="1"/>
  <c r="CW82" i="1"/>
  <c r="CW102" i="1"/>
  <c r="CW127" i="1"/>
  <c r="S21" i="9"/>
  <c r="R21" i="9"/>
  <c r="R76" i="9"/>
  <c r="P20" i="9"/>
  <c r="P19" i="9" s="1"/>
  <c r="S33" i="9"/>
  <c r="R33" i="9"/>
  <c r="S147" i="9"/>
  <c r="S146" i="9" s="1"/>
  <c r="G20" i="9"/>
  <c r="G19" i="9" s="1"/>
  <c r="S263" i="9"/>
  <c r="S262" i="9" s="1"/>
  <c r="S273" i="9"/>
  <c r="R271" i="9"/>
  <c r="R265" i="9" s="1"/>
  <c r="R261" i="9" s="1"/>
  <c r="R253" i="9" s="1"/>
  <c r="R235" i="9" s="1"/>
  <c r="R234" i="9" s="1"/>
  <c r="R190" i="9" s="1"/>
  <c r="R147" i="9" s="1"/>
  <c r="R146" i="9" s="1"/>
  <c r="S271" i="9" l="1"/>
  <c r="S272" i="9"/>
  <c r="AW54" i="1"/>
  <c r="R50" i="9"/>
  <c r="CV99" i="1"/>
  <c r="CU99" i="1"/>
  <c r="CW99" i="1" s="1"/>
  <c r="CT99" i="1"/>
  <c r="CY99" i="1"/>
  <c r="CX99" i="1"/>
  <c r="CY84" i="1"/>
  <c r="CX84" i="1"/>
  <c r="CV84" i="1"/>
  <c r="CU84" i="1"/>
  <c r="CW84" i="1" s="1"/>
  <c r="CT84" i="1"/>
  <c r="CT93" i="1"/>
  <c r="CY93" i="1"/>
  <c r="CX93" i="1"/>
  <c r="CV93" i="1"/>
  <c r="CU93" i="1"/>
  <c r="CW93" i="1" s="1"/>
  <c r="CY87" i="1"/>
  <c r="CX87" i="1"/>
  <c r="CV87" i="1"/>
  <c r="CU87" i="1"/>
  <c r="CW87" i="1" s="1"/>
  <c r="CT87" i="1"/>
  <c r="CY98" i="1"/>
  <c r="CX98" i="1"/>
  <c r="CV98" i="1"/>
  <c r="CU98" i="1"/>
  <c r="CW98" i="1" s="1"/>
  <c r="CT98" i="1"/>
  <c r="CY103" i="1"/>
  <c r="CX103" i="1"/>
  <c r="CV103" i="1"/>
  <c r="CU103" i="1"/>
  <c r="CW103" i="1" s="1"/>
  <c r="CT103" i="1"/>
  <c r="CU88" i="1"/>
  <c r="CT88" i="1"/>
  <c r="CY88" i="1"/>
  <c r="CX88" i="1"/>
  <c r="CV88" i="1"/>
  <c r="CV107" i="1"/>
  <c r="CU107" i="1"/>
  <c r="CW107" i="1" s="1"/>
  <c r="CT107" i="1"/>
  <c r="CY107" i="1"/>
  <c r="CX107" i="1"/>
  <c r="CX126" i="1"/>
  <c r="CV126" i="1"/>
  <c r="CU126" i="1"/>
  <c r="CW126" i="1" s="1"/>
  <c r="CT126" i="1"/>
  <c r="CY126" i="1"/>
  <c r="CV83" i="1"/>
  <c r="CU83" i="1"/>
  <c r="CT83" i="1"/>
  <c r="CY83" i="1"/>
  <c r="CX83" i="1"/>
  <c r="S76" i="9"/>
  <c r="S77" i="9"/>
  <c r="R20" i="9"/>
  <c r="R19" i="9" s="1"/>
  <c r="S20" i="9"/>
  <c r="S19" i="9" s="1"/>
  <c r="CW83" i="1" l="1"/>
  <c r="CW88" i="1"/>
  <c r="S265" i="9"/>
  <c r="S261" i="9" s="1"/>
  <c r="S253" i="9" s="1"/>
  <c r="S235" i="9" s="1"/>
  <c r="S234" i="9" s="1"/>
  <c r="S190" i="9" s="1"/>
  <c r="AJ34" i="1"/>
  <c r="AJ36" i="1"/>
  <c r="AJ37" i="1"/>
  <c r="AJ41" i="1"/>
  <c r="AJ42" i="1"/>
  <c r="AJ46" i="1"/>
  <c r="AJ50" i="1"/>
  <c r="AJ51" i="1"/>
  <c r="AJ54" i="1"/>
  <c r="AF27" i="1"/>
  <c r="AF30" i="1"/>
  <c r="AF31" i="1"/>
  <c r="AF33" i="1"/>
  <c r="AF34" i="1"/>
  <c r="AF35" i="1"/>
  <c r="AF36" i="1"/>
  <c r="AF37" i="1"/>
  <c r="AF41" i="1"/>
  <c r="AF42" i="1"/>
  <c r="AF43" i="1"/>
  <c r="AF46" i="1"/>
  <c r="AF50" i="1"/>
  <c r="AF51" i="1"/>
  <c r="AF53" i="1"/>
  <c r="AF54" i="1"/>
  <c r="AF57" i="1"/>
  <c r="AF58" i="1"/>
  <c r="AF26" i="1"/>
  <c r="AF60" i="1"/>
  <c r="AF6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G84" i="1"/>
  <c r="AH84" i="1"/>
  <c r="AJ84" i="1"/>
  <c r="AK84" i="1"/>
  <c r="AG86" i="1"/>
  <c r="AH86" i="1"/>
  <c r="AG92" i="1"/>
  <c r="AH92" i="1"/>
  <c r="AJ92" i="1"/>
  <c r="AK92" i="1"/>
  <c r="AG97" i="1"/>
  <c r="AH97" i="1"/>
  <c r="AG104" i="1"/>
  <c r="AH104" i="1"/>
  <c r="AG106" i="1"/>
  <c r="AH106" i="1"/>
  <c r="AJ106" i="1"/>
  <c r="AK106" i="1"/>
  <c r="AG112" i="1"/>
  <c r="AH112" i="1"/>
  <c r="AJ112" i="1"/>
  <c r="AK112" i="1"/>
  <c r="AG113" i="1"/>
  <c r="AH113" i="1"/>
  <c r="AJ113" i="1"/>
  <c r="AK113" i="1"/>
  <c r="AG117" i="1"/>
  <c r="AH117" i="1"/>
  <c r="AG118" i="1"/>
  <c r="AH118" i="1"/>
  <c r="AJ118" i="1"/>
  <c r="AK118" i="1"/>
  <c r="AG119" i="1"/>
  <c r="AH119" i="1"/>
  <c r="AJ119" i="1"/>
  <c r="AK119" i="1"/>
  <c r="AG125" i="1"/>
  <c r="AH125" i="1"/>
  <c r="AJ125" i="1"/>
  <c r="AK125" i="1"/>
  <c r="AG63" i="1"/>
  <c r="AH63" i="1"/>
  <c r="AG69" i="1"/>
  <c r="AH69" i="1"/>
  <c r="AG71" i="1"/>
  <c r="AH71" i="1"/>
  <c r="AG75" i="1"/>
  <c r="AH75" i="1"/>
  <c r="AH60" i="1"/>
  <c r="AG60" i="1"/>
  <c r="AG27" i="1"/>
  <c r="AG30" i="1"/>
  <c r="AG33" i="1"/>
  <c r="AH33" i="1"/>
  <c r="AG34" i="1"/>
  <c r="AH34" i="1"/>
  <c r="AK34" i="1"/>
  <c r="AG35" i="1"/>
  <c r="AH35" i="1"/>
  <c r="AG36" i="1"/>
  <c r="AH36" i="1"/>
  <c r="AK36" i="1"/>
  <c r="AG37" i="1"/>
  <c r="AH37" i="1"/>
  <c r="AK37" i="1"/>
  <c r="AG41" i="1"/>
  <c r="AH41" i="1"/>
  <c r="AK41" i="1"/>
  <c r="AG42" i="1"/>
  <c r="AH42" i="1"/>
  <c r="AK42" i="1"/>
  <c r="AG43" i="1"/>
  <c r="AH43" i="1"/>
  <c r="AG46" i="1"/>
  <c r="AH46" i="1"/>
  <c r="AK46" i="1"/>
  <c r="AG50" i="1"/>
  <c r="AH50" i="1"/>
  <c r="AK50" i="1"/>
  <c r="AG51" i="1"/>
  <c r="AH51" i="1"/>
  <c r="AK51" i="1"/>
  <c r="AG53" i="1"/>
  <c r="AG54" i="1"/>
  <c r="AH54" i="1"/>
  <c r="AK54" i="1"/>
  <c r="AG57" i="1"/>
  <c r="AH57" i="1"/>
  <c r="AG58" i="1"/>
  <c r="AH58" i="1"/>
  <c r="AJ26" i="1"/>
  <c r="AH26" i="1"/>
  <c r="AG26" i="1"/>
  <c r="F29" i="7"/>
  <c r="H29" i="7"/>
  <c r="AG31" i="1" s="1"/>
  <c r="I29" i="7"/>
  <c r="AH31" i="1" s="1"/>
  <c r="J29" i="7"/>
  <c r="L29" i="7"/>
  <c r="M29" i="7"/>
  <c r="N29" i="7"/>
  <c r="O29" i="7"/>
  <c r="Q29" i="7"/>
  <c r="E29" i="7"/>
  <c r="F34" i="7"/>
  <c r="H34" i="7"/>
  <c r="I34" i="7"/>
  <c r="J34" i="7"/>
  <c r="L34" i="7"/>
  <c r="M34" i="7"/>
  <c r="N34" i="7"/>
  <c r="O34" i="7"/>
  <c r="Q34" i="7"/>
  <c r="E34" i="7"/>
  <c r="Q67" i="7"/>
  <c r="O67" i="7"/>
  <c r="N67" i="7"/>
  <c r="M67" i="7"/>
  <c r="L67" i="7"/>
  <c r="J67" i="7"/>
  <c r="F67" i="7"/>
  <c r="E67" i="7"/>
  <c r="D67" i="7"/>
  <c r="AF48" i="1" s="1"/>
  <c r="E74" i="7"/>
  <c r="F74" i="7"/>
  <c r="H74" i="7"/>
  <c r="I74" i="7"/>
  <c r="J74" i="7"/>
  <c r="L74" i="7"/>
  <c r="M74" i="7"/>
  <c r="N74" i="7"/>
  <c r="O74" i="7"/>
  <c r="Q74" i="7"/>
  <c r="D74" i="7"/>
  <c r="Q92" i="7"/>
  <c r="O92" i="7"/>
  <c r="N92" i="7"/>
  <c r="M92" i="7"/>
  <c r="L92" i="7"/>
  <c r="J92" i="7"/>
  <c r="I92" i="7"/>
  <c r="AH29" i="1" s="1"/>
  <c r="H92" i="7"/>
  <c r="AG29" i="1" s="1"/>
  <c r="F92" i="7"/>
  <c r="E92" i="7"/>
  <c r="D92" i="7"/>
  <c r="AF29" i="1" s="1"/>
  <c r="Q49" i="7"/>
  <c r="O49" i="7"/>
  <c r="N49" i="7"/>
  <c r="M49" i="7"/>
  <c r="L49" i="7"/>
  <c r="J49" i="7"/>
  <c r="I49" i="7"/>
  <c r="AH49" i="1" s="1"/>
  <c r="H49" i="7"/>
  <c r="AG49" i="1" s="1"/>
  <c r="F49" i="7"/>
  <c r="E49" i="7"/>
  <c r="D49" i="7"/>
  <c r="AF49" i="1" s="1"/>
  <c r="Q52" i="7"/>
  <c r="N52" i="7"/>
  <c r="L52" i="7"/>
  <c r="J52" i="7"/>
  <c r="I52" i="7"/>
  <c r="AH28" i="1" s="1"/>
  <c r="H52" i="7"/>
  <c r="F52" i="7"/>
  <c r="E52" i="7"/>
  <c r="D52" i="7"/>
  <c r="AF28" i="1" s="1"/>
  <c r="Q63" i="7"/>
  <c r="O63" i="7"/>
  <c r="N63" i="7"/>
  <c r="M63" i="7"/>
  <c r="L63" i="7"/>
  <c r="J63" i="7"/>
  <c r="I63" i="7"/>
  <c r="AH38" i="1" s="1"/>
  <c r="H63" i="7"/>
  <c r="AG38" i="1" s="1"/>
  <c r="F63" i="7"/>
  <c r="E63" i="7"/>
  <c r="D63" i="7"/>
  <c r="AF38" i="1" s="1"/>
  <c r="Q79" i="7"/>
  <c r="O79" i="7"/>
  <c r="N79" i="7"/>
  <c r="M79" i="7"/>
  <c r="L79" i="7"/>
  <c r="J79" i="7"/>
  <c r="I79" i="7"/>
  <c r="H79" i="7"/>
  <c r="F79" i="7"/>
  <c r="E79" i="7"/>
  <c r="D79" i="7"/>
  <c r="Q82" i="7"/>
  <c r="O82" i="7"/>
  <c r="N82" i="7"/>
  <c r="M82" i="7"/>
  <c r="L82" i="7"/>
  <c r="J82" i="7"/>
  <c r="H82" i="7"/>
  <c r="F82" i="7"/>
  <c r="E82" i="7"/>
  <c r="D82" i="7"/>
  <c r="Q85" i="7"/>
  <c r="O85" i="7"/>
  <c r="N85" i="7"/>
  <c r="M85" i="7"/>
  <c r="L85" i="7"/>
  <c r="J85" i="7"/>
  <c r="I85" i="7"/>
  <c r="AH59" i="1" s="1"/>
  <c r="H85" i="7"/>
  <c r="AG59" i="1" s="1"/>
  <c r="F85" i="7"/>
  <c r="E85" i="7"/>
  <c r="D85" i="7"/>
  <c r="AF59" i="1" s="1"/>
  <c r="Q98" i="7"/>
  <c r="O98" i="7"/>
  <c r="N98" i="7"/>
  <c r="M98" i="7"/>
  <c r="L98" i="7"/>
  <c r="J98" i="7"/>
  <c r="I98" i="7"/>
  <c r="H98" i="7"/>
  <c r="F98" i="7"/>
  <c r="E98" i="7"/>
  <c r="D98" i="7"/>
  <c r="Q101" i="7"/>
  <c r="O101" i="7"/>
  <c r="N101" i="7"/>
  <c r="M101" i="7"/>
  <c r="L101" i="7"/>
  <c r="J101" i="7"/>
  <c r="I101" i="7"/>
  <c r="AH55" i="1" s="1"/>
  <c r="H101" i="7"/>
  <c r="AG55" i="1" s="1"/>
  <c r="F101" i="7"/>
  <c r="E101" i="7"/>
  <c r="D101" i="7"/>
  <c r="AF55" i="1" s="1"/>
  <c r="Q108" i="7"/>
  <c r="O108" i="7"/>
  <c r="N108" i="7"/>
  <c r="M108" i="7"/>
  <c r="L108" i="7"/>
  <c r="J108" i="7"/>
  <c r="H108" i="7"/>
  <c r="AG52" i="1" s="1"/>
  <c r="F108" i="7"/>
  <c r="E108" i="7"/>
  <c r="D108" i="7"/>
  <c r="AF52" i="1" s="1"/>
  <c r="Q119" i="7"/>
  <c r="O119" i="7"/>
  <c r="N119" i="7"/>
  <c r="M119" i="7"/>
  <c r="L119" i="7"/>
  <c r="J119" i="7"/>
  <c r="I119" i="7"/>
  <c r="AH32" i="1" s="1"/>
  <c r="H119" i="7"/>
  <c r="AG32" i="1" s="1"/>
  <c r="F119" i="7"/>
  <c r="E119" i="7"/>
  <c r="D119" i="7"/>
  <c r="AF32" i="1" s="1"/>
  <c r="Q41" i="7"/>
  <c r="O41" i="7"/>
  <c r="N41" i="7"/>
  <c r="M41" i="7"/>
  <c r="L41" i="7"/>
  <c r="J41" i="7"/>
  <c r="I41" i="7"/>
  <c r="AH45" i="1" s="1"/>
  <c r="H41" i="7"/>
  <c r="AG45" i="1" s="1"/>
  <c r="F41" i="7"/>
  <c r="E41" i="7"/>
  <c r="D41" i="7"/>
  <c r="AF45" i="1" s="1"/>
  <c r="Q45" i="7"/>
  <c r="O45" i="7"/>
  <c r="N45" i="7"/>
  <c r="M45" i="7"/>
  <c r="L45" i="7"/>
  <c r="J45" i="7"/>
  <c r="H45" i="7"/>
  <c r="AG47" i="1" s="1"/>
  <c r="F45" i="7"/>
  <c r="E45" i="7"/>
  <c r="D45" i="7"/>
  <c r="AF47" i="1" s="1"/>
  <c r="Q55" i="7"/>
  <c r="N55" i="7"/>
  <c r="L55" i="7"/>
  <c r="J55" i="7"/>
  <c r="I55" i="7"/>
  <c r="H55" i="7"/>
  <c r="F55" i="7"/>
  <c r="E55" i="7"/>
  <c r="D55" i="7"/>
  <c r="Q59" i="7"/>
  <c r="O59" i="7"/>
  <c r="N59" i="7"/>
  <c r="M59" i="7"/>
  <c r="L59" i="7"/>
  <c r="J59" i="7"/>
  <c r="I59" i="7"/>
  <c r="AH56" i="1" s="1"/>
  <c r="H59" i="7"/>
  <c r="AG56" i="1" s="1"/>
  <c r="F59" i="7"/>
  <c r="E59" i="7"/>
  <c r="D59" i="7"/>
  <c r="AF56" i="1" s="1"/>
  <c r="Q88" i="7"/>
  <c r="O88" i="7"/>
  <c r="N88" i="7"/>
  <c r="M88" i="7"/>
  <c r="L88" i="7"/>
  <c r="J88" i="7"/>
  <c r="I88" i="7"/>
  <c r="AH39" i="1" s="1"/>
  <c r="H88" i="7"/>
  <c r="AG39" i="1" s="1"/>
  <c r="F88" i="7"/>
  <c r="E88" i="7"/>
  <c r="D88" i="7"/>
  <c r="AF39" i="1" s="1"/>
  <c r="Q104" i="7"/>
  <c r="O104" i="7"/>
  <c r="N104" i="7"/>
  <c r="M104" i="7"/>
  <c r="L104" i="7"/>
  <c r="J104" i="7"/>
  <c r="H104" i="7"/>
  <c r="AG44" i="1" s="1"/>
  <c r="F104" i="7"/>
  <c r="E104" i="7"/>
  <c r="D104" i="7"/>
  <c r="AF44" i="1" s="1"/>
  <c r="Q111" i="7"/>
  <c r="O111" i="7"/>
  <c r="N111" i="7"/>
  <c r="M111" i="7"/>
  <c r="L111" i="7"/>
  <c r="J111" i="7"/>
  <c r="I111" i="7"/>
  <c r="H111" i="7"/>
  <c r="F111" i="7"/>
  <c r="E111" i="7"/>
  <c r="D111" i="7"/>
  <c r="Q115" i="7"/>
  <c r="O115" i="7"/>
  <c r="N115" i="7"/>
  <c r="M115" i="7"/>
  <c r="L115" i="7"/>
  <c r="J115" i="7"/>
  <c r="I115" i="7"/>
  <c r="AH40" i="1" s="1"/>
  <c r="H115" i="7"/>
  <c r="AG40" i="1" s="1"/>
  <c r="F115" i="7"/>
  <c r="E115" i="7"/>
  <c r="D115" i="7"/>
  <c r="AF40" i="1" s="1"/>
  <c r="Q123" i="7"/>
  <c r="O123" i="7"/>
  <c r="N123" i="7"/>
  <c r="M123" i="7"/>
  <c r="L123" i="7"/>
  <c r="J123" i="7"/>
  <c r="H123" i="7"/>
  <c r="F123" i="7"/>
  <c r="E123" i="7"/>
  <c r="D123" i="7"/>
  <c r="E130" i="7"/>
  <c r="F130" i="7"/>
  <c r="H130" i="7"/>
  <c r="AG62" i="1" s="1"/>
  <c r="I130" i="7"/>
  <c r="AH62" i="1" s="1"/>
  <c r="J130" i="7"/>
  <c r="L130" i="7"/>
  <c r="M130" i="7"/>
  <c r="N130" i="7"/>
  <c r="O130" i="7"/>
  <c r="Q130" i="7"/>
  <c r="F135" i="7"/>
  <c r="H135" i="7"/>
  <c r="AG74" i="1" s="1"/>
  <c r="I135" i="7"/>
  <c r="AH74" i="1" s="1"/>
  <c r="J135" i="7"/>
  <c r="L135" i="7"/>
  <c r="N135" i="7"/>
  <c r="Q135" i="7"/>
  <c r="E135" i="7"/>
  <c r="Q139" i="7"/>
  <c r="O139" i="7"/>
  <c r="N139" i="7"/>
  <c r="M139" i="7"/>
  <c r="L139" i="7"/>
  <c r="J139" i="7"/>
  <c r="I139" i="7"/>
  <c r="AH77" i="1" s="1"/>
  <c r="H139" i="7"/>
  <c r="AG77" i="1" s="1"/>
  <c r="F139" i="7"/>
  <c r="E139" i="7"/>
  <c r="D139" i="7"/>
  <c r="AF77" i="1" s="1"/>
  <c r="Q142" i="7"/>
  <c r="O142" i="7"/>
  <c r="N142" i="7"/>
  <c r="M142" i="7"/>
  <c r="L142" i="7"/>
  <c r="J142" i="7"/>
  <c r="I142" i="7"/>
  <c r="AH64" i="1" s="1"/>
  <c r="H142" i="7"/>
  <c r="AG64" i="1" s="1"/>
  <c r="F142" i="7"/>
  <c r="E142" i="7"/>
  <c r="D142" i="7"/>
  <c r="AF64" i="1" s="1"/>
  <c r="Q146" i="7"/>
  <c r="O146" i="7"/>
  <c r="N146" i="7"/>
  <c r="M146" i="7"/>
  <c r="L146" i="7"/>
  <c r="J146" i="7"/>
  <c r="I146" i="7"/>
  <c r="AH65" i="1" s="1"/>
  <c r="H146" i="7"/>
  <c r="AG65" i="1" s="1"/>
  <c r="F146" i="7"/>
  <c r="E146" i="7"/>
  <c r="D146" i="7"/>
  <c r="AF65" i="1" s="1"/>
  <c r="E149" i="7"/>
  <c r="F149" i="7"/>
  <c r="H149" i="7"/>
  <c r="AG70" i="1" s="1"/>
  <c r="I149" i="7"/>
  <c r="AH70" i="1" s="1"/>
  <c r="J149" i="7"/>
  <c r="L149" i="7"/>
  <c r="M149" i="7"/>
  <c r="N149" i="7"/>
  <c r="O149" i="7"/>
  <c r="Q149" i="7"/>
  <c r="D149" i="7"/>
  <c r="AF70" i="1" s="1"/>
  <c r="Q153" i="7"/>
  <c r="O153" i="7"/>
  <c r="N153" i="7"/>
  <c r="M153" i="7"/>
  <c r="L153" i="7"/>
  <c r="J153" i="7"/>
  <c r="I153" i="7"/>
  <c r="AH78" i="1" s="1"/>
  <c r="H153" i="7"/>
  <c r="AG78" i="1" s="1"/>
  <c r="F153" i="7"/>
  <c r="E153" i="7"/>
  <c r="D153" i="7"/>
  <c r="AF78" i="1" s="1"/>
  <c r="E158" i="7"/>
  <c r="F158" i="7"/>
  <c r="H158" i="7"/>
  <c r="AG76" i="1" s="1"/>
  <c r="I158" i="7"/>
  <c r="AH76" i="1" s="1"/>
  <c r="J158" i="7"/>
  <c r="L158" i="7"/>
  <c r="M158" i="7"/>
  <c r="N158" i="7"/>
  <c r="O158" i="7"/>
  <c r="Q158" i="7"/>
  <c r="E162" i="7"/>
  <c r="F162" i="7"/>
  <c r="H162" i="7"/>
  <c r="J162" i="7"/>
  <c r="L162" i="7"/>
  <c r="M162" i="7"/>
  <c r="N162" i="7"/>
  <c r="O162" i="7"/>
  <c r="Q162" i="7"/>
  <c r="E165" i="7"/>
  <c r="F165" i="7"/>
  <c r="H165" i="7"/>
  <c r="AG68" i="1" s="1"/>
  <c r="I165" i="7"/>
  <c r="AH68" i="1" s="1"/>
  <c r="J165" i="7"/>
  <c r="L165" i="7"/>
  <c r="M165" i="7"/>
  <c r="N165" i="7"/>
  <c r="O165" i="7"/>
  <c r="Q165" i="7"/>
  <c r="E170" i="7"/>
  <c r="F170" i="7"/>
  <c r="H170" i="7"/>
  <c r="AG66" i="1" s="1"/>
  <c r="I170" i="7"/>
  <c r="AH66" i="1" s="1"/>
  <c r="J170" i="7"/>
  <c r="L170" i="7"/>
  <c r="N170" i="7"/>
  <c r="Q170" i="7"/>
  <c r="Q174" i="7"/>
  <c r="O174" i="7"/>
  <c r="N174" i="7"/>
  <c r="M174" i="7"/>
  <c r="L174" i="7"/>
  <c r="J174" i="7"/>
  <c r="I174" i="7"/>
  <c r="AH79" i="1" s="1"/>
  <c r="H174" i="7"/>
  <c r="AG79" i="1" s="1"/>
  <c r="F174" i="7"/>
  <c r="E174" i="7"/>
  <c r="Q178" i="7"/>
  <c r="O178" i="7"/>
  <c r="N178" i="7"/>
  <c r="M178" i="7"/>
  <c r="L178" i="7"/>
  <c r="J178" i="7"/>
  <c r="H178" i="7"/>
  <c r="AG67" i="1" s="1"/>
  <c r="F178" i="7"/>
  <c r="E178" i="7"/>
  <c r="D178" i="7"/>
  <c r="AF67" i="1" s="1"/>
  <c r="E181" i="7"/>
  <c r="F181" i="7"/>
  <c r="H181" i="7"/>
  <c r="AG73" i="1" s="1"/>
  <c r="I181" i="7"/>
  <c r="AH73" i="1" s="1"/>
  <c r="J181" i="7"/>
  <c r="L181" i="7"/>
  <c r="M181" i="7"/>
  <c r="N181" i="7"/>
  <c r="O181" i="7"/>
  <c r="Q181" i="7"/>
  <c r="D181" i="7"/>
  <c r="AF73" i="1" s="1"/>
  <c r="E184" i="7"/>
  <c r="F184" i="7"/>
  <c r="H184" i="7"/>
  <c r="AG61" i="1" s="1"/>
  <c r="I184" i="7"/>
  <c r="AH61" i="1" s="1"/>
  <c r="J184" i="7"/>
  <c r="L184" i="7"/>
  <c r="M184" i="7"/>
  <c r="N184" i="7"/>
  <c r="O184" i="7"/>
  <c r="Q184" i="7"/>
  <c r="D184" i="7"/>
  <c r="AF61" i="1" s="1"/>
  <c r="F194" i="7"/>
  <c r="H194" i="7"/>
  <c r="AG80" i="1" s="1"/>
  <c r="I194" i="7"/>
  <c r="AH80" i="1" s="1"/>
  <c r="J194" i="7"/>
  <c r="L194" i="7"/>
  <c r="M194" i="7"/>
  <c r="N194" i="7"/>
  <c r="O194" i="7"/>
  <c r="Q194" i="7"/>
  <c r="E194" i="7"/>
  <c r="Q191" i="7"/>
  <c r="N191" i="7"/>
  <c r="M191" i="7"/>
  <c r="L191" i="7"/>
  <c r="J191" i="7"/>
  <c r="I191" i="7"/>
  <c r="AH82" i="1" s="1"/>
  <c r="H191" i="7"/>
  <c r="AG82" i="1" s="1"/>
  <c r="F191" i="7"/>
  <c r="E191" i="7"/>
  <c r="Q198" i="7"/>
  <c r="O198" i="7"/>
  <c r="N198" i="7"/>
  <c r="M198" i="7"/>
  <c r="L198" i="7"/>
  <c r="J198" i="7"/>
  <c r="I198" i="7"/>
  <c r="H198" i="7"/>
  <c r="F198" i="7"/>
  <c r="E198" i="7"/>
  <c r="F201" i="7"/>
  <c r="H201" i="7"/>
  <c r="AG103" i="1" s="1"/>
  <c r="I201" i="7"/>
  <c r="AH103" i="1" s="1"/>
  <c r="J201" i="7"/>
  <c r="L201" i="7"/>
  <c r="M201" i="7"/>
  <c r="N201" i="7"/>
  <c r="O201" i="7"/>
  <c r="Q201" i="7"/>
  <c r="E201" i="7"/>
  <c r="F204" i="7"/>
  <c r="H204" i="7"/>
  <c r="AG98" i="1" s="1"/>
  <c r="I204" i="7"/>
  <c r="AH98" i="1" s="1"/>
  <c r="J204" i="7"/>
  <c r="L204" i="7"/>
  <c r="M204" i="7"/>
  <c r="N204" i="7"/>
  <c r="Q204" i="7"/>
  <c r="E204" i="7"/>
  <c r="F210" i="7"/>
  <c r="H210" i="7"/>
  <c r="AG95" i="1" s="1"/>
  <c r="I210" i="7"/>
  <c r="AH95" i="1" s="1"/>
  <c r="J210" i="7"/>
  <c r="L210" i="7"/>
  <c r="M210" i="7"/>
  <c r="N210" i="7"/>
  <c r="Q210" i="7"/>
  <c r="E210" i="7"/>
  <c r="F215" i="7"/>
  <c r="H215" i="7"/>
  <c r="AG87" i="1" s="1"/>
  <c r="I215" i="7"/>
  <c r="AH87" i="1" s="1"/>
  <c r="J215" i="7"/>
  <c r="L215" i="7"/>
  <c r="M215" i="7"/>
  <c r="N215" i="7"/>
  <c r="O215" i="7"/>
  <c r="Q215" i="7"/>
  <c r="E215" i="7"/>
  <c r="F218" i="7"/>
  <c r="H218" i="7"/>
  <c r="AG93" i="1" s="1"/>
  <c r="I218" i="7"/>
  <c r="AH93" i="1" s="1"/>
  <c r="J218" i="7"/>
  <c r="L218" i="7"/>
  <c r="M218" i="7"/>
  <c r="N218" i="7"/>
  <c r="O218" i="7"/>
  <c r="Q218" i="7"/>
  <c r="E218" i="7"/>
  <c r="F221" i="7"/>
  <c r="H221" i="7"/>
  <c r="AG99" i="1" s="1"/>
  <c r="I221" i="7"/>
  <c r="AH99" i="1" s="1"/>
  <c r="J221" i="7"/>
  <c r="L221" i="7"/>
  <c r="M221" i="7"/>
  <c r="N221" i="7"/>
  <c r="Q221" i="7"/>
  <c r="E221" i="7"/>
  <c r="F228" i="7"/>
  <c r="H228" i="7"/>
  <c r="AG122" i="1" s="1"/>
  <c r="I228" i="7"/>
  <c r="AH122" i="1" s="1"/>
  <c r="J228" i="7"/>
  <c r="L228" i="7"/>
  <c r="M228" i="7"/>
  <c r="N228" i="7"/>
  <c r="O228" i="7"/>
  <c r="Q228" i="7"/>
  <c r="E228" i="7"/>
  <c r="F232" i="7"/>
  <c r="H232" i="7"/>
  <c r="AG81" i="1" s="1"/>
  <c r="I232" i="7"/>
  <c r="AH81" i="1" s="1"/>
  <c r="J232" i="7"/>
  <c r="L232" i="7"/>
  <c r="M232" i="7"/>
  <c r="N232" i="7"/>
  <c r="Q232" i="7"/>
  <c r="E232" i="7"/>
  <c r="F239" i="7"/>
  <c r="H239" i="7"/>
  <c r="AG88" i="1" s="1"/>
  <c r="I239" i="7"/>
  <c r="AH88" i="1" s="1"/>
  <c r="J239" i="7"/>
  <c r="L239" i="7"/>
  <c r="M239" i="7"/>
  <c r="N239" i="7"/>
  <c r="O239" i="7"/>
  <c r="Q239" i="7"/>
  <c r="E239" i="7"/>
  <c r="F243" i="7"/>
  <c r="H243" i="7"/>
  <c r="AG94" i="1" s="1"/>
  <c r="I243" i="7"/>
  <c r="AH94" i="1" s="1"/>
  <c r="J243" i="7"/>
  <c r="L243" i="7"/>
  <c r="M243" i="7"/>
  <c r="N243" i="7"/>
  <c r="Q243" i="7"/>
  <c r="E243" i="7"/>
  <c r="F247" i="7"/>
  <c r="H247" i="7"/>
  <c r="AG100" i="1" s="1"/>
  <c r="I247" i="7"/>
  <c r="AH100" i="1" s="1"/>
  <c r="J247" i="7"/>
  <c r="L247" i="7"/>
  <c r="M247" i="7"/>
  <c r="N247" i="7"/>
  <c r="O247" i="7"/>
  <c r="Q247" i="7"/>
  <c r="E247" i="7"/>
  <c r="F250" i="7"/>
  <c r="H250" i="7"/>
  <c r="AG102" i="1" s="1"/>
  <c r="I250" i="7"/>
  <c r="AH102" i="1" s="1"/>
  <c r="J250" i="7"/>
  <c r="L250" i="7"/>
  <c r="M250" i="7"/>
  <c r="N250" i="7"/>
  <c r="Q250" i="7"/>
  <c r="E250" i="7"/>
  <c r="F257" i="7"/>
  <c r="H257" i="7"/>
  <c r="AG107" i="1" s="1"/>
  <c r="I257" i="7"/>
  <c r="AH107" i="1" s="1"/>
  <c r="J257" i="7"/>
  <c r="L257" i="7"/>
  <c r="M257" i="7"/>
  <c r="N257" i="7"/>
  <c r="Q257" i="7"/>
  <c r="E257" i="7"/>
  <c r="F269" i="7"/>
  <c r="H269" i="7"/>
  <c r="AG96" i="1" s="1"/>
  <c r="I269" i="7"/>
  <c r="AH96" i="1" s="1"/>
  <c r="J269" i="7"/>
  <c r="L269" i="7"/>
  <c r="M269" i="7"/>
  <c r="N269" i="7"/>
  <c r="Q269" i="7"/>
  <c r="E269" i="7"/>
  <c r="F274" i="7"/>
  <c r="H274" i="7"/>
  <c r="AG108" i="1" s="1"/>
  <c r="I274" i="7"/>
  <c r="AH108" i="1" s="1"/>
  <c r="J274" i="7"/>
  <c r="L274" i="7"/>
  <c r="M274" i="7"/>
  <c r="N274" i="7"/>
  <c r="O274" i="7"/>
  <c r="Q274" i="7"/>
  <c r="E274" i="7"/>
  <c r="F279" i="7"/>
  <c r="H279" i="7"/>
  <c r="I279" i="7"/>
  <c r="J279" i="7"/>
  <c r="L279" i="7"/>
  <c r="M279" i="7"/>
  <c r="N279" i="7"/>
  <c r="Q279" i="7"/>
  <c r="E279" i="7"/>
  <c r="F285" i="7"/>
  <c r="H285" i="7"/>
  <c r="AG90" i="1" s="1"/>
  <c r="I285" i="7"/>
  <c r="AH90" i="1" s="1"/>
  <c r="J285" i="7"/>
  <c r="L285" i="7"/>
  <c r="M285" i="7"/>
  <c r="N285" i="7"/>
  <c r="Q285" i="7"/>
  <c r="E285" i="7"/>
  <c r="E292" i="7"/>
  <c r="F297" i="7"/>
  <c r="H297" i="7"/>
  <c r="I297" i="7"/>
  <c r="J297" i="7"/>
  <c r="L297" i="7"/>
  <c r="M297" i="7"/>
  <c r="N297" i="7"/>
  <c r="O297" i="7"/>
  <c r="Q297" i="7"/>
  <c r="E297" i="7"/>
  <c r="F301" i="7"/>
  <c r="H301" i="7"/>
  <c r="AG105" i="1" s="1"/>
  <c r="I301" i="7"/>
  <c r="AH105" i="1" s="1"/>
  <c r="J301" i="7"/>
  <c r="L301" i="7"/>
  <c r="M301" i="7"/>
  <c r="N301" i="7"/>
  <c r="O301" i="7"/>
  <c r="Q301" i="7"/>
  <c r="E301" i="7"/>
  <c r="F305" i="7"/>
  <c r="H305" i="7"/>
  <c r="AG114" i="1" s="1"/>
  <c r="I305" i="7"/>
  <c r="AH114" i="1" s="1"/>
  <c r="J305" i="7"/>
  <c r="L305" i="7"/>
  <c r="M305" i="7"/>
  <c r="N305" i="7"/>
  <c r="O305" i="7"/>
  <c r="Q305" i="7"/>
  <c r="E305" i="7"/>
  <c r="Q312" i="7"/>
  <c r="O312" i="7"/>
  <c r="N312" i="7"/>
  <c r="M312" i="7"/>
  <c r="L312" i="7"/>
  <c r="K312" i="7"/>
  <c r="J312" i="7"/>
  <c r="I312" i="7"/>
  <c r="AH83" i="1" s="1"/>
  <c r="H312" i="7"/>
  <c r="AG83" i="1" s="1"/>
  <c r="F312" i="7"/>
  <c r="E312" i="7"/>
  <c r="F315" i="7"/>
  <c r="H315" i="7"/>
  <c r="AG89" i="1" s="1"/>
  <c r="I315" i="7"/>
  <c r="AH89" i="1" s="1"/>
  <c r="J315" i="7"/>
  <c r="L315" i="7"/>
  <c r="M315" i="7"/>
  <c r="N315" i="7"/>
  <c r="O315" i="7"/>
  <c r="Q315" i="7"/>
  <c r="E315" i="7"/>
  <c r="F318" i="7"/>
  <c r="H318" i="7"/>
  <c r="AG91" i="1" s="1"/>
  <c r="I318" i="7"/>
  <c r="AH91" i="1" s="1"/>
  <c r="J318" i="7"/>
  <c r="L318" i="7"/>
  <c r="M318" i="7"/>
  <c r="N318" i="7"/>
  <c r="O318" i="7"/>
  <c r="Q318" i="7"/>
  <c r="E318" i="7"/>
  <c r="F321" i="7"/>
  <c r="H321" i="7"/>
  <c r="AG101" i="1" s="1"/>
  <c r="I321" i="7"/>
  <c r="AH101" i="1" s="1"/>
  <c r="J321" i="7"/>
  <c r="L321" i="7"/>
  <c r="M321" i="7"/>
  <c r="N321" i="7"/>
  <c r="O321" i="7"/>
  <c r="Q321" i="7"/>
  <c r="E321" i="7"/>
  <c r="F325" i="7"/>
  <c r="H325" i="7"/>
  <c r="AG110" i="1" s="1"/>
  <c r="I325" i="7"/>
  <c r="AH110" i="1" s="1"/>
  <c r="J325" i="7"/>
  <c r="L325" i="7"/>
  <c r="M325" i="7"/>
  <c r="N325" i="7"/>
  <c r="Q325" i="7"/>
  <c r="E325" i="7"/>
  <c r="F332" i="7"/>
  <c r="H332" i="7"/>
  <c r="AG127" i="1" s="1"/>
  <c r="I332" i="7"/>
  <c r="AH127" i="1" s="1"/>
  <c r="J332" i="7"/>
  <c r="L332" i="7"/>
  <c r="M332" i="7"/>
  <c r="N332" i="7"/>
  <c r="O332" i="7"/>
  <c r="Q332" i="7"/>
  <c r="E332" i="7"/>
  <c r="F335" i="7"/>
  <c r="H335" i="7"/>
  <c r="AG126" i="1" s="1"/>
  <c r="I335" i="7"/>
  <c r="AH126" i="1" s="1"/>
  <c r="J335" i="7"/>
  <c r="L335" i="7"/>
  <c r="M335" i="7"/>
  <c r="N335" i="7"/>
  <c r="Q335" i="7"/>
  <c r="E335" i="7"/>
  <c r="F344" i="7"/>
  <c r="H344" i="7"/>
  <c r="AG121" i="1" s="1"/>
  <c r="I344" i="7"/>
  <c r="AH121" i="1" s="1"/>
  <c r="J344" i="7"/>
  <c r="L344" i="7"/>
  <c r="M344" i="7"/>
  <c r="N344" i="7"/>
  <c r="O344" i="7"/>
  <c r="Q344" i="7"/>
  <c r="E344" i="7"/>
  <c r="F347" i="7"/>
  <c r="H347" i="7"/>
  <c r="AG120" i="1" s="1"/>
  <c r="I347" i="7"/>
  <c r="AH120" i="1" s="1"/>
  <c r="J347" i="7"/>
  <c r="L347" i="7"/>
  <c r="M347" i="7"/>
  <c r="N347" i="7"/>
  <c r="O347" i="7"/>
  <c r="Q347" i="7"/>
  <c r="E347" i="7"/>
  <c r="F353" i="7"/>
  <c r="H353" i="7"/>
  <c r="AG111" i="1" s="1"/>
  <c r="I353" i="7"/>
  <c r="AH111" i="1" s="1"/>
  <c r="J353" i="7"/>
  <c r="L353" i="7"/>
  <c r="M353" i="7"/>
  <c r="N353" i="7"/>
  <c r="O353" i="7"/>
  <c r="Q353" i="7"/>
  <c r="E353" i="7"/>
  <c r="F357" i="7"/>
  <c r="H357" i="7"/>
  <c r="AG124" i="1" s="1"/>
  <c r="I357" i="7"/>
  <c r="AH124" i="1" s="1"/>
  <c r="J357" i="7"/>
  <c r="L357" i="7"/>
  <c r="M357" i="7"/>
  <c r="N357" i="7"/>
  <c r="O357" i="7"/>
  <c r="Q357" i="7"/>
  <c r="E357" i="7"/>
  <c r="F361" i="7"/>
  <c r="H361" i="7"/>
  <c r="AG123" i="1" s="1"/>
  <c r="I361" i="7"/>
  <c r="AH123" i="1" s="1"/>
  <c r="J361" i="7"/>
  <c r="L361" i="7"/>
  <c r="M361" i="7"/>
  <c r="N361" i="7"/>
  <c r="Q361" i="7"/>
  <c r="E361" i="7"/>
  <c r="F371" i="7"/>
  <c r="H371" i="7"/>
  <c r="I371" i="7"/>
  <c r="J371" i="7"/>
  <c r="L371" i="7"/>
  <c r="M371" i="7"/>
  <c r="N371" i="7"/>
  <c r="O371" i="7"/>
  <c r="Q371" i="7"/>
  <c r="E371" i="7"/>
  <c r="F375" i="7"/>
  <c r="H375" i="7"/>
  <c r="AG85" i="1" s="1"/>
  <c r="I375" i="7"/>
  <c r="AH85" i="1" s="1"/>
  <c r="J375" i="7"/>
  <c r="L375" i="7"/>
  <c r="M375" i="7"/>
  <c r="N375" i="7"/>
  <c r="Q375" i="7"/>
  <c r="E375" i="7"/>
  <c r="F380" i="7"/>
  <c r="H380" i="7"/>
  <c r="AG115" i="1" s="1"/>
  <c r="I380" i="7"/>
  <c r="AH115" i="1" s="1"/>
  <c r="J380" i="7"/>
  <c r="L380" i="7"/>
  <c r="M380" i="7"/>
  <c r="N380" i="7"/>
  <c r="Q380" i="7"/>
  <c r="E380" i="7"/>
  <c r="F389" i="7"/>
  <c r="H389" i="7"/>
  <c r="AG109" i="1" s="1"/>
  <c r="I389" i="7"/>
  <c r="AH109" i="1" s="1"/>
  <c r="J389" i="7"/>
  <c r="L389" i="7"/>
  <c r="M389" i="7"/>
  <c r="N389" i="7"/>
  <c r="Q389" i="7"/>
  <c r="E389" i="7"/>
  <c r="F396" i="7"/>
  <c r="H396" i="7"/>
  <c r="AG116" i="1" s="1"/>
  <c r="I396" i="7"/>
  <c r="AH116" i="1" s="1"/>
  <c r="J396" i="7"/>
  <c r="L396" i="7"/>
  <c r="M396" i="7"/>
  <c r="N396" i="7"/>
  <c r="Q396" i="7"/>
  <c r="E396" i="7"/>
  <c r="Z81" i="1"/>
  <c r="AA81" i="1"/>
  <c r="AB81" i="1"/>
  <c r="AD81" i="1"/>
  <c r="AE81" i="1"/>
  <c r="Z83" i="1"/>
  <c r="AA83" i="1"/>
  <c r="AB83" i="1"/>
  <c r="AD83" i="1"/>
  <c r="AE83" i="1"/>
  <c r="Z84" i="1"/>
  <c r="AA84" i="1"/>
  <c r="AB84" i="1"/>
  <c r="AD84" i="1"/>
  <c r="AE84" i="1"/>
  <c r="Z85" i="1"/>
  <c r="AA85" i="1"/>
  <c r="AB85" i="1"/>
  <c r="AD85" i="1"/>
  <c r="AE85" i="1"/>
  <c r="Z86" i="1"/>
  <c r="AA86" i="1"/>
  <c r="AB86" i="1"/>
  <c r="AD86" i="1"/>
  <c r="AE86" i="1"/>
  <c r="Z87" i="1"/>
  <c r="AA87" i="1"/>
  <c r="AB87" i="1"/>
  <c r="AD87" i="1"/>
  <c r="AE87" i="1"/>
  <c r="Z88" i="1"/>
  <c r="AA88" i="1"/>
  <c r="AB88" i="1"/>
  <c r="AD88" i="1"/>
  <c r="Z89" i="1"/>
  <c r="AA89" i="1"/>
  <c r="AB89" i="1"/>
  <c r="AD89" i="1"/>
  <c r="Z90" i="1"/>
  <c r="AA90" i="1"/>
  <c r="AB90" i="1"/>
  <c r="AD90" i="1"/>
  <c r="AE90" i="1"/>
  <c r="Z91" i="1"/>
  <c r="AA91" i="1"/>
  <c r="AB91" i="1"/>
  <c r="AD91" i="1"/>
  <c r="Z92" i="1"/>
  <c r="AA92" i="1"/>
  <c r="AB92" i="1"/>
  <c r="AD92" i="1"/>
  <c r="AE92" i="1"/>
  <c r="Z93" i="1"/>
  <c r="AA93" i="1"/>
  <c r="AB93" i="1"/>
  <c r="AD93" i="1"/>
  <c r="AE93" i="1"/>
  <c r="Z94" i="1"/>
  <c r="AA94" i="1"/>
  <c r="AB94" i="1"/>
  <c r="AD94" i="1"/>
  <c r="Z95" i="1"/>
  <c r="AA95" i="1"/>
  <c r="AB95" i="1"/>
  <c r="AD95" i="1"/>
  <c r="AE95" i="1"/>
  <c r="Z96" i="1"/>
  <c r="AA96" i="1"/>
  <c r="AB96" i="1"/>
  <c r="AD96" i="1"/>
  <c r="AE96" i="1"/>
  <c r="Z82" i="1"/>
  <c r="AA82" i="1"/>
  <c r="AB82" i="1"/>
  <c r="AD82" i="1"/>
  <c r="Z126" i="1"/>
  <c r="AA126" i="1"/>
  <c r="AB126" i="1"/>
  <c r="AD126" i="1"/>
  <c r="Z97" i="1"/>
  <c r="AA97" i="1"/>
  <c r="AB97" i="1"/>
  <c r="AD97" i="1"/>
  <c r="AE97" i="1"/>
  <c r="Z98" i="1"/>
  <c r="AA98" i="1"/>
  <c r="AB98" i="1"/>
  <c r="AD98" i="1"/>
  <c r="AE98" i="1"/>
  <c r="Z99" i="1"/>
  <c r="AA99" i="1"/>
  <c r="AB99" i="1"/>
  <c r="AD99" i="1"/>
  <c r="AE99" i="1"/>
  <c r="Z100" i="1"/>
  <c r="AA100" i="1"/>
  <c r="AB100" i="1"/>
  <c r="AD100" i="1"/>
  <c r="Z101" i="1"/>
  <c r="AA101" i="1"/>
  <c r="AB101" i="1"/>
  <c r="AD101" i="1"/>
  <c r="Z102" i="1"/>
  <c r="AA102" i="1"/>
  <c r="AB102" i="1"/>
  <c r="AD102" i="1"/>
  <c r="Z103" i="1"/>
  <c r="AA103" i="1"/>
  <c r="AB103" i="1"/>
  <c r="AD103" i="1"/>
  <c r="AE103" i="1"/>
  <c r="Z104" i="1"/>
  <c r="AA104" i="1"/>
  <c r="AB104" i="1"/>
  <c r="AD104" i="1"/>
  <c r="AE104" i="1"/>
  <c r="Z105" i="1"/>
  <c r="AA105" i="1"/>
  <c r="AB105" i="1"/>
  <c r="AD105" i="1"/>
  <c r="AE105" i="1"/>
  <c r="Z106" i="1"/>
  <c r="AA106" i="1"/>
  <c r="AB106" i="1"/>
  <c r="AD106" i="1"/>
  <c r="Z107" i="1"/>
  <c r="AA107" i="1"/>
  <c r="AB107" i="1"/>
  <c r="AD107" i="1"/>
  <c r="AE107" i="1"/>
  <c r="Z108" i="1"/>
  <c r="AA108" i="1"/>
  <c r="AB108" i="1"/>
  <c r="AD108" i="1"/>
  <c r="AE108" i="1"/>
  <c r="Z109" i="1"/>
  <c r="AA109" i="1"/>
  <c r="AB109" i="1"/>
  <c r="AD109" i="1"/>
  <c r="Z110" i="1"/>
  <c r="AA110" i="1"/>
  <c r="AB110" i="1"/>
  <c r="AD110" i="1"/>
  <c r="Z111" i="1"/>
  <c r="AA111" i="1"/>
  <c r="AB111" i="1"/>
  <c r="AD111" i="1"/>
  <c r="Z112" i="1"/>
  <c r="AA112" i="1"/>
  <c r="AB112" i="1"/>
  <c r="AD112" i="1"/>
  <c r="AE112" i="1"/>
  <c r="Z113" i="1"/>
  <c r="AA113" i="1"/>
  <c r="AB113" i="1"/>
  <c r="AD113" i="1"/>
  <c r="AE113" i="1"/>
  <c r="Z114" i="1"/>
  <c r="AA114" i="1"/>
  <c r="AB114" i="1"/>
  <c r="AD114" i="1"/>
  <c r="AE114" i="1"/>
  <c r="Z115" i="1"/>
  <c r="AA115" i="1"/>
  <c r="AB115" i="1"/>
  <c r="AD115" i="1"/>
  <c r="Z116" i="1"/>
  <c r="AA116" i="1"/>
  <c r="AB116" i="1"/>
  <c r="AD116" i="1"/>
  <c r="AE116" i="1"/>
  <c r="Z117" i="1"/>
  <c r="AA117" i="1"/>
  <c r="AB117" i="1"/>
  <c r="AD117" i="1"/>
  <c r="Z118" i="1"/>
  <c r="AA118" i="1"/>
  <c r="AB118" i="1"/>
  <c r="AD118" i="1"/>
  <c r="AE118" i="1"/>
  <c r="Z119" i="1"/>
  <c r="AA119" i="1"/>
  <c r="AB119" i="1"/>
  <c r="AD119" i="1"/>
  <c r="Z120" i="1"/>
  <c r="AA120" i="1"/>
  <c r="AB120" i="1"/>
  <c r="AD120" i="1"/>
  <c r="AE120" i="1"/>
  <c r="Z121" i="1"/>
  <c r="AA121" i="1"/>
  <c r="AB121" i="1"/>
  <c r="AD121" i="1"/>
  <c r="Z122" i="1"/>
  <c r="AA122" i="1"/>
  <c r="AB122" i="1"/>
  <c r="AD122" i="1"/>
  <c r="AE122" i="1"/>
  <c r="Z123" i="1"/>
  <c r="AA123" i="1"/>
  <c r="AB123" i="1"/>
  <c r="AD123" i="1"/>
  <c r="Z124" i="1"/>
  <c r="AA124" i="1"/>
  <c r="AB124" i="1"/>
  <c r="AD124" i="1"/>
  <c r="Z125" i="1"/>
  <c r="AA125" i="1"/>
  <c r="AB125" i="1"/>
  <c r="AD125" i="1"/>
  <c r="AE125" i="1"/>
  <c r="Z127" i="1"/>
  <c r="AA127" i="1"/>
  <c r="AB127" i="1"/>
  <c r="AD127" i="1"/>
  <c r="AE80" i="1"/>
  <c r="AD80" i="1"/>
  <c r="AB80" i="1"/>
  <c r="AA80" i="1"/>
  <c r="Z80" i="1"/>
  <c r="AE73" i="1"/>
  <c r="AE74" i="1"/>
  <c r="AE77" i="1"/>
  <c r="AE78" i="1"/>
  <c r="AE79" i="1"/>
  <c r="AE60" i="1"/>
  <c r="Z61" i="1"/>
  <c r="AA61" i="1"/>
  <c r="AB61" i="1"/>
  <c r="AD61" i="1"/>
  <c r="AE61" i="1"/>
  <c r="Z62" i="1"/>
  <c r="AA62" i="1"/>
  <c r="AB62" i="1"/>
  <c r="AD62" i="1"/>
  <c r="AE62" i="1"/>
  <c r="Z63" i="1"/>
  <c r="AA63" i="1"/>
  <c r="AB63" i="1"/>
  <c r="AD63" i="1"/>
  <c r="AE63" i="1"/>
  <c r="Z64" i="1"/>
  <c r="AA64" i="1"/>
  <c r="AB64" i="1"/>
  <c r="AD64" i="1"/>
  <c r="AE64" i="1"/>
  <c r="Z65" i="1"/>
  <c r="AA65" i="1"/>
  <c r="AB65" i="1"/>
  <c r="AD65" i="1"/>
  <c r="AE65" i="1"/>
  <c r="Z66" i="1"/>
  <c r="AA66" i="1"/>
  <c r="AB66" i="1"/>
  <c r="AD66" i="1"/>
  <c r="AE66" i="1"/>
  <c r="Z67" i="1"/>
  <c r="AA67" i="1"/>
  <c r="AB67" i="1"/>
  <c r="AD67" i="1"/>
  <c r="AE67" i="1"/>
  <c r="Z68" i="1"/>
  <c r="AA68" i="1"/>
  <c r="AB68" i="1"/>
  <c r="AD68" i="1"/>
  <c r="AE68" i="1"/>
  <c r="Z69" i="1"/>
  <c r="AA69" i="1"/>
  <c r="AB69" i="1"/>
  <c r="AD69" i="1"/>
  <c r="AE69" i="1"/>
  <c r="Z70" i="1"/>
  <c r="AA70" i="1"/>
  <c r="AB70" i="1"/>
  <c r="AD70" i="1"/>
  <c r="AE70" i="1"/>
  <c r="Z71" i="1"/>
  <c r="AA71" i="1"/>
  <c r="AB71" i="1"/>
  <c r="AD71" i="1"/>
  <c r="AE71" i="1"/>
  <c r="Z72" i="1"/>
  <c r="AA72" i="1"/>
  <c r="AB72" i="1"/>
  <c r="AD72" i="1"/>
  <c r="Z73" i="1"/>
  <c r="AA73" i="1"/>
  <c r="AB73" i="1"/>
  <c r="AD73" i="1"/>
  <c r="Z74" i="1"/>
  <c r="AA74" i="1"/>
  <c r="AB74" i="1"/>
  <c r="AD74" i="1"/>
  <c r="Z75" i="1"/>
  <c r="AA75" i="1"/>
  <c r="AB75" i="1"/>
  <c r="AD75" i="1"/>
  <c r="Z76" i="1"/>
  <c r="AA76" i="1"/>
  <c r="AB76" i="1"/>
  <c r="AD76" i="1"/>
  <c r="Z77" i="1"/>
  <c r="AA77" i="1"/>
  <c r="AB77" i="1"/>
  <c r="AD77" i="1"/>
  <c r="Z78" i="1"/>
  <c r="AA78" i="1"/>
  <c r="AB78" i="1"/>
  <c r="AD78" i="1"/>
  <c r="Z79" i="1"/>
  <c r="AA79" i="1"/>
  <c r="AB79" i="1"/>
  <c r="AD79" i="1"/>
  <c r="AD60" i="1"/>
  <c r="AB60" i="1"/>
  <c r="AA60" i="1"/>
  <c r="Z60" i="1"/>
  <c r="AE3" i="1"/>
  <c r="AD3" i="1"/>
  <c r="AB3" i="1"/>
  <c r="AA3" i="1"/>
  <c r="Z3" i="1"/>
  <c r="P400" i="7"/>
  <c r="R400" i="7" s="1"/>
  <c r="S400" i="7" s="1"/>
  <c r="K400" i="7"/>
  <c r="G400" i="7"/>
  <c r="P399" i="7"/>
  <c r="R399" i="7" s="1"/>
  <c r="S399" i="7" s="1"/>
  <c r="K399" i="7"/>
  <c r="G399" i="7"/>
  <c r="P398" i="7"/>
  <c r="K398" i="7"/>
  <c r="G398" i="7"/>
  <c r="R397" i="7"/>
  <c r="O397" i="7"/>
  <c r="K397" i="7"/>
  <c r="K396" i="7" s="1"/>
  <c r="G397" i="7"/>
  <c r="G396" i="7" s="1"/>
  <c r="P395" i="7"/>
  <c r="O395" i="7"/>
  <c r="K395" i="7"/>
  <c r="G395" i="7"/>
  <c r="P394" i="7"/>
  <c r="O394" i="7"/>
  <c r="K394" i="7"/>
  <c r="G394" i="7"/>
  <c r="P393" i="7"/>
  <c r="R393" i="7" s="1"/>
  <c r="S393" i="7" s="1"/>
  <c r="K393" i="7"/>
  <c r="G393" i="7"/>
  <c r="P392" i="7"/>
  <c r="R392" i="7" s="1"/>
  <c r="S392" i="7" s="1"/>
  <c r="K392" i="7"/>
  <c r="G392" i="7"/>
  <c r="P391" i="7"/>
  <c r="R391" i="7" s="1"/>
  <c r="S391" i="7" s="1"/>
  <c r="K391" i="7"/>
  <c r="G391" i="7"/>
  <c r="P390" i="7"/>
  <c r="O390" i="7"/>
  <c r="O389" i="7" s="1"/>
  <c r="K390" i="7"/>
  <c r="K389" i="7" s="1"/>
  <c r="G390" i="7"/>
  <c r="G389" i="7" s="1"/>
  <c r="P388" i="7"/>
  <c r="R388" i="7" s="1"/>
  <c r="S388" i="7" s="1"/>
  <c r="K388" i="7"/>
  <c r="G388" i="7"/>
  <c r="P387" i="7"/>
  <c r="R387" i="7" s="1"/>
  <c r="S387" i="7" s="1"/>
  <c r="K387" i="7"/>
  <c r="G387" i="7"/>
  <c r="P386" i="7"/>
  <c r="R386" i="7" s="1"/>
  <c r="S386" i="7" s="1"/>
  <c r="K386" i="7"/>
  <c r="G386" i="7"/>
  <c r="P385" i="7"/>
  <c r="R385" i="7" s="1"/>
  <c r="S385" i="7" s="1"/>
  <c r="K385" i="7"/>
  <c r="G385" i="7"/>
  <c r="P384" i="7"/>
  <c r="R384" i="7" s="1"/>
  <c r="S384" i="7" s="1"/>
  <c r="K384" i="7"/>
  <c r="G384" i="7"/>
  <c r="P383" i="7"/>
  <c r="R383" i="7" s="1"/>
  <c r="O383" i="7"/>
  <c r="K383" i="7"/>
  <c r="G383" i="7"/>
  <c r="P382" i="7"/>
  <c r="R382" i="7" s="1"/>
  <c r="O382" i="7"/>
  <c r="K382" i="7"/>
  <c r="G382" i="7"/>
  <c r="P381" i="7"/>
  <c r="O381" i="7"/>
  <c r="O380" i="7" s="1"/>
  <c r="K381" i="7"/>
  <c r="K380" i="7" s="1"/>
  <c r="G381" i="7"/>
  <c r="G380" i="7" s="1"/>
  <c r="P379" i="7"/>
  <c r="R379" i="7" s="1"/>
  <c r="S379" i="7" s="1"/>
  <c r="K379" i="7"/>
  <c r="G379" i="7"/>
  <c r="P378" i="7"/>
  <c r="R378" i="7" s="1"/>
  <c r="O378" i="7"/>
  <c r="O375" i="7" s="1"/>
  <c r="K378" i="7"/>
  <c r="G378" i="7"/>
  <c r="P377" i="7"/>
  <c r="R377" i="7" s="1"/>
  <c r="S377" i="7" s="1"/>
  <c r="K377" i="7"/>
  <c r="G377" i="7"/>
  <c r="P376" i="7"/>
  <c r="K376" i="7"/>
  <c r="K375" i="7" s="1"/>
  <c r="G376" i="7"/>
  <c r="G375" i="7" s="1"/>
  <c r="P374" i="7"/>
  <c r="R374" i="7" s="1"/>
  <c r="S374" i="7" s="1"/>
  <c r="K374" i="7"/>
  <c r="G374" i="7"/>
  <c r="P373" i="7"/>
  <c r="R373" i="7" s="1"/>
  <c r="S373" i="7" s="1"/>
  <c r="K373" i="7"/>
  <c r="G373" i="7"/>
  <c r="P372" i="7"/>
  <c r="K372" i="7"/>
  <c r="K371" i="7" s="1"/>
  <c r="G372" i="7"/>
  <c r="G371" i="7" s="1"/>
  <c r="P370" i="7"/>
  <c r="R370" i="7" s="1"/>
  <c r="S370" i="7" s="1"/>
  <c r="K370" i="7"/>
  <c r="G370" i="7"/>
  <c r="P369" i="7"/>
  <c r="R369" i="7" s="1"/>
  <c r="S369" i="7" s="1"/>
  <c r="K369" i="7"/>
  <c r="G369" i="7"/>
  <c r="P368" i="7"/>
  <c r="R368" i="7" s="1"/>
  <c r="S368" i="7" s="1"/>
  <c r="K368" i="7"/>
  <c r="G368" i="7"/>
  <c r="P367" i="7"/>
  <c r="R367" i="7" s="1"/>
  <c r="S367" i="7" s="1"/>
  <c r="K367" i="7"/>
  <c r="G367" i="7"/>
  <c r="P366" i="7"/>
  <c r="R366" i="7" s="1"/>
  <c r="S366" i="7" s="1"/>
  <c r="K366" i="7"/>
  <c r="G366" i="7"/>
  <c r="P365" i="7"/>
  <c r="R365" i="7" s="1"/>
  <c r="S365" i="7" s="1"/>
  <c r="K365" i="7"/>
  <c r="G365" i="7"/>
  <c r="P364" i="7"/>
  <c r="R364" i="7" s="1"/>
  <c r="O364" i="7"/>
  <c r="K364" i="7"/>
  <c r="G364" i="7"/>
  <c r="P363" i="7"/>
  <c r="R363" i="7" s="1"/>
  <c r="O363" i="7"/>
  <c r="K363" i="7"/>
  <c r="G363" i="7"/>
  <c r="P362" i="7"/>
  <c r="O362" i="7"/>
  <c r="O361" i="7" s="1"/>
  <c r="K362" i="7"/>
  <c r="K361" i="7" s="1"/>
  <c r="G362" i="7"/>
  <c r="G361" i="7" s="1"/>
  <c r="P360" i="7"/>
  <c r="R360" i="7" s="1"/>
  <c r="S360" i="7" s="1"/>
  <c r="K360" i="7"/>
  <c r="G360" i="7"/>
  <c r="P359" i="7"/>
  <c r="R359" i="7" s="1"/>
  <c r="S359" i="7" s="1"/>
  <c r="K359" i="7"/>
  <c r="G359" i="7"/>
  <c r="P358" i="7"/>
  <c r="K358" i="7"/>
  <c r="K357" i="7" s="1"/>
  <c r="G358" i="7"/>
  <c r="G357" i="7" s="1"/>
  <c r="P356" i="7"/>
  <c r="R356" i="7" s="1"/>
  <c r="S356" i="7" s="1"/>
  <c r="K356" i="7"/>
  <c r="G356" i="7"/>
  <c r="P355" i="7"/>
  <c r="R355" i="7" s="1"/>
  <c r="S355" i="7" s="1"/>
  <c r="K355" i="7"/>
  <c r="G355" i="7"/>
  <c r="P354" i="7"/>
  <c r="K354" i="7"/>
  <c r="K353" i="7" s="1"/>
  <c r="G354" i="7"/>
  <c r="G353" i="7" s="1"/>
  <c r="P352" i="7"/>
  <c r="R352" i="7" s="1"/>
  <c r="S352" i="7" s="1"/>
  <c r="K352" i="7"/>
  <c r="P351" i="7"/>
  <c r="R351" i="7" s="1"/>
  <c r="S351" i="7" s="1"/>
  <c r="K351" i="7"/>
  <c r="G351" i="7"/>
  <c r="P350" i="7"/>
  <c r="R350" i="7" s="1"/>
  <c r="S350" i="7" s="1"/>
  <c r="K350" i="7"/>
  <c r="G350" i="7"/>
  <c r="P349" i="7"/>
  <c r="R349" i="7" s="1"/>
  <c r="S349" i="7" s="1"/>
  <c r="K349" i="7"/>
  <c r="G349" i="7"/>
  <c r="P348" i="7"/>
  <c r="K348" i="7"/>
  <c r="K347" i="7" s="1"/>
  <c r="G348" i="7"/>
  <c r="G347" i="7" s="1"/>
  <c r="P346" i="7"/>
  <c r="R346" i="7" s="1"/>
  <c r="S346" i="7" s="1"/>
  <c r="K346" i="7"/>
  <c r="G346" i="7"/>
  <c r="P345" i="7"/>
  <c r="K345" i="7"/>
  <c r="K344" i="7" s="1"/>
  <c r="G345" i="7"/>
  <c r="G344" i="7" s="1"/>
  <c r="P343" i="7"/>
  <c r="R343" i="7" s="1"/>
  <c r="S343" i="7" s="1"/>
  <c r="K343" i="7"/>
  <c r="G343" i="7"/>
  <c r="P342" i="7"/>
  <c r="R342" i="7" s="1"/>
  <c r="S342" i="7" s="1"/>
  <c r="K342" i="7"/>
  <c r="G342" i="7"/>
  <c r="P341" i="7"/>
  <c r="R341" i="7" s="1"/>
  <c r="S341" i="7" s="1"/>
  <c r="K341" i="7"/>
  <c r="G341" i="7"/>
  <c r="P340" i="7"/>
  <c r="R340" i="7" s="1"/>
  <c r="S340" i="7" s="1"/>
  <c r="K340" i="7"/>
  <c r="G340" i="7"/>
  <c r="P339" i="7"/>
  <c r="R339" i="7" s="1"/>
  <c r="S339" i="7" s="1"/>
  <c r="K339" i="7"/>
  <c r="G339" i="7"/>
  <c r="P338" i="7"/>
  <c r="R338" i="7" s="1"/>
  <c r="S338" i="7" s="1"/>
  <c r="K338" i="7"/>
  <c r="G338" i="7"/>
  <c r="P337" i="7"/>
  <c r="R337" i="7" s="1"/>
  <c r="O337" i="7"/>
  <c r="K337" i="7"/>
  <c r="G337" i="7"/>
  <c r="P336" i="7"/>
  <c r="O336" i="7"/>
  <c r="O335" i="7" s="1"/>
  <c r="K336" i="7"/>
  <c r="K335" i="7" s="1"/>
  <c r="G336" i="7"/>
  <c r="G335" i="7" s="1"/>
  <c r="P334" i="7"/>
  <c r="R334" i="7" s="1"/>
  <c r="S334" i="7" s="1"/>
  <c r="K334" i="7"/>
  <c r="G334" i="7"/>
  <c r="P333" i="7"/>
  <c r="K333" i="7"/>
  <c r="K332" i="7" s="1"/>
  <c r="G333" i="7"/>
  <c r="G332" i="7" s="1"/>
  <c r="P331" i="7"/>
  <c r="R331" i="7" s="1"/>
  <c r="S331" i="7" s="1"/>
  <c r="K331" i="7"/>
  <c r="G331" i="7"/>
  <c r="P330" i="7"/>
  <c r="R330" i="7" s="1"/>
  <c r="S330" i="7" s="1"/>
  <c r="K330" i="7"/>
  <c r="G330" i="7"/>
  <c r="P329" i="7"/>
  <c r="R329" i="7" s="1"/>
  <c r="S329" i="7" s="1"/>
  <c r="K329" i="7"/>
  <c r="G329" i="7"/>
  <c r="P328" i="7"/>
  <c r="R328" i="7" s="1"/>
  <c r="S328" i="7" s="1"/>
  <c r="K328" i="7"/>
  <c r="G328" i="7"/>
  <c r="P327" i="7"/>
  <c r="K327" i="7"/>
  <c r="G327" i="7"/>
  <c r="R326" i="7"/>
  <c r="O326" i="7"/>
  <c r="O325" i="7" s="1"/>
  <c r="K326" i="7"/>
  <c r="K325" i="7" s="1"/>
  <c r="G326" i="7"/>
  <c r="G325" i="7" s="1"/>
  <c r="P324" i="7"/>
  <c r="R324" i="7" s="1"/>
  <c r="S324" i="7" s="1"/>
  <c r="K324" i="7"/>
  <c r="G324" i="7"/>
  <c r="P323" i="7"/>
  <c r="R323" i="7" s="1"/>
  <c r="S323" i="7" s="1"/>
  <c r="K323" i="7"/>
  <c r="G323" i="7"/>
  <c r="P322" i="7"/>
  <c r="K322" i="7"/>
  <c r="K321" i="7" s="1"/>
  <c r="G322" i="7"/>
  <c r="G321" i="7" s="1"/>
  <c r="P320" i="7"/>
  <c r="R320" i="7" s="1"/>
  <c r="S320" i="7" s="1"/>
  <c r="K320" i="7"/>
  <c r="G320" i="7"/>
  <c r="P319" i="7"/>
  <c r="K319" i="7"/>
  <c r="K318" i="7" s="1"/>
  <c r="G319" i="7"/>
  <c r="G318" i="7" s="1"/>
  <c r="P317" i="7"/>
  <c r="R317" i="7" s="1"/>
  <c r="S317" i="7" s="1"/>
  <c r="K317" i="7"/>
  <c r="G317" i="7"/>
  <c r="P316" i="7"/>
  <c r="K316" i="7"/>
  <c r="K315" i="7" s="1"/>
  <c r="G316" i="7"/>
  <c r="G315" i="7" s="1"/>
  <c r="P314" i="7"/>
  <c r="R314" i="7" s="1"/>
  <c r="S314" i="7" s="1"/>
  <c r="G314" i="7"/>
  <c r="P313" i="7"/>
  <c r="G313" i="7"/>
  <c r="G312" i="7" s="1"/>
  <c r="P311" i="7"/>
  <c r="R311" i="7" s="1"/>
  <c r="S311" i="7" s="1"/>
  <c r="G311" i="7"/>
  <c r="P310" i="7"/>
  <c r="O310" i="7"/>
  <c r="K310" i="7"/>
  <c r="G310" i="7"/>
  <c r="P309" i="7"/>
  <c r="R309" i="7" s="1"/>
  <c r="S309" i="7" s="1"/>
  <c r="K309" i="7"/>
  <c r="G309" i="7"/>
  <c r="P308" i="7"/>
  <c r="R308" i="7" s="1"/>
  <c r="S308" i="7" s="1"/>
  <c r="K308" i="7"/>
  <c r="G308" i="7"/>
  <c r="P307" i="7"/>
  <c r="R307" i="7" s="1"/>
  <c r="S307" i="7" s="1"/>
  <c r="K307" i="7"/>
  <c r="G307" i="7"/>
  <c r="P306" i="7"/>
  <c r="K306" i="7"/>
  <c r="K305" i="7" s="1"/>
  <c r="G306" i="7"/>
  <c r="G305" i="7" s="1"/>
  <c r="P304" i="7"/>
  <c r="R304" i="7" s="1"/>
  <c r="S304" i="7" s="1"/>
  <c r="K304" i="7"/>
  <c r="G304" i="7"/>
  <c r="P303" i="7"/>
  <c r="R303" i="7" s="1"/>
  <c r="S303" i="7" s="1"/>
  <c r="K303" i="7"/>
  <c r="G303" i="7"/>
  <c r="P302" i="7"/>
  <c r="K302" i="7"/>
  <c r="K301" i="7" s="1"/>
  <c r="G302" i="7"/>
  <c r="G301" i="7" s="1"/>
  <c r="P300" i="7"/>
  <c r="R300" i="7" s="1"/>
  <c r="S300" i="7" s="1"/>
  <c r="K300" i="7"/>
  <c r="G300" i="7"/>
  <c r="P299" i="7"/>
  <c r="R299" i="7" s="1"/>
  <c r="S299" i="7" s="1"/>
  <c r="K299" i="7"/>
  <c r="G299" i="7"/>
  <c r="P298" i="7"/>
  <c r="K298" i="7"/>
  <c r="K297" i="7" s="1"/>
  <c r="G298" i="7"/>
  <c r="G297" i="7" s="1"/>
  <c r="P296" i="7"/>
  <c r="R296" i="7" s="1"/>
  <c r="S296" i="7" s="1"/>
  <c r="K296" i="7"/>
  <c r="G296" i="7"/>
  <c r="P295" i="7"/>
  <c r="R295" i="7" s="1"/>
  <c r="S295" i="7" s="1"/>
  <c r="K295" i="7"/>
  <c r="G295" i="7"/>
  <c r="P294" i="7"/>
  <c r="R294" i="7" s="1"/>
  <c r="S294" i="7" s="1"/>
  <c r="K294" i="7"/>
  <c r="G294" i="7"/>
  <c r="R293" i="7"/>
  <c r="O293" i="7"/>
  <c r="K293" i="7"/>
  <c r="G293" i="7"/>
  <c r="R291" i="7"/>
  <c r="S291" i="7" s="1"/>
  <c r="K291" i="7"/>
  <c r="P290" i="7"/>
  <c r="R290" i="7" s="1"/>
  <c r="S290" i="7" s="1"/>
  <c r="K290" i="7"/>
  <c r="G290" i="7"/>
  <c r="P289" i="7"/>
  <c r="R289" i="7" s="1"/>
  <c r="S289" i="7" s="1"/>
  <c r="K289" i="7"/>
  <c r="G289" i="7"/>
  <c r="P288" i="7"/>
  <c r="R288" i="7" s="1"/>
  <c r="S288" i="7" s="1"/>
  <c r="K288" i="7"/>
  <c r="G288" i="7"/>
  <c r="P287" i="7"/>
  <c r="K287" i="7"/>
  <c r="G287" i="7"/>
  <c r="O286" i="7"/>
  <c r="K286" i="7"/>
  <c r="K285" i="7" s="1"/>
  <c r="G286" i="7"/>
  <c r="G285" i="7" s="1"/>
  <c r="P284" i="7"/>
  <c r="K284" i="7"/>
  <c r="G284" i="7"/>
  <c r="P283" i="7"/>
  <c r="R283" i="7" s="1"/>
  <c r="S283" i="7" s="1"/>
  <c r="K283" i="7"/>
  <c r="G283" i="7"/>
  <c r="P282" i="7"/>
  <c r="R282" i="7" s="1"/>
  <c r="S282" i="7" s="1"/>
  <c r="K282" i="7"/>
  <c r="G282" i="7"/>
  <c r="P281" i="7"/>
  <c r="K281" i="7"/>
  <c r="G281" i="7"/>
  <c r="R280" i="7"/>
  <c r="O280" i="7"/>
  <c r="O279" i="7" s="1"/>
  <c r="K280" i="7"/>
  <c r="K279" i="7" s="1"/>
  <c r="G280" i="7"/>
  <c r="G279" i="7" s="1"/>
  <c r="P278" i="7"/>
  <c r="R278" i="7" s="1"/>
  <c r="S278" i="7" s="1"/>
  <c r="K278" i="7"/>
  <c r="G278" i="7"/>
  <c r="P277" i="7"/>
  <c r="R277" i="7" s="1"/>
  <c r="S277" i="7" s="1"/>
  <c r="K277" i="7"/>
  <c r="G277" i="7"/>
  <c r="P276" i="7"/>
  <c r="R276" i="7" s="1"/>
  <c r="S276" i="7" s="1"/>
  <c r="K276" i="7"/>
  <c r="G276" i="7"/>
  <c r="P275" i="7"/>
  <c r="K275" i="7"/>
  <c r="K274" i="7" s="1"/>
  <c r="G275" i="7"/>
  <c r="G274" i="7" s="1"/>
  <c r="P273" i="7"/>
  <c r="R273" i="7" s="1"/>
  <c r="S273" i="7" s="1"/>
  <c r="K273" i="7"/>
  <c r="G273" i="7"/>
  <c r="P272" i="7"/>
  <c r="K272" i="7"/>
  <c r="G272" i="7"/>
  <c r="R271" i="7"/>
  <c r="O271" i="7"/>
  <c r="S271" i="7" s="1"/>
  <c r="K271" i="7"/>
  <c r="G271" i="7"/>
  <c r="R270" i="7"/>
  <c r="O270" i="7"/>
  <c r="O269" i="7" s="1"/>
  <c r="K270" i="7"/>
  <c r="K269" i="7" s="1"/>
  <c r="G270" i="7"/>
  <c r="G269" i="7" s="1"/>
  <c r="P268" i="7"/>
  <c r="R268" i="7" s="1"/>
  <c r="S268" i="7" s="1"/>
  <c r="K268" i="7"/>
  <c r="P267" i="7"/>
  <c r="R267" i="7" s="1"/>
  <c r="S267" i="7" s="1"/>
  <c r="K267" i="7"/>
  <c r="G267" i="7"/>
  <c r="P266" i="7"/>
  <c r="R266" i="7" s="1"/>
  <c r="S266" i="7" s="1"/>
  <c r="K266" i="7"/>
  <c r="G266" i="7"/>
  <c r="P265" i="7"/>
  <c r="R265" i="7" s="1"/>
  <c r="S265" i="7" s="1"/>
  <c r="K265" i="7"/>
  <c r="G265" i="7"/>
  <c r="P264" i="7"/>
  <c r="K264" i="7"/>
  <c r="G264" i="7"/>
  <c r="R263" i="7"/>
  <c r="O263" i="7"/>
  <c r="K263" i="7"/>
  <c r="G263" i="7"/>
  <c r="R262" i="7"/>
  <c r="O262" i="7"/>
  <c r="K262" i="7"/>
  <c r="G262" i="7"/>
  <c r="R261" i="7"/>
  <c r="O261" i="7"/>
  <c r="K261" i="7"/>
  <c r="G261" i="7"/>
  <c r="R260" i="7"/>
  <c r="O260" i="7"/>
  <c r="K260" i="7"/>
  <c r="G260" i="7"/>
  <c r="R259" i="7"/>
  <c r="O259" i="7"/>
  <c r="K259" i="7"/>
  <c r="G259" i="7"/>
  <c r="R258" i="7"/>
  <c r="O258" i="7"/>
  <c r="O257" i="7" s="1"/>
  <c r="K258" i="7"/>
  <c r="K257" i="7" s="1"/>
  <c r="G258" i="7"/>
  <c r="G257" i="7" s="1"/>
  <c r="P256" i="7"/>
  <c r="R256" i="7" s="1"/>
  <c r="S256" i="7" s="1"/>
  <c r="K256" i="7"/>
  <c r="G256" i="7"/>
  <c r="P255" i="7"/>
  <c r="K255" i="7"/>
  <c r="G255" i="7"/>
  <c r="R254" i="7"/>
  <c r="O254" i="7"/>
  <c r="K254" i="7"/>
  <c r="G254" i="7"/>
  <c r="R253" i="7"/>
  <c r="O253" i="7"/>
  <c r="K253" i="7"/>
  <c r="G253" i="7"/>
  <c r="R252" i="7"/>
  <c r="O252" i="7"/>
  <c r="K252" i="7"/>
  <c r="G252" i="7"/>
  <c r="R251" i="7"/>
  <c r="O251" i="7"/>
  <c r="O250" i="7" s="1"/>
  <c r="K251" i="7"/>
  <c r="K250" i="7" s="1"/>
  <c r="G251" i="7"/>
  <c r="G250" i="7" s="1"/>
  <c r="P249" i="7"/>
  <c r="R249" i="7" s="1"/>
  <c r="S249" i="7" s="1"/>
  <c r="K249" i="7"/>
  <c r="G249" i="7"/>
  <c r="P248" i="7"/>
  <c r="K248" i="7"/>
  <c r="K247" i="7" s="1"/>
  <c r="G248" i="7"/>
  <c r="G247" i="7" s="1"/>
  <c r="P246" i="7"/>
  <c r="R246" i="7" s="1"/>
  <c r="S246" i="7" s="1"/>
  <c r="K246" i="7"/>
  <c r="G246" i="7"/>
  <c r="P245" i="7"/>
  <c r="K245" i="7"/>
  <c r="G245" i="7"/>
  <c r="R244" i="7"/>
  <c r="O244" i="7"/>
  <c r="O243" i="7" s="1"/>
  <c r="K244" i="7"/>
  <c r="K243" i="7" s="1"/>
  <c r="G244" i="7"/>
  <c r="G243" i="7" s="1"/>
  <c r="P242" i="7"/>
  <c r="R242" i="7" s="1"/>
  <c r="S242" i="7" s="1"/>
  <c r="K242" i="7"/>
  <c r="G242" i="7"/>
  <c r="P241" i="7"/>
  <c r="R241" i="7" s="1"/>
  <c r="S241" i="7" s="1"/>
  <c r="K241" i="7"/>
  <c r="G241" i="7"/>
  <c r="P240" i="7"/>
  <c r="K240" i="7"/>
  <c r="K239" i="7" s="1"/>
  <c r="G240" i="7"/>
  <c r="G239" i="7" s="1"/>
  <c r="P238" i="7"/>
  <c r="R238" i="7" s="1"/>
  <c r="S238" i="7" s="1"/>
  <c r="K238" i="7"/>
  <c r="G238" i="7"/>
  <c r="P237" i="7"/>
  <c r="K237" i="7"/>
  <c r="G237" i="7"/>
  <c r="R236" i="7"/>
  <c r="O236" i="7"/>
  <c r="K236" i="7"/>
  <c r="G236" i="7"/>
  <c r="R235" i="7"/>
  <c r="O235" i="7"/>
  <c r="K235" i="7"/>
  <c r="G235" i="7"/>
  <c r="R234" i="7"/>
  <c r="O234" i="7"/>
  <c r="K234" i="7"/>
  <c r="G234" i="7"/>
  <c r="R233" i="7"/>
  <c r="O233" i="7"/>
  <c r="O232" i="7" s="1"/>
  <c r="K233" i="7"/>
  <c r="K232" i="7" s="1"/>
  <c r="G233" i="7"/>
  <c r="G232" i="7" s="1"/>
  <c r="R231" i="7"/>
  <c r="S231" i="7" s="1"/>
  <c r="G231" i="7"/>
  <c r="P230" i="7"/>
  <c r="R230" i="7" s="1"/>
  <c r="S230" i="7" s="1"/>
  <c r="K230" i="7"/>
  <c r="G230" i="7"/>
  <c r="P229" i="7"/>
  <c r="K229" i="7"/>
  <c r="K228" i="7" s="1"/>
  <c r="G229" i="7"/>
  <c r="G228" i="7" s="1"/>
  <c r="P227" i="7"/>
  <c r="R227" i="7" s="1"/>
  <c r="S227" i="7" s="1"/>
  <c r="K227" i="7"/>
  <c r="G227" i="7"/>
  <c r="P226" i="7"/>
  <c r="R226" i="7" s="1"/>
  <c r="S226" i="7" s="1"/>
  <c r="K226" i="7"/>
  <c r="G226" i="7"/>
  <c r="P225" i="7"/>
  <c r="R225" i="7" s="1"/>
  <c r="S225" i="7" s="1"/>
  <c r="K225" i="7"/>
  <c r="G225" i="7"/>
  <c r="P224" i="7"/>
  <c r="R224" i="7" s="1"/>
  <c r="S224" i="7" s="1"/>
  <c r="K224" i="7"/>
  <c r="G224" i="7"/>
  <c r="P223" i="7"/>
  <c r="K223" i="7"/>
  <c r="G223" i="7"/>
  <c r="R222" i="7"/>
  <c r="O222" i="7"/>
  <c r="O221" i="7" s="1"/>
  <c r="K222" i="7"/>
  <c r="K221" i="7" s="1"/>
  <c r="G222" i="7"/>
  <c r="G221" i="7" s="1"/>
  <c r="P220" i="7"/>
  <c r="R220" i="7" s="1"/>
  <c r="S220" i="7" s="1"/>
  <c r="K220" i="7"/>
  <c r="G220" i="7"/>
  <c r="P219" i="7"/>
  <c r="K219" i="7"/>
  <c r="K218" i="7" s="1"/>
  <c r="G219" i="7"/>
  <c r="G218" i="7" s="1"/>
  <c r="P217" i="7"/>
  <c r="R217" i="7" s="1"/>
  <c r="S217" i="7" s="1"/>
  <c r="K217" i="7"/>
  <c r="G217" i="7"/>
  <c r="P216" i="7"/>
  <c r="K216" i="7"/>
  <c r="K215" i="7" s="1"/>
  <c r="G216" i="7"/>
  <c r="G215" i="7" s="1"/>
  <c r="P214" i="7"/>
  <c r="R214" i="7" s="1"/>
  <c r="S214" i="7" s="1"/>
  <c r="K214" i="7"/>
  <c r="G214" i="7"/>
  <c r="P213" i="7"/>
  <c r="R213" i="7" s="1"/>
  <c r="S213" i="7" s="1"/>
  <c r="K213" i="7"/>
  <c r="G213" i="7"/>
  <c r="P212" i="7"/>
  <c r="K212" i="7"/>
  <c r="G212" i="7"/>
  <c r="O211" i="7"/>
  <c r="K211" i="7"/>
  <c r="K210" i="7" s="1"/>
  <c r="G211" i="7"/>
  <c r="G210" i="7" s="1"/>
  <c r="P209" i="7"/>
  <c r="R209" i="7" s="1"/>
  <c r="S209" i="7" s="1"/>
  <c r="K209" i="7"/>
  <c r="G209" i="7"/>
  <c r="P208" i="7"/>
  <c r="R208" i="7" s="1"/>
  <c r="S208" i="7" s="1"/>
  <c r="K208" i="7"/>
  <c r="G208" i="7"/>
  <c r="P207" i="7"/>
  <c r="R207" i="7" s="1"/>
  <c r="S207" i="7" s="1"/>
  <c r="K207" i="7"/>
  <c r="G207" i="7"/>
  <c r="P206" i="7"/>
  <c r="K206" i="7"/>
  <c r="G206" i="7"/>
  <c r="R205" i="7"/>
  <c r="O205" i="7"/>
  <c r="O204" i="7" s="1"/>
  <c r="K205" i="7"/>
  <c r="K204" i="7" s="1"/>
  <c r="G205" i="7"/>
  <c r="G204" i="7" s="1"/>
  <c r="P203" i="7"/>
  <c r="R203" i="7" s="1"/>
  <c r="S203" i="7" s="1"/>
  <c r="K203" i="7"/>
  <c r="G203" i="7"/>
  <c r="P202" i="7"/>
  <c r="K202" i="7"/>
  <c r="K201" i="7" s="1"/>
  <c r="G202" i="7"/>
  <c r="G201" i="7" s="1"/>
  <c r="P200" i="7"/>
  <c r="R200" i="7" s="1"/>
  <c r="S200" i="7" s="1"/>
  <c r="K200" i="7"/>
  <c r="G200" i="7"/>
  <c r="P199" i="7"/>
  <c r="K199" i="7"/>
  <c r="K198" i="7" s="1"/>
  <c r="G199" i="7"/>
  <c r="G198" i="7" s="1"/>
  <c r="P197" i="7"/>
  <c r="R197" i="7" s="1"/>
  <c r="S197" i="7" s="1"/>
  <c r="K197" i="7"/>
  <c r="G197" i="7"/>
  <c r="P196" i="7"/>
  <c r="R196" i="7" s="1"/>
  <c r="S196" i="7" s="1"/>
  <c r="K196" i="7"/>
  <c r="G196" i="7"/>
  <c r="P195" i="7"/>
  <c r="K195" i="7"/>
  <c r="K194" i="7" s="1"/>
  <c r="G195" i="7"/>
  <c r="G194" i="7" s="1"/>
  <c r="P193" i="7"/>
  <c r="O193" i="7"/>
  <c r="K193" i="7"/>
  <c r="G193" i="7"/>
  <c r="P192" i="7"/>
  <c r="O192" i="7"/>
  <c r="O191" i="7" s="1"/>
  <c r="K192" i="7"/>
  <c r="K191" i="7" s="1"/>
  <c r="G192" i="7"/>
  <c r="G191" i="7" s="1"/>
  <c r="F189" i="7"/>
  <c r="P187" i="7"/>
  <c r="R187" i="7" s="1"/>
  <c r="S187" i="7" s="1"/>
  <c r="K187" i="7"/>
  <c r="G187" i="7"/>
  <c r="P186" i="7"/>
  <c r="R186" i="7" s="1"/>
  <c r="S186" i="7" s="1"/>
  <c r="K186" i="7"/>
  <c r="G186" i="7"/>
  <c r="P185" i="7"/>
  <c r="K185" i="7"/>
  <c r="K184" i="7" s="1"/>
  <c r="G185" i="7"/>
  <c r="G184" i="7" s="1"/>
  <c r="P183" i="7"/>
  <c r="R183" i="7" s="1"/>
  <c r="S183" i="7" s="1"/>
  <c r="K183" i="7"/>
  <c r="G183" i="7"/>
  <c r="P182" i="7"/>
  <c r="K182" i="7"/>
  <c r="K181" i="7" s="1"/>
  <c r="G182" i="7"/>
  <c r="G181" i="7" s="1"/>
  <c r="P180" i="7"/>
  <c r="R180" i="7" s="1"/>
  <c r="S180" i="7" s="1"/>
  <c r="K180" i="7"/>
  <c r="G180" i="7"/>
  <c r="K179" i="7"/>
  <c r="K178" i="7" s="1"/>
  <c r="I179" i="7"/>
  <c r="P177" i="7"/>
  <c r="K177" i="7"/>
  <c r="G177" i="7"/>
  <c r="D177" i="7" s="1"/>
  <c r="AF63" i="1" s="1"/>
  <c r="P176" i="7"/>
  <c r="R176" i="7" s="1"/>
  <c r="S176" i="7" s="1"/>
  <c r="K176" i="7"/>
  <c r="G176" i="7"/>
  <c r="P175" i="7"/>
  <c r="K175" i="7"/>
  <c r="K174" i="7" s="1"/>
  <c r="G175" i="7"/>
  <c r="R173" i="7"/>
  <c r="O173" i="7"/>
  <c r="O170" i="7" s="1"/>
  <c r="M173" i="7"/>
  <c r="M170" i="7" s="1"/>
  <c r="K173" i="7"/>
  <c r="G173" i="7"/>
  <c r="D173" i="7" s="1"/>
  <c r="P172" i="7"/>
  <c r="R172" i="7" s="1"/>
  <c r="S172" i="7" s="1"/>
  <c r="K172" i="7"/>
  <c r="G172" i="7"/>
  <c r="P171" i="7"/>
  <c r="K171" i="7"/>
  <c r="K170" i="7" s="1"/>
  <c r="G171" i="7"/>
  <c r="P169" i="7"/>
  <c r="R169" i="7" s="1"/>
  <c r="S169" i="7" s="1"/>
  <c r="K169" i="7"/>
  <c r="G169" i="7"/>
  <c r="P168" i="7"/>
  <c r="R168" i="7" s="1"/>
  <c r="S168" i="7" s="1"/>
  <c r="K168" i="7"/>
  <c r="G168" i="7"/>
  <c r="P167" i="7"/>
  <c r="R167" i="7" s="1"/>
  <c r="S167" i="7" s="1"/>
  <c r="K167" i="7"/>
  <c r="G167" i="7"/>
  <c r="P166" i="7"/>
  <c r="K166" i="7"/>
  <c r="K165" i="7" s="1"/>
  <c r="G166" i="7"/>
  <c r="P164" i="7"/>
  <c r="R164" i="7" s="1"/>
  <c r="S164" i="7" s="1"/>
  <c r="K164" i="7"/>
  <c r="G164" i="7"/>
  <c r="D164" i="7" s="1"/>
  <c r="K163" i="7"/>
  <c r="K162" i="7" s="1"/>
  <c r="I163" i="7"/>
  <c r="P161" i="7"/>
  <c r="K161" i="7"/>
  <c r="G161" i="7"/>
  <c r="D161" i="7" s="1"/>
  <c r="AF71" i="1" s="1"/>
  <c r="P160" i="7"/>
  <c r="R160" i="7" s="1"/>
  <c r="S160" i="7" s="1"/>
  <c r="K160" i="7"/>
  <c r="G160" i="7"/>
  <c r="D160" i="7" s="1"/>
  <c r="P159" i="7"/>
  <c r="K159" i="7"/>
  <c r="K158" i="7" s="1"/>
  <c r="G159" i="7"/>
  <c r="P157" i="7"/>
  <c r="K157" i="7"/>
  <c r="G157" i="7"/>
  <c r="P155" i="7"/>
  <c r="R155" i="7" s="1"/>
  <c r="S155" i="7" s="1"/>
  <c r="K155" i="7"/>
  <c r="G155" i="7"/>
  <c r="P154" i="7"/>
  <c r="K154" i="7"/>
  <c r="K153" i="7" s="1"/>
  <c r="G154" i="7"/>
  <c r="G153" i="7" s="1"/>
  <c r="P152" i="7"/>
  <c r="R152" i="7" s="1"/>
  <c r="S152" i="7" s="1"/>
  <c r="K152" i="7"/>
  <c r="G152" i="7"/>
  <c r="P151" i="7"/>
  <c r="R151" i="7" s="1"/>
  <c r="S151" i="7" s="1"/>
  <c r="K151" i="7"/>
  <c r="G151" i="7"/>
  <c r="P150" i="7"/>
  <c r="K150" i="7"/>
  <c r="K149" i="7" s="1"/>
  <c r="G150" i="7"/>
  <c r="G149" i="7" s="1"/>
  <c r="P148" i="7"/>
  <c r="R148" i="7" s="1"/>
  <c r="S148" i="7" s="1"/>
  <c r="K148" i="7"/>
  <c r="G148" i="7"/>
  <c r="P147" i="7"/>
  <c r="K147" i="7"/>
  <c r="K146" i="7" s="1"/>
  <c r="G147" i="7"/>
  <c r="G146" i="7" s="1"/>
  <c r="P145" i="7"/>
  <c r="K145" i="7"/>
  <c r="G145" i="7"/>
  <c r="P144" i="7"/>
  <c r="R144" i="7" s="1"/>
  <c r="S144" i="7" s="1"/>
  <c r="K144" i="7"/>
  <c r="G144" i="7"/>
  <c r="P143" i="7"/>
  <c r="K143" i="7"/>
  <c r="K142" i="7" s="1"/>
  <c r="G143" i="7"/>
  <c r="G142" i="7" s="1"/>
  <c r="P141" i="7"/>
  <c r="R141" i="7" s="1"/>
  <c r="S141" i="7" s="1"/>
  <c r="K141" i="7"/>
  <c r="G141" i="7"/>
  <c r="P140" i="7"/>
  <c r="K140" i="7"/>
  <c r="K139" i="7" s="1"/>
  <c r="G140" i="7"/>
  <c r="G139" i="7" s="1"/>
  <c r="R138" i="7"/>
  <c r="O138" i="7"/>
  <c r="O135" i="7" s="1"/>
  <c r="M138" i="7"/>
  <c r="M135" i="7" s="1"/>
  <c r="K138" i="7"/>
  <c r="G138" i="7"/>
  <c r="P137" i="7"/>
  <c r="K137" i="7"/>
  <c r="G137" i="7"/>
  <c r="P136" i="7"/>
  <c r="K136" i="7"/>
  <c r="K135" i="7" s="1"/>
  <c r="G136" i="7"/>
  <c r="P134" i="7"/>
  <c r="K134" i="7"/>
  <c r="G134" i="7"/>
  <c r="D134" i="7" s="1"/>
  <c r="AF75" i="1" s="1"/>
  <c r="P133" i="7"/>
  <c r="R133" i="7" s="1"/>
  <c r="S133" i="7" s="1"/>
  <c r="K133" i="7"/>
  <c r="G133" i="7"/>
  <c r="P132" i="7"/>
  <c r="R132" i="7" s="1"/>
  <c r="S132" i="7" s="1"/>
  <c r="K132" i="7"/>
  <c r="G132" i="7"/>
  <c r="P131" i="7"/>
  <c r="K131" i="7"/>
  <c r="K130" i="7" s="1"/>
  <c r="G131" i="7"/>
  <c r="G130" i="7" s="1"/>
  <c r="D131" i="7"/>
  <c r="D130" i="7" s="1"/>
  <c r="AF62" i="1" s="1"/>
  <c r="R127" i="7"/>
  <c r="P126" i="7"/>
  <c r="R126" i="7" s="1"/>
  <c r="S126" i="7" s="1"/>
  <c r="K126" i="7"/>
  <c r="G126" i="7"/>
  <c r="K125" i="7"/>
  <c r="I125" i="7"/>
  <c r="P124" i="7"/>
  <c r="K124" i="7"/>
  <c r="K123" i="7" s="1"/>
  <c r="G124" i="7"/>
  <c r="P122" i="7"/>
  <c r="R122" i="7" s="1"/>
  <c r="K122" i="7"/>
  <c r="G122" i="7"/>
  <c r="P121" i="7"/>
  <c r="R121" i="7" s="1"/>
  <c r="S121" i="7" s="1"/>
  <c r="K121" i="7"/>
  <c r="G121" i="7"/>
  <c r="P120" i="7"/>
  <c r="K120" i="7"/>
  <c r="K119" i="7" s="1"/>
  <c r="G120" i="7"/>
  <c r="G119" i="7" s="1"/>
  <c r="P118" i="7"/>
  <c r="R118" i="7" s="1"/>
  <c r="S118" i="7" s="1"/>
  <c r="K118" i="7"/>
  <c r="G118" i="7"/>
  <c r="P117" i="7"/>
  <c r="R117" i="7" s="1"/>
  <c r="S117" i="7" s="1"/>
  <c r="K117" i="7"/>
  <c r="G117" i="7"/>
  <c r="P116" i="7"/>
  <c r="K116" i="7"/>
  <c r="K115" i="7" s="1"/>
  <c r="G116" i="7"/>
  <c r="G115" i="7" s="1"/>
  <c r="P114" i="7"/>
  <c r="R114" i="7" s="1"/>
  <c r="S114" i="7" s="1"/>
  <c r="K114" i="7"/>
  <c r="G114" i="7"/>
  <c r="P113" i="7"/>
  <c r="R113" i="7" s="1"/>
  <c r="S113" i="7" s="1"/>
  <c r="K113" i="7"/>
  <c r="G113" i="7"/>
  <c r="K112" i="7"/>
  <c r="K111" i="7" s="1"/>
  <c r="G112" i="7"/>
  <c r="P110" i="7"/>
  <c r="R110" i="7" s="1"/>
  <c r="S110" i="7" s="1"/>
  <c r="K110" i="7"/>
  <c r="G110" i="7"/>
  <c r="K109" i="7"/>
  <c r="K108" i="7" s="1"/>
  <c r="I109" i="7"/>
  <c r="P107" i="7"/>
  <c r="R107" i="7" s="1"/>
  <c r="S107" i="7" s="1"/>
  <c r="K107" i="7"/>
  <c r="G107" i="7"/>
  <c r="K106" i="7"/>
  <c r="I106" i="7"/>
  <c r="P105" i="7"/>
  <c r="K105" i="7"/>
  <c r="K104" i="7" s="1"/>
  <c r="G105" i="7"/>
  <c r="P103" i="7"/>
  <c r="R103" i="7" s="1"/>
  <c r="S103" i="7" s="1"/>
  <c r="K103" i="7"/>
  <c r="G103" i="7"/>
  <c r="P102" i="7"/>
  <c r="K102" i="7"/>
  <c r="K101" i="7" s="1"/>
  <c r="G102" i="7"/>
  <c r="G101" i="7" s="1"/>
  <c r="P100" i="7"/>
  <c r="R100" i="7" s="1"/>
  <c r="S100" i="7" s="1"/>
  <c r="K100" i="7"/>
  <c r="G100" i="7"/>
  <c r="P99" i="7"/>
  <c r="K99" i="7"/>
  <c r="K98" i="7" s="1"/>
  <c r="G99" i="7"/>
  <c r="G98" i="7" s="1"/>
  <c r="P97" i="7"/>
  <c r="K97" i="7"/>
  <c r="G97" i="7"/>
  <c r="P96" i="7"/>
  <c r="K96" i="7"/>
  <c r="G96" i="7"/>
  <c r="K95" i="7"/>
  <c r="I95" i="7"/>
  <c r="P94" i="7"/>
  <c r="R94" i="7" s="1"/>
  <c r="S94" i="7" s="1"/>
  <c r="K94" i="7"/>
  <c r="G94" i="7"/>
  <c r="P93" i="7"/>
  <c r="K93" i="7"/>
  <c r="K92" i="7" s="1"/>
  <c r="G93" i="7"/>
  <c r="G92" i="7" s="1"/>
  <c r="P91" i="7"/>
  <c r="R91" i="7" s="1"/>
  <c r="S91" i="7" s="1"/>
  <c r="K91" i="7"/>
  <c r="G91" i="7"/>
  <c r="P90" i="7"/>
  <c r="R90" i="7" s="1"/>
  <c r="S90" i="7" s="1"/>
  <c r="K90" i="7"/>
  <c r="G90" i="7"/>
  <c r="P89" i="7"/>
  <c r="K89" i="7"/>
  <c r="K88" i="7" s="1"/>
  <c r="G89" i="7"/>
  <c r="G88" i="7" s="1"/>
  <c r="P87" i="7"/>
  <c r="R87" i="7" s="1"/>
  <c r="S87" i="7" s="1"/>
  <c r="K87" i="7"/>
  <c r="G87" i="7"/>
  <c r="P86" i="7"/>
  <c r="K86" i="7"/>
  <c r="K85" i="7" s="1"/>
  <c r="G86" i="7"/>
  <c r="G85" i="7" s="1"/>
  <c r="P84" i="7"/>
  <c r="R84" i="7" s="1"/>
  <c r="S84" i="7" s="1"/>
  <c r="K84" i="7"/>
  <c r="G84" i="7"/>
  <c r="K83" i="7"/>
  <c r="K82" i="7" s="1"/>
  <c r="I83" i="7"/>
  <c r="P81" i="7"/>
  <c r="R81" i="7" s="1"/>
  <c r="S81" i="7" s="1"/>
  <c r="K81" i="7"/>
  <c r="G81" i="7"/>
  <c r="P80" i="7"/>
  <c r="K80" i="7"/>
  <c r="K79" i="7" s="1"/>
  <c r="G80" i="7"/>
  <c r="G79" i="7" s="1"/>
  <c r="P78" i="7"/>
  <c r="R78" i="7" s="1"/>
  <c r="S78" i="7" s="1"/>
  <c r="K78" i="7"/>
  <c r="G78" i="7"/>
  <c r="P77" i="7"/>
  <c r="R77" i="7" s="1"/>
  <c r="S77" i="7" s="1"/>
  <c r="K77" i="7"/>
  <c r="G77" i="7"/>
  <c r="P76" i="7"/>
  <c r="R76" i="7" s="1"/>
  <c r="S76" i="7" s="1"/>
  <c r="K76" i="7"/>
  <c r="G76" i="7"/>
  <c r="P75" i="7"/>
  <c r="K75" i="7"/>
  <c r="K74" i="7" s="1"/>
  <c r="G75" i="7"/>
  <c r="G74" i="7" s="1"/>
  <c r="P73" i="7"/>
  <c r="K73" i="7"/>
  <c r="G73" i="7"/>
  <c r="P72" i="7"/>
  <c r="K72" i="7"/>
  <c r="G72" i="7"/>
  <c r="P71" i="7"/>
  <c r="K71" i="7"/>
  <c r="G71" i="7"/>
  <c r="K70" i="7"/>
  <c r="I70" i="7"/>
  <c r="K69" i="7"/>
  <c r="H69" i="7"/>
  <c r="K68" i="7"/>
  <c r="K67" i="7" s="1"/>
  <c r="I68" i="7"/>
  <c r="P65" i="7"/>
  <c r="R65" i="7" s="1"/>
  <c r="S65" i="7" s="1"/>
  <c r="K65" i="7"/>
  <c r="G65" i="7"/>
  <c r="P64" i="7"/>
  <c r="K64" i="7"/>
  <c r="K63" i="7" s="1"/>
  <c r="G64" i="7"/>
  <c r="G63" i="7" s="1"/>
  <c r="P62" i="7"/>
  <c r="R62" i="7" s="1"/>
  <c r="S62" i="7" s="1"/>
  <c r="K62" i="7"/>
  <c r="G62" i="7"/>
  <c r="P61" i="7"/>
  <c r="R61" i="7" s="1"/>
  <c r="S61" i="7" s="1"/>
  <c r="K61" i="7"/>
  <c r="G61" i="7"/>
  <c r="P60" i="7"/>
  <c r="K60" i="7"/>
  <c r="K59" i="7" s="1"/>
  <c r="G60" i="7"/>
  <c r="G59" i="7" s="1"/>
  <c r="P58" i="7"/>
  <c r="R58" i="7" s="1"/>
  <c r="S58" i="7" s="1"/>
  <c r="K58" i="7"/>
  <c r="G58" i="7"/>
  <c r="P57" i="7"/>
  <c r="K57" i="7"/>
  <c r="G57" i="7"/>
  <c r="O56" i="7"/>
  <c r="M56" i="7"/>
  <c r="M55" i="7" s="1"/>
  <c r="K56" i="7"/>
  <c r="K55" i="7" s="1"/>
  <c r="G56" i="7"/>
  <c r="G55" i="7" s="1"/>
  <c r="P54" i="7"/>
  <c r="K54" i="7"/>
  <c r="G54" i="7"/>
  <c r="O53" i="7"/>
  <c r="O52" i="7" s="1"/>
  <c r="M53" i="7"/>
  <c r="M52" i="7" s="1"/>
  <c r="K53" i="7"/>
  <c r="K52" i="7" s="1"/>
  <c r="G53" i="7"/>
  <c r="G52" i="7" s="1"/>
  <c r="P51" i="7"/>
  <c r="R51" i="7" s="1"/>
  <c r="S51" i="7" s="1"/>
  <c r="K51" i="7"/>
  <c r="G51" i="7"/>
  <c r="P50" i="7"/>
  <c r="K50" i="7"/>
  <c r="K49" i="7" s="1"/>
  <c r="G50" i="7"/>
  <c r="G49" i="7" s="1"/>
  <c r="K48" i="7"/>
  <c r="I48" i="7"/>
  <c r="P47" i="7"/>
  <c r="R47" i="7" s="1"/>
  <c r="S47" i="7" s="1"/>
  <c r="K47" i="7"/>
  <c r="G47" i="7"/>
  <c r="P46" i="7"/>
  <c r="K46" i="7"/>
  <c r="K45" i="7" s="1"/>
  <c r="G46" i="7"/>
  <c r="P44" i="7"/>
  <c r="R44" i="7" s="1"/>
  <c r="S44" i="7" s="1"/>
  <c r="K44" i="7"/>
  <c r="G44" i="7"/>
  <c r="P43" i="7"/>
  <c r="R43" i="7" s="1"/>
  <c r="S43" i="7" s="1"/>
  <c r="K43" i="7"/>
  <c r="G43" i="7"/>
  <c r="P42" i="7"/>
  <c r="K42" i="7"/>
  <c r="K41" i="7" s="1"/>
  <c r="G42" i="7"/>
  <c r="G41" i="7" s="1"/>
  <c r="P40" i="7"/>
  <c r="R40" i="7" s="1"/>
  <c r="S40" i="7" s="1"/>
  <c r="K40" i="7"/>
  <c r="G40" i="7"/>
  <c r="P39" i="7"/>
  <c r="R39" i="7" s="1"/>
  <c r="S39" i="7" s="1"/>
  <c r="K39" i="7"/>
  <c r="G39" i="7"/>
  <c r="P38" i="7"/>
  <c r="R38" i="7" s="1"/>
  <c r="S38" i="7" s="1"/>
  <c r="K38" i="7"/>
  <c r="G38" i="7"/>
  <c r="P37" i="7"/>
  <c r="R37" i="7" s="1"/>
  <c r="S37" i="7" s="1"/>
  <c r="K37" i="7"/>
  <c r="G37" i="7"/>
  <c r="P36" i="7"/>
  <c r="R36" i="7" s="1"/>
  <c r="S36" i="7" s="1"/>
  <c r="K36" i="7"/>
  <c r="G36" i="7"/>
  <c r="P35" i="7"/>
  <c r="K35" i="7"/>
  <c r="K34" i="7" s="1"/>
  <c r="G35" i="7"/>
  <c r="G34" i="7" s="1"/>
  <c r="P33" i="7"/>
  <c r="R33" i="7" s="1"/>
  <c r="S33" i="7" s="1"/>
  <c r="K33" i="7"/>
  <c r="G33" i="7"/>
  <c r="P32" i="7"/>
  <c r="R32" i="7" s="1"/>
  <c r="S32" i="7" s="1"/>
  <c r="G32" i="7"/>
  <c r="P31" i="7"/>
  <c r="R31" i="7" s="1"/>
  <c r="S31" i="7" s="1"/>
  <c r="G31" i="7"/>
  <c r="P30" i="7"/>
  <c r="K30" i="7"/>
  <c r="K29" i="7" s="1"/>
  <c r="G30" i="7"/>
  <c r="G29" i="7" s="1"/>
  <c r="K28" i="7"/>
  <c r="I28" i="7"/>
  <c r="N25" i="7"/>
  <c r="O25" i="7" s="1"/>
  <c r="M25" i="7"/>
  <c r="M20" i="7" s="1"/>
  <c r="K25" i="7"/>
  <c r="G25" i="7"/>
  <c r="P24" i="7"/>
  <c r="R24" i="7" s="1"/>
  <c r="S24" i="7" s="1"/>
  <c r="K24" i="7"/>
  <c r="G24" i="7"/>
  <c r="P23" i="7"/>
  <c r="R23" i="7" s="1"/>
  <c r="S23" i="7" s="1"/>
  <c r="K23" i="7"/>
  <c r="G23" i="7"/>
  <c r="P22" i="7"/>
  <c r="K22" i="7"/>
  <c r="G22" i="7"/>
  <c r="I20" i="7"/>
  <c r="H20" i="7"/>
  <c r="Q19" i="7"/>
  <c r="R68" i="6"/>
  <c r="O68" i="6"/>
  <c r="K68" i="6"/>
  <c r="G68" i="6"/>
  <c r="P67" i="6"/>
  <c r="R67" i="6" s="1"/>
  <c r="S67" i="6" s="1"/>
  <c r="K67" i="6"/>
  <c r="G67" i="6"/>
  <c r="P66" i="6"/>
  <c r="R66" i="6" s="1"/>
  <c r="K66" i="6"/>
  <c r="G66" i="6"/>
  <c r="P65" i="6"/>
  <c r="R65" i="6" s="1"/>
  <c r="K65" i="6"/>
  <c r="G65" i="6"/>
  <c r="K64" i="6"/>
  <c r="I64" i="6"/>
  <c r="P63" i="6"/>
  <c r="R63" i="6" s="1"/>
  <c r="S63" i="6" s="1"/>
  <c r="K63" i="6"/>
  <c r="G63" i="6"/>
  <c r="P62" i="6"/>
  <c r="R62" i="6" s="1"/>
  <c r="K62" i="6"/>
  <c r="G62" i="6"/>
  <c r="P61" i="6"/>
  <c r="R61" i="6" s="1"/>
  <c r="K61" i="6"/>
  <c r="G61" i="6"/>
  <c r="P60" i="6"/>
  <c r="R60" i="6" s="1"/>
  <c r="K60" i="6"/>
  <c r="G60" i="6"/>
  <c r="P59" i="6"/>
  <c r="R59" i="6" s="1"/>
  <c r="S59" i="6" s="1"/>
  <c r="K59" i="6"/>
  <c r="G59" i="6"/>
  <c r="P58" i="6"/>
  <c r="R58" i="6" s="1"/>
  <c r="S58" i="6" s="1"/>
  <c r="K58" i="6"/>
  <c r="G58" i="6"/>
  <c r="P57" i="6"/>
  <c r="R57" i="6" s="1"/>
  <c r="S57" i="6" s="1"/>
  <c r="K57" i="6"/>
  <c r="G57" i="6"/>
  <c r="P56" i="6"/>
  <c r="R56" i="6" s="1"/>
  <c r="K56" i="6"/>
  <c r="G56" i="6"/>
  <c r="O55" i="6"/>
  <c r="S55" i="6" s="1"/>
  <c r="K55" i="6"/>
  <c r="G55" i="6"/>
  <c r="P54" i="6"/>
  <c r="O54" i="6"/>
  <c r="S54" i="6" s="1"/>
  <c r="K54" i="6"/>
  <c r="G54" i="6"/>
  <c r="P53" i="6"/>
  <c r="R53" i="6" s="1"/>
  <c r="K53" i="6"/>
  <c r="G53" i="6"/>
  <c r="Q52" i="6"/>
  <c r="I52" i="6"/>
  <c r="H52" i="6"/>
  <c r="P51" i="6"/>
  <c r="R51" i="6" s="1"/>
  <c r="S51" i="6" s="1"/>
  <c r="K51" i="6"/>
  <c r="G51" i="6"/>
  <c r="P50" i="6"/>
  <c r="R50" i="6" s="1"/>
  <c r="S50" i="6" s="1"/>
  <c r="K50" i="6"/>
  <c r="G50" i="6"/>
  <c r="P49" i="6"/>
  <c r="R49" i="6" s="1"/>
  <c r="K49" i="6"/>
  <c r="G49" i="6"/>
  <c r="P48" i="6"/>
  <c r="R48" i="6" s="1"/>
  <c r="K48" i="6"/>
  <c r="G48" i="6"/>
  <c r="P47" i="6"/>
  <c r="R47" i="6" s="1"/>
  <c r="K47" i="6"/>
  <c r="G47" i="6"/>
  <c r="P46" i="6"/>
  <c r="R46" i="6" s="1"/>
  <c r="K46" i="6"/>
  <c r="G46" i="6"/>
  <c r="P45" i="6"/>
  <c r="R45" i="6" s="1"/>
  <c r="K45" i="6"/>
  <c r="G45" i="6"/>
  <c r="P44" i="6"/>
  <c r="R44" i="6" s="1"/>
  <c r="S44" i="6" s="1"/>
  <c r="K44" i="6"/>
  <c r="G44" i="6"/>
  <c r="P43" i="6"/>
  <c r="R43" i="6" s="1"/>
  <c r="AE110" i="1" s="1"/>
  <c r="K43" i="6"/>
  <c r="G43" i="6"/>
  <c r="P42" i="6"/>
  <c r="K42" i="6"/>
  <c r="G42" i="6"/>
  <c r="I41" i="6"/>
  <c r="H41" i="6"/>
  <c r="P40" i="6"/>
  <c r="P39" i="6" s="1"/>
  <c r="K40" i="6"/>
  <c r="G40" i="6"/>
  <c r="I39" i="6"/>
  <c r="H39" i="6"/>
  <c r="G39" i="6"/>
  <c r="P38" i="6"/>
  <c r="R38" i="6" s="1"/>
  <c r="K38" i="6"/>
  <c r="G38" i="6"/>
  <c r="G37" i="6" s="1"/>
  <c r="P37" i="6"/>
  <c r="I37" i="6"/>
  <c r="H37" i="6"/>
  <c r="P36" i="6"/>
  <c r="R36" i="6" s="1"/>
  <c r="K36" i="6"/>
  <c r="G36" i="6"/>
  <c r="P35" i="6"/>
  <c r="R35" i="6" s="1"/>
  <c r="S35" i="6" s="1"/>
  <c r="K35" i="6"/>
  <c r="G35" i="6"/>
  <c r="P34" i="6"/>
  <c r="R34" i="6" s="1"/>
  <c r="K34" i="6"/>
  <c r="G34" i="6"/>
  <c r="P33" i="6"/>
  <c r="R33" i="6" s="1"/>
  <c r="S33" i="6" s="1"/>
  <c r="K33" i="6"/>
  <c r="G33" i="6"/>
  <c r="P32" i="6"/>
  <c r="R32" i="6" s="1"/>
  <c r="K32" i="6"/>
  <c r="G32" i="6"/>
  <c r="O31" i="6"/>
  <c r="S31" i="6" s="1"/>
  <c r="K31" i="6"/>
  <c r="G31" i="6"/>
  <c r="P30" i="6"/>
  <c r="R30" i="6" s="1"/>
  <c r="AE94" i="1" s="1"/>
  <c r="K30" i="6"/>
  <c r="G30" i="6"/>
  <c r="G29" i="6" s="1"/>
  <c r="P29" i="6"/>
  <c r="I29" i="6"/>
  <c r="H29" i="6"/>
  <c r="P28" i="6"/>
  <c r="R28" i="6" s="1"/>
  <c r="O28" i="6"/>
  <c r="K28" i="6"/>
  <c r="G28" i="6"/>
  <c r="G27" i="6" s="1"/>
  <c r="P27" i="6"/>
  <c r="I27" i="6"/>
  <c r="I26" i="6" s="1"/>
  <c r="H27" i="6"/>
  <c r="H26" i="6"/>
  <c r="F26" i="6"/>
  <c r="E26" i="6"/>
  <c r="D26" i="6"/>
  <c r="P25" i="6"/>
  <c r="R25" i="6" s="1"/>
  <c r="O25" i="6"/>
  <c r="K25" i="6"/>
  <c r="G25" i="6"/>
  <c r="P24" i="6"/>
  <c r="R24" i="6" s="1"/>
  <c r="AE76" i="1" s="1"/>
  <c r="K24" i="6"/>
  <c r="I23" i="6"/>
  <c r="H23" i="6"/>
  <c r="G23" i="6"/>
  <c r="P22" i="6"/>
  <c r="R22" i="6" s="1"/>
  <c r="AE75" i="1" s="1"/>
  <c r="O22" i="6"/>
  <c r="K22" i="6"/>
  <c r="G22" i="6"/>
  <c r="T21" i="6"/>
  <c r="I21" i="6"/>
  <c r="H21" i="6"/>
  <c r="H20" i="6" s="1"/>
  <c r="H19" i="6" s="1"/>
  <c r="G21" i="6"/>
  <c r="G20" i="6" s="1"/>
  <c r="O20" i="6"/>
  <c r="O19" i="6" s="1"/>
  <c r="N20" i="6"/>
  <c r="M20" i="6"/>
  <c r="I20" i="6"/>
  <c r="E20" i="6"/>
  <c r="M19" i="6"/>
  <c r="S25" i="6" l="1"/>
  <c r="AE72" i="1"/>
  <c r="R27" i="6"/>
  <c r="AE82" i="1"/>
  <c r="S28" i="6"/>
  <c r="S27" i="6" s="1"/>
  <c r="S32" i="6"/>
  <c r="AE102" i="1"/>
  <c r="S34" i="6"/>
  <c r="AE88" i="1"/>
  <c r="AE100" i="1"/>
  <c r="S36" i="6"/>
  <c r="P41" i="6"/>
  <c r="R42" i="6"/>
  <c r="G41" i="6"/>
  <c r="AE101" i="1"/>
  <c r="S45" i="6"/>
  <c r="S46" i="6"/>
  <c r="AE89" i="1"/>
  <c r="S47" i="6"/>
  <c r="AE121" i="1"/>
  <c r="S48" i="6"/>
  <c r="AE126" i="1"/>
  <c r="S49" i="6"/>
  <c r="AE91" i="1"/>
  <c r="S53" i="6"/>
  <c r="AE119" i="1"/>
  <c r="S56" i="6"/>
  <c r="AE115" i="1"/>
  <c r="S60" i="6"/>
  <c r="AE109" i="1"/>
  <c r="S61" i="6"/>
  <c r="AE117" i="1"/>
  <c r="AE111" i="1"/>
  <c r="S62" i="6"/>
  <c r="S65" i="6"/>
  <c r="AE124" i="1"/>
  <c r="S66" i="6"/>
  <c r="AE123" i="1"/>
  <c r="S68" i="6"/>
  <c r="G28" i="7"/>
  <c r="AH30" i="1"/>
  <c r="R30" i="7"/>
  <c r="P29" i="7"/>
  <c r="AJ31" i="1" s="1"/>
  <c r="R35" i="7"/>
  <c r="P34" i="7"/>
  <c r="R42" i="7"/>
  <c r="P41" i="7"/>
  <c r="AJ45" i="1" s="1"/>
  <c r="R46" i="7"/>
  <c r="G48" i="7"/>
  <c r="G45" i="7" s="1"/>
  <c r="I45" i="7"/>
  <c r="AH47" i="1" s="1"/>
  <c r="R50" i="7"/>
  <c r="P49" i="7"/>
  <c r="AJ49" i="1" s="1"/>
  <c r="R54" i="7"/>
  <c r="P52" i="7"/>
  <c r="AJ28" i="1" s="1"/>
  <c r="S56" i="7"/>
  <c r="O55" i="7"/>
  <c r="R57" i="7"/>
  <c r="P55" i="7"/>
  <c r="R60" i="7"/>
  <c r="P59" i="7"/>
  <c r="AJ56" i="1" s="1"/>
  <c r="R64" i="7"/>
  <c r="P63" i="7"/>
  <c r="AJ38" i="1" s="1"/>
  <c r="P68" i="7"/>
  <c r="I67" i="7"/>
  <c r="AH48" i="1" s="1"/>
  <c r="P69" i="7"/>
  <c r="R69" i="7" s="1"/>
  <c r="S69" i="7" s="1"/>
  <c r="H67" i="7"/>
  <c r="AG48" i="1" s="1"/>
  <c r="P70" i="7"/>
  <c r="AH53" i="1"/>
  <c r="R71" i="7"/>
  <c r="AJ33" i="1"/>
  <c r="R72" i="7"/>
  <c r="AJ35" i="1"/>
  <c r="R73" i="7"/>
  <c r="AJ58" i="1"/>
  <c r="R75" i="7"/>
  <c r="P74" i="7"/>
  <c r="R80" i="7"/>
  <c r="P79" i="7"/>
  <c r="G83" i="7"/>
  <c r="G82" i="7" s="1"/>
  <c r="I82" i="7"/>
  <c r="R86" i="7"/>
  <c r="P85" i="7"/>
  <c r="AJ59" i="1" s="1"/>
  <c r="R89" i="7"/>
  <c r="P88" i="7"/>
  <c r="AJ39" i="1" s="1"/>
  <c r="R93" i="7"/>
  <c r="P92" i="7"/>
  <c r="AJ29" i="1" s="1"/>
  <c r="G95" i="7"/>
  <c r="AH27" i="1"/>
  <c r="R96" i="7"/>
  <c r="AJ43" i="1"/>
  <c r="R97" i="7"/>
  <c r="AJ57" i="1"/>
  <c r="R99" i="7"/>
  <c r="P98" i="7"/>
  <c r="R102" i="7"/>
  <c r="P101" i="7"/>
  <c r="AJ55" i="1" s="1"/>
  <c r="R105" i="7"/>
  <c r="P106" i="7"/>
  <c r="I104" i="7"/>
  <c r="AH44" i="1" s="1"/>
  <c r="P109" i="7"/>
  <c r="I108" i="7"/>
  <c r="AH52" i="1" s="1"/>
  <c r="P112" i="7"/>
  <c r="G111" i="7"/>
  <c r="R116" i="7"/>
  <c r="P115" i="7"/>
  <c r="AJ40" i="1" s="1"/>
  <c r="R120" i="7"/>
  <c r="P119" i="7"/>
  <c r="AJ32" i="1" s="1"/>
  <c r="S122" i="7"/>
  <c r="AK26" i="1"/>
  <c r="R124" i="7"/>
  <c r="G125" i="7"/>
  <c r="G123" i="7" s="1"/>
  <c r="I123" i="7"/>
  <c r="R131" i="7"/>
  <c r="R130" i="7" s="1"/>
  <c r="AK62" i="1" s="1"/>
  <c r="P130" i="7"/>
  <c r="AJ62" i="1" s="1"/>
  <c r="R134" i="7"/>
  <c r="AJ75" i="1"/>
  <c r="D136" i="7"/>
  <c r="D135" i="7" s="1"/>
  <c r="AF74" i="1" s="1"/>
  <c r="G135" i="7"/>
  <c r="R136" i="7"/>
  <c r="P135" i="7"/>
  <c r="AJ74" i="1" s="1"/>
  <c r="R140" i="7"/>
  <c r="P139" i="7"/>
  <c r="AJ77" i="1" s="1"/>
  <c r="R143" i="7"/>
  <c r="P142" i="7"/>
  <c r="AJ64" i="1" s="1"/>
  <c r="R145" i="7"/>
  <c r="AJ69" i="1"/>
  <c r="R147" i="7"/>
  <c r="P146" i="7"/>
  <c r="AJ65" i="1" s="1"/>
  <c r="R150" i="7"/>
  <c r="P149" i="7"/>
  <c r="AJ70" i="1" s="1"/>
  <c r="R154" i="7"/>
  <c r="P153" i="7"/>
  <c r="AJ78" i="1" s="1"/>
  <c r="R157" i="7"/>
  <c r="AJ60" i="1"/>
  <c r="D159" i="7"/>
  <c r="D158" i="7" s="1"/>
  <c r="AF76" i="1" s="1"/>
  <c r="G158" i="7"/>
  <c r="R159" i="7"/>
  <c r="P158" i="7"/>
  <c r="AJ76" i="1" s="1"/>
  <c r="R161" i="7"/>
  <c r="AJ71" i="1"/>
  <c r="G163" i="7"/>
  <c r="I162" i="7"/>
  <c r="AH72" i="1" s="1"/>
  <c r="D166" i="7"/>
  <c r="D165" i="7" s="1"/>
  <c r="AF68" i="1" s="1"/>
  <c r="G165" i="7"/>
  <c r="R166" i="7"/>
  <c r="P165" i="7"/>
  <c r="AJ68" i="1" s="1"/>
  <c r="D171" i="7"/>
  <c r="D170" i="7" s="1"/>
  <c r="AF66" i="1" s="1"/>
  <c r="G170" i="7"/>
  <c r="R171" i="7"/>
  <c r="P170" i="7"/>
  <c r="AJ66" i="1" s="1"/>
  <c r="D175" i="7"/>
  <c r="D174" i="7" s="1"/>
  <c r="AF79" i="1" s="1"/>
  <c r="G174" i="7"/>
  <c r="R175" i="7"/>
  <c r="P174" i="7"/>
  <c r="AJ79" i="1" s="1"/>
  <c r="R177" i="7"/>
  <c r="AJ63" i="1"/>
  <c r="G179" i="7"/>
  <c r="G178" i="7" s="1"/>
  <c r="I178" i="7"/>
  <c r="AH67" i="1" s="1"/>
  <c r="R182" i="7"/>
  <c r="P181" i="7"/>
  <c r="AJ73" i="1" s="1"/>
  <c r="R185" i="7"/>
  <c r="P184" i="7"/>
  <c r="AJ61" i="1" s="1"/>
  <c r="R192" i="7"/>
  <c r="P191" i="7"/>
  <c r="AJ82" i="1" s="1"/>
  <c r="R195" i="7"/>
  <c r="P194" i="7"/>
  <c r="AJ80" i="1" s="1"/>
  <c r="R199" i="7"/>
  <c r="P198" i="7"/>
  <c r="R202" i="7"/>
  <c r="P201" i="7"/>
  <c r="AJ103" i="1" s="1"/>
  <c r="R206" i="7"/>
  <c r="P204" i="7"/>
  <c r="AJ98" i="1" s="1"/>
  <c r="S211" i="7"/>
  <c r="O210" i="7"/>
  <c r="R212" i="7"/>
  <c r="P210" i="7"/>
  <c r="AJ95" i="1" s="1"/>
  <c r="R216" i="7"/>
  <c r="P215" i="7"/>
  <c r="AJ87" i="1" s="1"/>
  <c r="R219" i="7"/>
  <c r="P218" i="7"/>
  <c r="AJ93" i="1" s="1"/>
  <c r="R223" i="7"/>
  <c r="P221" i="7"/>
  <c r="AJ99" i="1" s="1"/>
  <c r="R229" i="7"/>
  <c r="P228" i="7"/>
  <c r="AJ122" i="1" s="1"/>
  <c r="R237" i="7"/>
  <c r="P232" i="7"/>
  <c r="AJ81" i="1" s="1"/>
  <c r="R240" i="7"/>
  <c r="P239" i="7"/>
  <c r="AJ88" i="1" s="1"/>
  <c r="R245" i="7"/>
  <c r="P243" i="7"/>
  <c r="AJ94" i="1" s="1"/>
  <c r="R248" i="7"/>
  <c r="P247" i="7"/>
  <c r="AJ100" i="1" s="1"/>
  <c r="R255" i="7"/>
  <c r="P250" i="7"/>
  <c r="AJ102" i="1" s="1"/>
  <c r="R264" i="7"/>
  <c r="P257" i="7"/>
  <c r="AJ107" i="1" s="1"/>
  <c r="R272" i="7"/>
  <c r="P269" i="7"/>
  <c r="AJ96" i="1" s="1"/>
  <c r="R275" i="7"/>
  <c r="P274" i="7"/>
  <c r="AJ108" i="1" s="1"/>
  <c r="R281" i="7"/>
  <c r="P279" i="7"/>
  <c r="R284" i="7"/>
  <c r="AJ104" i="1"/>
  <c r="S286" i="7"/>
  <c r="O285" i="7"/>
  <c r="R287" i="7"/>
  <c r="P285" i="7"/>
  <c r="AJ90" i="1" s="1"/>
  <c r="R298" i="7"/>
  <c r="P297" i="7"/>
  <c r="R302" i="7"/>
  <c r="P301" i="7"/>
  <c r="AJ105" i="1" s="1"/>
  <c r="R306" i="7"/>
  <c r="P305" i="7"/>
  <c r="AJ114" i="1" s="1"/>
  <c r="R310" i="7"/>
  <c r="AK97" i="1" s="1"/>
  <c r="AJ97" i="1"/>
  <c r="R313" i="7"/>
  <c r="P312" i="7"/>
  <c r="AJ83" i="1" s="1"/>
  <c r="R316" i="7"/>
  <c r="P315" i="7"/>
  <c r="AJ89" i="1" s="1"/>
  <c r="R319" i="7"/>
  <c r="P318" i="7"/>
  <c r="AJ91" i="1" s="1"/>
  <c r="R322" i="7"/>
  <c r="P321" i="7"/>
  <c r="AJ101" i="1" s="1"/>
  <c r="R327" i="7"/>
  <c r="P325" i="7"/>
  <c r="AJ110" i="1" s="1"/>
  <c r="R333" i="7"/>
  <c r="P332" i="7"/>
  <c r="AJ127" i="1" s="1"/>
  <c r="R336" i="7"/>
  <c r="R335" i="7" s="1"/>
  <c r="AK126" i="1" s="1"/>
  <c r="P335" i="7"/>
  <c r="AJ126" i="1" s="1"/>
  <c r="R345" i="7"/>
  <c r="P344" i="7"/>
  <c r="AJ121" i="1" s="1"/>
  <c r="R348" i="7"/>
  <c r="P347" i="7"/>
  <c r="AJ120" i="1" s="1"/>
  <c r="R354" i="7"/>
  <c r="P353" i="7"/>
  <c r="AJ111" i="1" s="1"/>
  <c r="R358" i="7"/>
  <c r="P357" i="7"/>
  <c r="AJ124" i="1" s="1"/>
  <c r="R362" i="7"/>
  <c r="R361" i="7" s="1"/>
  <c r="AK123" i="1" s="1"/>
  <c r="P361" i="7"/>
  <c r="AJ123" i="1" s="1"/>
  <c r="R372" i="7"/>
  <c r="P371" i="7"/>
  <c r="R376" i="7"/>
  <c r="P375" i="7"/>
  <c r="AJ85" i="1" s="1"/>
  <c r="R381" i="7"/>
  <c r="R380" i="7" s="1"/>
  <c r="AK115" i="1" s="1"/>
  <c r="P380" i="7"/>
  <c r="AJ115" i="1" s="1"/>
  <c r="R390" i="7"/>
  <c r="R389" i="7" s="1"/>
  <c r="AK109" i="1" s="1"/>
  <c r="P389" i="7"/>
  <c r="AJ109" i="1" s="1"/>
  <c r="R394" i="7"/>
  <c r="AK117" i="1" s="1"/>
  <c r="AJ117" i="1"/>
  <c r="R395" i="7"/>
  <c r="AK86" i="1" s="1"/>
  <c r="AJ86" i="1"/>
  <c r="O396" i="7"/>
  <c r="S397" i="7"/>
  <c r="R398" i="7"/>
  <c r="P396" i="7"/>
  <c r="AJ116" i="1" s="1"/>
  <c r="H128" i="7"/>
  <c r="AG72" i="1"/>
  <c r="H26" i="7"/>
  <c r="AG28" i="1"/>
  <c r="CC70" i="1"/>
  <c r="CB70" i="1"/>
  <c r="CG70" i="1"/>
  <c r="CF70" i="1"/>
  <c r="CD70" i="1"/>
  <c r="CE70" i="1" s="1"/>
  <c r="CC62" i="1"/>
  <c r="CB62" i="1"/>
  <c r="CG62" i="1"/>
  <c r="CF62" i="1"/>
  <c r="CD62" i="1"/>
  <c r="CB75" i="1"/>
  <c r="CG75" i="1"/>
  <c r="CF75" i="1"/>
  <c r="CD75" i="1"/>
  <c r="CC75" i="1"/>
  <c r="CG118" i="1"/>
  <c r="CF118" i="1"/>
  <c r="CD118" i="1"/>
  <c r="CC118" i="1"/>
  <c r="CB118" i="1"/>
  <c r="CF110" i="1"/>
  <c r="CD110" i="1"/>
  <c r="CC110" i="1"/>
  <c r="CB110" i="1"/>
  <c r="CG110" i="1"/>
  <c r="CC102" i="1"/>
  <c r="CB102" i="1"/>
  <c r="CG102" i="1"/>
  <c r="CF102" i="1"/>
  <c r="CD102" i="1"/>
  <c r="CC96" i="1"/>
  <c r="CE96" i="1" s="1"/>
  <c r="CG88" i="1"/>
  <c r="CF88" i="1"/>
  <c r="CD88" i="1"/>
  <c r="CC88" i="1"/>
  <c r="CE88" i="1" s="1"/>
  <c r="CB88" i="1"/>
  <c r="CD65" i="1"/>
  <c r="CC65" i="1"/>
  <c r="CB65" i="1"/>
  <c r="CG65" i="1"/>
  <c r="CF65" i="1"/>
  <c r="CG74" i="1"/>
  <c r="CF74" i="1"/>
  <c r="CD74" i="1"/>
  <c r="CC74" i="1"/>
  <c r="CB74" i="1"/>
  <c r="CD121" i="1"/>
  <c r="CC121" i="1"/>
  <c r="CB121" i="1"/>
  <c r="CG121" i="1"/>
  <c r="CF121" i="1"/>
  <c r="CB113" i="1"/>
  <c r="CG113" i="1"/>
  <c r="CF113" i="1"/>
  <c r="CD113" i="1"/>
  <c r="CC113" i="1"/>
  <c r="CD105" i="1"/>
  <c r="CC105" i="1"/>
  <c r="CB105" i="1"/>
  <c r="CG105" i="1"/>
  <c r="CF105" i="1"/>
  <c r="CD97" i="1"/>
  <c r="CC97" i="1"/>
  <c r="CB97" i="1"/>
  <c r="CG97" i="1"/>
  <c r="CF97" i="1"/>
  <c r="CB91" i="1"/>
  <c r="CG91" i="1"/>
  <c r="CF91" i="1"/>
  <c r="CD91" i="1"/>
  <c r="CC91" i="1"/>
  <c r="CB83" i="1"/>
  <c r="CG83" i="1"/>
  <c r="CF83" i="1"/>
  <c r="CD83" i="1"/>
  <c r="CC83" i="1"/>
  <c r="CF68" i="1"/>
  <c r="CD68" i="1"/>
  <c r="CC68" i="1"/>
  <c r="CB68" i="1"/>
  <c r="CG68" i="1"/>
  <c r="CF60" i="1"/>
  <c r="CD60" i="1"/>
  <c r="CC60" i="1"/>
  <c r="CB60" i="1"/>
  <c r="CG60" i="1"/>
  <c r="CD73" i="1"/>
  <c r="CC73" i="1"/>
  <c r="CB73" i="1"/>
  <c r="CG73" i="1"/>
  <c r="CF73" i="1"/>
  <c r="CB124" i="1"/>
  <c r="CG124" i="1"/>
  <c r="CF124" i="1"/>
  <c r="CD124" i="1"/>
  <c r="CC124" i="1"/>
  <c r="CB116" i="1"/>
  <c r="CG116" i="1"/>
  <c r="CF116" i="1"/>
  <c r="CD116" i="1"/>
  <c r="CC116" i="1"/>
  <c r="CF108" i="1"/>
  <c r="CD108" i="1"/>
  <c r="CC108" i="1"/>
  <c r="CB108" i="1"/>
  <c r="CG108" i="1"/>
  <c r="CF100" i="1"/>
  <c r="CD100" i="1"/>
  <c r="CC100" i="1"/>
  <c r="CB100" i="1"/>
  <c r="CG100" i="1"/>
  <c r="CC94" i="1"/>
  <c r="CB94" i="1"/>
  <c r="CG94" i="1"/>
  <c r="CF94" i="1"/>
  <c r="CD94" i="1"/>
  <c r="CC86" i="1"/>
  <c r="CB86" i="1"/>
  <c r="CG86" i="1"/>
  <c r="CF86" i="1"/>
  <c r="CD86" i="1"/>
  <c r="CG63" i="1"/>
  <c r="CF63" i="1"/>
  <c r="CD63" i="1"/>
  <c r="CC63" i="1"/>
  <c r="CB63" i="1"/>
  <c r="CG72" i="1"/>
  <c r="CF72" i="1"/>
  <c r="CD72" i="1"/>
  <c r="CC72" i="1"/>
  <c r="CB72" i="1"/>
  <c r="CC119" i="1"/>
  <c r="CB119" i="1"/>
  <c r="CD119" i="1"/>
  <c r="CG119" i="1"/>
  <c r="CF119" i="1"/>
  <c r="CC111" i="1"/>
  <c r="CB111" i="1"/>
  <c r="CG111" i="1"/>
  <c r="CF111" i="1"/>
  <c r="CD111" i="1"/>
  <c r="CG103" i="1"/>
  <c r="CF103" i="1"/>
  <c r="CD103" i="1"/>
  <c r="CC103" i="1"/>
  <c r="CB103" i="1"/>
  <c r="CG82" i="1"/>
  <c r="CF82" i="1"/>
  <c r="CD82" i="1"/>
  <c r="CC82" i="1"/>
  <c r="CB82" i="1"/>
  <c r="CD89" i="1"/>
  <c r="CC89" i="1"/>
  <c r="CB89" i="1"/>
  <c r="CG89" i="1"/>
  <c r="CF89" i="1"/>
  <c r="CG66" i="1"/>
  <c r="CF66" i="1"/>
  <c r="CD66" i="1"/>
  <c r="CC66" i="1"/>
  <c r="CB66" i="1"/>
  <c r="CG79" i="1"/>
  <c r="CF79" i="1"/>
  <c r="CD79" i="1"/>
  <c r="CC79" i="1"/>
  <c r="CB79" i="1"/>
  <c r="CD122" i="1"/>
  <c r="CC122" i="1"/>
  <c r="CG122" i="1"/>
  <c r="CF122" i="1"/>
  <c r="CB122" i="1"/>
  <c r="CD114" i="1"/>
  <c r="CC114" i="1"/>
  <c r="CG114" i="1"/>
  <c r="CF114" i="1"/>
  <c r="CB114" i="1"/>
  <c r="CG98" i="1"/>
  <c r="CF98" i="1"/>
  <c r="CD98" i="1"/>
  <c r="CC98" i="1"/>
  <c r="CB98" i="1"/>
  <c r="CF92" i="1"/>
  <c r="CD92" i="1"/>
  <c r="CC92" i="1"/>
  <c r="CB92" i="1"/>
  <c r="CG92" i="1"/>
  <c r="CF84" i="1"/>
  <c r="CD84" i="1"/>
  <c r="CC84" i="1"/>
  <c r="CB84" i="1"/>
  <c r="CG84" i="1"/>
  <c r="CG69" i="1"/>
  <c r="CF69" i="1"/>
  <c r="CD69" i="1"/>
  <c r="CC69" i="1"/>
  <c r="CB69" i="1"/>
  <c r="CG61" i="1"/>
  <c r="CF61" i="1"/>
  <c r="CD61" i="1"/>
  <c r="CC61" i="1"/>
  <c r="CB61" i="1"/>
  <c r="CC78" i="1"/>
  <c r="CB78" i="1"/>
  <c r="CG78" i="1"/>
  <c r="CF78" i="1"/>
  <c r="CD78" i="1"/>
  <c r="CF125" i="1"/>
  <c r="CD125" i="1"/>
  <c r="CG125" i="1"/>
  <c r="CC125" i="1"/>
  <c r="CB125" i="1"/>
  <c r="CF117" i="1"/>
  <c r="CD117" i="1"/>
  <c r="CB117" i="1"/>
  <c r="CG117" i="1"/>
  <c r="CC117" i="1"/>
  <c r="CF109" i="1"/>
  <c r="CD109" i="1"/>
  <c r="CG109" i="1"/>
  <c r="CC109" i="1"/>
  <c r="CB109" i="1"/>
  <c r="CG101" i="1"/>
  <c r="CF101" i="1"/>
  <c r="CD101" i="1"/>
  <c r="CC101" i="1"/>
  <c r="CB101" i="1"/>
  <c r="CG95" i="1"/>
  <c r="CF95" i="1"/>
  <c r="CD95" i="1"/>
  <c r="CC95" i="1"/>
  <c r="CB95" i="1"/>
  <c r="CG87" i="1"/>
  <c r="CF87" i="1"/>
  <c r="CD87" i="1"/>
  <c r="CC87" i="1"/>
  <c r="CB87" i="1"/>
  <c r="CB3" i="1"/>
  <c r="CG3" i="1"/>
  <c r="CF3" i="1"/>
  <c r="CD3" i="1"/>
  <c r="CC3" i="1"/>
  <c r="CG64" i="1"/>
  <c r="CF64" i="1"/>
  <c r="CD64" i="1"/>
  <c r="CC64" i="1"/>
  <c r="CB64" i="1"/>
  <c r="CG77" i="1"/>
  <c r="CF77" i="1"/>
  <c r="CD77" i="1"/>
  <c r="CC77" i="1"/>
  <c r="CB77" i="1"/>
  <c r="CG120" i="1"/>
  <c r="CF120" i="1"/>
  <c r="CD120" i="1"/>
  <c r="CC120" i="1"/>
  <c r="CB120" i="1"/>
  <c r="CG112" i="1"/>
  <c r="CF112" i="1"/>
  <c r="CD112" i="1"/>
  <c r="CC112" i="1"/>
  <c r="CB112" i="1"/>
  <c r="CG104" i="1"/>
  <c r="CF104" i="1"/>
  <c r="CD104" i="1"/>
  <c r="CC104" i="1"/>
  <c r="CB104" i="1"/>
  <c r="CG126" i="1"/>
  <c r="CF126" i="1"/>
  <c r="CD126" i="1"/>
  <c r="CC126" i="1"/>
  <c r="CB126" i="1"/>
  <c r="CG90" i="1"/>
  <c r="CF90" i="1"/>
  <c r="CD90" i="1"/>
  <c r="CC90" i="1"/>
  <c r="CB90" i="1"/>
  <c r="CD81" i="1"/>
  <c r="CC81" i="1"/>
  <c r="CB81" i="1"/>
  <c r="CG81" i="1"/>
  <c r="CF81" i="1"/>
  <c r="CG71" i="1"/>
  <c r="CF71" i="1"/>
  <c r="CD71" i="1"/>
  <c r="CC71" i="1"/>
  <c r="CB71" i="1"/>
  <c r="CB67" i="1"/>
  <c r="CG67" i="1"/>
  <c r="CF67" i="1"/>
  <c r="CD67" i="1"/>
  <c r="CC67" i="1"/>
  <c r="CF76" i="1"/>
  <c r="CD76" i="1"/>
  <c r="CC76" i="1"/>
  <c r="CB76" i="1"/>
  <c r="CG76" i="1"/>
  <c r="CG80" i="1"/>
  <c r="CF80" i="1"/>
  <c r="CD80" i="1"/>
  <c r="CC80" i="1"/>
  <c r="CB80" i="1"/>
  <c r="CG123" i="1"/>
  <c r="CD123" i="1"/>
  <c r="CC123" i="1"/>
  <c r="CB123" i="1"/>
  <c r="CF123" i="1"/>
  <c r="CG115" i="1"/>
  <c r="CB115" i="1"/>
  <c r="CF115" i="1"/>
  <c r="CD115" i="1"/>
  <c r="CC115" i="1"/>
  <c r="CB107" i="1"/>
  <c r="CG107" i="1"/>
  <c r="CF107" i="1"/>
  <c r="CD107" i="1"/>
  <c r="CC107" i="1"/>
  <c r="CB99" i="1"/>
  <c r="CG99" i="1"/>
  <c r="CF99" i="1"/>
  <c r="CD99" i="1"/>
  <c r="CC99" i="1"/>
  <c r="CG93" i="1"/>
  <c r="CF93" i="1"/>
  <c r="CD93" i="1"/>
  <c r="CC93" i="1"/>
  <c r="CB93" i="1"/>
  <c r="CG85" i="1"/>
  <c r="CF85" i="1"/>
  <c r="CD85" i="1"/>
  <c r="CC85" i="1"/>
  <c r="CB85" i="1"/>
  <c r="AI126" i="1"/>
  <c r="AI124" i="1"/>
  <c r="AI122" i="1"/>
  <c r="AI118" i="1"/>
  <c r="AI116" i="1"/>
  <c r="AI106" i="1"/>
  <c r="AI104" i="1"/>
  <c r="AI90" i="1"/>
  <c r="AI88" i="1"/>
  <c r="AI86" i="1"/>
  <c r="AI84" i="1"/>
  <c r="AI82" i="1"/>
  <c r="AI95" i="1"/>
  <c r="AI45" i="1"/>
  <c r="AC78" i="1"/>
  <c r="AC76" i="1"/>
  <c r="AC74" i="1"/>
  <c r="AI56" i="1"/>
  <c r="AI78" i="1"/>
  <c r="AI70" i="1"/>
  <c r="AI62" i="1"/>
  <c r="AI59" i="1"/>
  <c r="AI37" i="1"/>
  <c r="AI29" i="1"/>
  <c r="AI75" i="1"/>
  <c r="AI67" i="1"/>
  <c r="AI119" i="1"/>
  <c r="AI117" i="1"/>
  <c r="AI97" i="1"/>
  <c r="AI91" i="1"/>
  <c r="AI87" i="1"/>
  <c r="AI83" i="1"/>
  <c r="AI81" i="1"/>
  <c r="AI33" i="1"/>
  <c r="AI68" i="1"/>
  <c r="AI49" i="1"/>
  <c r="AI44" i="1"/>
  <c r="AI31" i="1"/>
  <c r="AI54" i="1"/>
  <c r="AI46" i="1"/>
  <c r="AI41" i="1"/>
  <c r="AI36" i="1"/>
  <c r="AI127" i="1"/>
  <c r="AI123" i="1"/>
  <c r="AI93" i="1"/>
  <c r="AI63" i="1"/>
  <c r="AI35" i="1"/>
  <c r="AI73" i="1"/>
  <c r="AI53" i="1"/>
  <c r="AI40" i="1"/>
  <c r="AI76" i="1"/>
  <c r="AI71" i="1"/>
  <c r="AI115" i="1"/>
  <c r="AI111" i="1"/>
  <c r="AI107" i="1"/>
  <c r="AI103" i="1"/>
  <c r="AI99" i="1"/>
  <c r="AI58" i="1"/>
  <c r="AI55" i="1"/>
  <c r="AI47" i="1"/>
  <c r="AI89" i="1"/>
  <c r="AI57" i="1"/>
  <c r="AI39" i="1"/>
  <c r="AI34" i="1"/>
  <c r="AI72" i="1"/>
  <c r="AI102" i="1"/>
  <c r="AI98" i="1"/>
  <c r="AI96" i="1"/>
  <c r="AI79" i="1"/>
  <c r="AI69" i="1"/>
  <c r="AI64" i="1"/>
  <c r="AI125" i="1"/>
  <c r="AI38" i="1"/>
  <c r="AC79" i="1"/>
  <c r="AC75" i="1"/>
  <c r="AC68" i="1"/>
  <c r="AC63" i="1"/>
  <c r="AC89" i="1"/>
  <c r="AI50" i="1"/>
  <c r="AI30" i="1"/>
  <c r="AI28" i="1"/>
  <c r="AI77" i="1"/>
  <c r="AI61" i="1"/>
  <c r="AI114" i="1"/>
  <c r="AI112" i="1"/>
  <c r="AI43" i="1"/>
  <c r="AI121" i="1"/>
  <c r="AI110" i="1"/>
  <c r="AI108" i="1"/>
  <c r="AC92" i="1"/>
  <c r="AC84" i="1"/>
  <c r="AI52" i="1"/>
  <c r="AI42" i="1"/>
  <c r="AI65" i="1"/>
  <c r="AI85" i="1"/>
  <c r="AI48" i="1"/>
  <c r="AI32" i="1"/>
  <c r="AI27" i="1"/>
  <c r="AI74" i="1"/>
  <c r="AI113" i="1"/>
  <c r="AI100" i="1"/>
  <c r="AI51" i="1"/>
  <c r="AI109" i="1"/>
  <c r="AC96" i="1"/>
  <c r="AI105" i="1"/>
  <c r="AI94" i="1"/>
  <c r="AI92" i="1"/>
  <c r="AI120" i="1"/>
  <c r="AI101" i="1"/>
  <c r="AI66" i="1"/>
  <c r="AI80" i="1"/>
  <c r="AI60" i="1"/>
  <c r="AI26" i="1"/>
  <c r="AC81" i="1"/>
  <c r="AC71" i="1"/>
  <c r="AC69" i="1"/>
  <c r="AC61" i="1"/>
  <c r="AC72" i="1"/>
  <c r="AC127" i="1"/>
  <c r="AC106" i="1"/>
  <c r="AC95" i="1"/>
  <c r="AC126" i="1"/>
  <c r="AC111" i="1"/>
  <c r="AC66" i="1"/>
  <c r="AC122" i="1"/>
  <c r="AC120" i="1"/>
  <c r="AC112" i="1"/>
  <c r="AC3" i="1"/>
  <c r="AC64" i="1"/>
  <c r="AC77" i="1"/>
  <c r="AC70" i="1"/>
  <c r="AC67" i="1"/>
  <c r="AC115" i="1"/>
  <c r="AC107" i="1"/>
  <c r="AC93" i="1"/>
  <c r="AC62" i="1"/>
  <c r="AC65" i="1"/>
  <c r="AC121" i="1"/>
  <c r="AC105" i="1"/>
  <c r="AC88" i="1"/>
  <c r="M128" i="7"/>
  <c r="O128" i="7"/>
  <c r="S270" i="7"/>
  <c r="S234" i="7"/>
  <c r="S236" i="7"/>
  <c r="G70" i="7"/>
  <c r="S381" i="7"/>
  <c r="G106" i="7"/>
  <c r="G104" i="7" s="1"/>
  <c r="S205" i="7"/>
  <c r="S222" i="7"/>
  <c r="S383" i="7"/>
  <c r="S252" i="7"/>
  <c r="S254" i="7"/>
  <c r="S336" i="7"/>
  <c r="S362" i="7"/>
  <c r="S382" i="7"/>
  <c r="S280" i="7"/>
  <c r="S293" i="7"/>
  <c r="S261" i="7"/>
  <c r="S263" i="7"/>
  <c r="S326" i="7"/>
  <c r="S378" i="7"/>
  <c r="P48" i="7"/>
  <c r="S244" i="7"/>
  <c r="O26" i="7"/>
  <c r="G69" i="7"/>
  <c r="P179" i="7"/>
  <c r="S258" i="7"/>
  <c r="P95" i="7"/>
  <c r="S310" i="7"/>
  <c r="S138" i="7"/>
  <c r="P125" i="7"/>
  <c r="I26" i="7"/>
  <c r="S233" i="7"/>
  <c r="S235" i="7"/>
  <c r="S259" i="7"/>
  <c r="S173" i="7"/>
  <c r="M26" i="7"/>
  <c r="P163" i="7"/>
  <c r="S192" i="7"/>
  <c r="S390" i="7"/>
  <c r="S389" i="7" s="1"/>
  <c r="P20" i="7"/>
  <c r="S364" i="7"/>
  <c r="S251" i="7"/>
  <c r="S260" i="7"/>
  <c r="S337" i="7"/>
  <c r="S253" i="7"/>
  <c r="S262" i="7"/>
  <c r="G109" i="7"/>
  <c r="G108" i="7" s="1"/>
  <c r="I128" i="7"/>
  <c r="R137" i="7"/>
  <c r="S137" i="7" s="1"/>
  <c r="S394" i="7"/>
  <c r="AC125" i="1"/>
  <c r="AC114" i="1"/>
  <c r="AC82" i="1"/>
  <c r="AC94" i="1"/>
  <c r="AC91" i="1"/>
  <c r="AC98" i="1"/>
  <c r="AC101" i="1"/>
  <c r="AC118" i="1"/>
  <c r="AC110" i="1"/>
  <c r="AC99" i="1"/>
  <c r="AC116" i="1"/>
  <c r="AC102" i="1"/>
  <c r="AC119" i="1"/>
  <c r="AC113" i="1"/>
  <c r="AC86" i="1"/>
  <c r="AC83" i="1"/>
  <c r="AC108" i="1"/>
  <c r="AC123" i="1"/>
  <c r="AC117" i="1"/>
  <c r="AC90" i="1"/>
  <c r="AC87" i="1"/>
  <c r="AC103" i="1"/>
  <c r="AC100" i="1"/>
  <c r="AC97" i="1"/>
  <c r="AC85" i="1"/>
  <c r="AC124" i="1"/>
  <c r="AC109" i="1"/>
  <c r="AC104" i="1"/>
  <c r="AC80" i="1"/>
  <c r="AC73" i="1"/>
  <c r="AC60" i="1"/>
  <c r="R21" i="6"/>
  <c r="S22" i="6"/>
  <c r="S21" i="6" s="1"/>
  <c r="S43" i="6"/>
  <c r="R41" i="6"/>
  <c r="S38" i="6"/>
  <c r="S37" i="6" s="1"/>
  <c r="R37" i="6"/>
  <c r="R29" i="6"/>
  <c r="S30" i="6"/>
  <c r="S29" i="6" s="1"/>
  <c r="I19" i="6"/>
  <c r="R23" i="6"/>
  <c r="S24" i="6"/>
  <c r="S23" i="6" s="1"/>
  <c r="S395" i="7"/>
  <c r="R40" i="6"/>
  <c r="AE106" i="1" s="1"/>
  <c r="S131" i="7"/>
  <c r="S130" i="7" s="1"/>
  <c r="P23" i="6"/>
  <c r="G64" i="6"/>
  <c r="G52" i="6" s="1"/>
  <c r="G26" i="6" s="1"/>
  <c r="G19" i="6" s="1"/>
  <c r="P64" i="6"/>
  <c r="R64" i="6" s="1"/>
  <c r="S64" i="6" s="1"/>
  <c r="S52" i="6" s="1"/>
  <c r="S25" i="7"/>
  <c r="O20" i="7"/>
  <c r="S363" i="7"/>
  <c r="G20" i="7"/>
  <c r="P21" i="6"/>
  <c r="P20" i="6" s="1"/>
  <c r="G68" i="7"/>
  <c r="G67" i="7" s="1"/>
  <c r="R193" i="7"/>
  <c r="S193" i="7" s="1"/>
  <c r="P28" i="7"/>
  <c r="AJ30" i="1" s="1"/>
  <c r="S53" i="7"/>
  <c r="P83" i="7"/>
  <c r="R22" i="7"/>
  <c r="R83" i="7" l="1"/>
  <c r="P82" i="7"/>
  <c r="CG106" i="1"/>
  <c r="CF106" i="1"/>
  <c r="CD106" i="1"/>
  <c r="CC106" i="1"/>
  <c r="CB106" i="1"/>
  <c r="S20" i="6"/>
  <c r="S191" i="7"/>
  <c r="R163" i="7"/>
  <c r="P162" i="7"/>
  <c r="AJ72" i="1" s="1"/>
  <c r="R125" i="7"/>
  <c r="S125" i="7" s="1"/>
  <c r="P123" i="7"/>
  <c r="R95" i="7"/>
  <c r="AJ27" i="1"/>
  <c r="R179" i="7"/>
  <c r="P178" i="7"/>
  <c r="AJ67" i="1" s="1"/>
  <c r="R48" i="7"/>
  <c r="S48" i="7" s="1"/>
  <c r="P45" i="7"/>
  <c r="AJ47" i="1" s="1"/>
  <c r="S361" i="7"/>
  <c r="S335" i="7"/>
  <c r="S380" i="7"/>
  <c r="S398" i="7"/>
  <c r="R396" i="7"/>
  <c r="AK116" i="1" s="1"/>
  <c r="S396" i="7"/>
  <c r="S376" i="7"/>
  <c r="S375" i="7" s="1"/>
  <c r="R375" i="7"/>
  <c r="AK85" i="1" s="1"/>
  <c r="S372" i="7"/>
  <c r="S371" i="7" s="1"/>
  <c r="R371" i="7"/>
  <c r="S358" i="7"/>
  <c r="S357" i="7" s="1"/>
  <c r="R357" i="7"/>
  <c r="AK124" i="1" s="1"/>
  <c r="S354" i="7"/>
  <c r="S353" i="7" s="1"/>
  <c r="R353" i="7"/>
  <c r="AK111" i="1" s="1"/>
  <c r="S348" i="7"/>
  <c r="S347" i="7" s="1"/>
  <c r="R347" i="7"/>
  <c r="AK120" i="1" s="1"/>
  <c r="S345" i="7"/>
  <c r="S344" i="7" s="1"/>
  <c r="R344" i="7"/>
  <c r="AK121" i="1" s="1"/>
  <c r="S333" i="7"/>
  <c r="S332" i="7" s="1"/>
  <c r="R332" i="7"/>
  <c r="AK127" i="1" s="1"/>
  <c r="S327" i="7"/>
  <c r="S325" i="7" s="1"/>
  <c r="R325" i="7"/>
  <c r="AK110" i="1" s="1"/>
  <c r="S322" i="7"/>
  <c r="S321" i="7" s="1"/>
  <c r="R321" i="7"/>
  <c r="AK101" i="1" s="1"/>
  <c r="S319" i="7"/>
  <c r="S318" i="7" s="1"/>
  <c r="R318" i="7"/>
  <c r="AK91" i="1" s="1"/>
  <c r="S316" i="7"/>
  <c r="S315" i="7" s="1"/>
  <c r="R315" i="7"/>
  <c r="AK89" i="1" s="1"/>
  <c r="S313" i="7"/>
  <c r="S312" i="7" s="1"/>
  <c r="R312" i="7"/>
  <c r="AK83" i="1" s="1"/>
  <c r="S306" i="7"/>
  <c r="S305" i="7" s="1"/>
  <c r="R305" i="7"/>
  <c r="AK114" i="1" s="1"/>
  <c r="S302" i="7"/>
  <c r="S301" i="7" s="1"/>
  <c r="R301" i="7"/>
  <c r="AK105" i="1" s="1"/>
  <c r="S298" i="7"/>
  <c r="S297" i="7" s="1"/>
  <c r="R297" i="7"/>
  <c r="S287" i="7"/>
  <c r="R285" i="7"/>
  <c r="AK90" i="1" s="1"/>
  <c r="S285" i="7"/>
  <c r="S284" i="7"/>
  <c r="AK104" i="1"/>
  <c r="S281" i="7"/>
  <c r="S279" i="7" s="1"/>
  <c r="R279" i="7"/>
  <c r="S275" i="7"/>
  <c r="S274" i="7" s="1"/>
  <c r="R274" i="7"/>
  <c r="AK108" i="1" s="1"/>
  <c r="S272" i="7"/>
  <c r="S269" i="7" s="1"/>
  <c r="R269" i="7"/>
  <c r="AK96" i="1" s="1"/>
  <c r="S264" i="7"/>
  <c r="S257" i="7" s="1"/>
  <c r="R257" i="7"/>
  <c r="AK107" i="1" s="1"/>
  <c r="S255" i="7"/>
  <c r="S250" i="7" s="1"/>
  <c r="R250" i="7"/>
  <c r="AK102" i="1" s="1"/>
  <c r="S248" i="7"/>
  <c r="S247" i="7" s="1"/>
  <c r="R247" i="7"/>
  <c r="AK100" i="1" s="1"/>
  <c r="S245" i="7"/>
  <c r="S243" i="7" s="1"/>
  <c r="R243" i="7"/>
  <c r="AK94" i="1" s="1"/>
  <c r="S240" i="7"/>
  <c r="S239" i="7" s="1"/>
  <c r="R239" i="7"/>
  <c r="AK88" i="1" s="1"/>
  <c r="S237" i="7"/>
  <c r="S232" i="7" s="1"/>
  <c r="R232" i="7"/>
  <c r="AK81" i="1" s="1"/>
  <c r="S229" i="7"/>
  <c r="S228" i="7" s="1"/>
  <c r="R228" i="7"/>
  <c r="AK122" i="1" s="1"/>
  <c r="S223" i="7"/>
  <c r="S221" i="7" s="1"/>
  <c r="R221" i="7"/>
  <c r="AK99" i="1" s="1"/>
  <c r="S219" i="7"/>
  <c r="S218" i="7" s="1"/>
  <c r="R218" i="7"/>
  <c r="AK93" i="1" s="1"/>
  <c r="S216" i="7"/>
  <c r="S215" i="7" s="1"/>
  <c r="R215" i="7"/>
  <c r="AK87" i="1" s="1"/>
  <c r="S212" i="7"/>
  <c r="R210" i="7"/>
  <c r="AK95" i="1" s="1"/>
  <c r="S210" i="7"/>
  <c r="S206" i="7"/>
  <c r="S204" i="7" s="1"/>
  <c r="R204" i="7"/>
  <c r="AK98" i="1" s="1"/>
  <c r="S202" i="7"/>
  <c r="S201" i="7" s="1"/>
  <c r="R201" i="7"/>
  <c r="AK103" i="1" s="1"/>
  <c r="S199" i="7"/>
  <c r="S198" i="7" s="1"/>
  <c r="R198" i="7"/>
  <c r="S195" i="7"/>
  <c r="S194" i="7" s="1"/>
  <c r="R194" i="7"/>
  <c r="AK80" i="1" s="1"/>
  <c r="R191" i="7"/>
  <c r="AK82" i="1" s="1"/>
  <c r="S185" i="7"/>
  <c r="S184" i="7" s="1"/>
  <c r="R184" i="7"/>
  <c r="AK61" i="1" s="1"/>
  <c r="S182" i="7"/>
  <c r="S181" i="7" s="1"/>
  <c r="R181" i="7"/>
  <c r="AK73" i="1" s="1"/>
  <c r="S177" i="7"/>
  <c r="AK63" i="1"/>
  <c r="S175" i="7"/>
  <c r="S174" i="7" s="1"/>
  <c r="R174" i="7"/>
  <c r="AK79" i="1" s="1"/>
  <c r="S171" i="7"/>
  <c r="S170" i="7" s="1"/>
  <c r="R170" i="7"/>
  <c r="AK66" i="1" s="1"/>
  <c r="S166" i="7"/>
  <c r="S165" i="7" s="1"/>
  <c r="R165" i="7"/>
  <c r="AK68" i="1" s="1"/>
  <c r="D163" i="7"/>
  <c r="D162" i="7" s="1"/>
  <c r="AF72" i="1" s="1"/>
  <c r="G162" i="7"/>
  <c r="G128" i="7" s="1"/>
  <c r="S161" i="7"/>
  <c r="AK71" i="1"/>
  <c r="S159" i="7"/>
  <c r="S158" i="7" s="1"/>
  <c r="R158" i="7"/>
  <c r="AK76" i="1" s="1"/>
  <c r="S157" i="7"/>
  <c r="AK60" i="1"/>
  <c r="S154" i="7"/>
  <c r="S153" i="7" s="1"/>
  <c r="R153" i="7"/>
  <c r="AK78" i="1" s="1"/>
  <c r="S150" i="7"/>
  <c r="S149" i="7" s="1"/>
  <c r="R149" i="7"/>
  <c r="AK70" i="1" s="1"/>
  <c r="S147" i="7"/>
  <c r="S146" i="7" s="1"/>
  <c r="R146" i="7"/>
  <c r="AK65" i="1" s="1"/>
  <c r="S145" i="7"/>
  <c r="AK69" i="1"/>
  <c r="S143" i="7"/>
  <c r="S142" i="7" s="1"/>
  <c r="R142" i="7"/>
  <c r="AK64" i="1" s="1"/>
  <c r="S140" i="7"/>
  <c r="S139" i="7" s="1"/>
  <c r="R139" i="7"/>
  <c r="AK77" i="1" s="1"/>
  <c r="S136" i="7"/>
  <c r="S135" i="7" s="1"/>
  <c r="R135" i="7"/>
  <c r="AK74" i="1" s="1"/>
  <c r="S134" i="7"/>
  <c r="AK75" i="1"/>
  <c r="S124" i="7"/>
  <c r="S123" i="7" s="1"/>
  <c r="R123" i="7"/>
  <c r="S120" i="7"/>
  <c r="S119" i="7" s="1"/>
  <c r="R119" i="7"/>
  <c r="AK32" i="1" s="1"/>
  <c r="S116" i="7"/>
  <c r="S115" i="7" s="1"/>
  <c r="R115" i="7"/>
  <c r="AK40" i="1" s="1"/>
  <c r="R112" i="7"/>
  <c r="P111" i="7"/>
  <c r="R109" i="7"/>
  <c r="P108" i="7"/>
  <c r="AJ52" i="1" s="1"/>
  <c r="R106" i="7"/>
  <c r="S106" i="7" s="1"/>
  <c r="P104" i="7"/>
  <c r="AJ44" i="1" s="1"/>
  <c r="S105" i="7"/>
  <c r="S104" i="7" s="1"/>
  <c r="R104" i="7"/>
  <c r="AK44" i="1" s="1"/>
  <c r="S102" i="7"/>
  <c r="S101" i="7" s="1"/>
  <c r="R101" i="7"/>
  <c r="AK55" i="1" s="1"/>
  <c r="S99" i="7"/>
  <c r="S98" i="7" s="1"/>
  <c r="R98" i="7"/>
  <c r="S97" i="7"/>
  <c r="AK57" i="1"/>
  <c r="S96" i="7"/>
  <c r="AK43" i="1"/>
  <c r="S93" i="7"/>
  <c r="S92" i="7" s="1"/>
  <c r="R92" i="7"/>
  <c r="AK29" i="1" s="1"/>
  <c r="S89" i="7"/>
  <c r="S88" i="7" s="1"/>
  <c r="R88" i="7"/>
  <c r="AK39" i="1" s="1"/>
  <c r="S86" i="7"/>
  <c r="S85" i="7" s="1"/>
  <c r="R85" i="7"/>
  <c r="AK59" i="1" s="1"/>
  <c r="S80" i="7"/>
  <c r="S79" i="7" s="1"/>
  <c r="R79" i="7"/>
  <c r="S75" i="7"/>
  <c r="S74" i="7" s="1"/>
  <c r="R74" i="7"/>
  <c r="S73" i="7"/>
  <c r="AK58" i="1"/>
  <c r="S72" i="7"/>
  <c r="AK35" i="1"/>
  <c r="S71" i="7"/>
  <c r="AK33" i="1"/>
  <c r="R70" i="7"/>
  <c r="AJ53" i="1"/>
  <c r="R68" i="7"/>
  <c r="P67" i="7"/>
  <c r="AJ48" i="1" s="1"/>
  <c r="S64" i="7"/>
  <c r="S63" i="7" s="1"/>
  <c r="R63" i="7"/>
  <c r="AK38" i="1" s="1"/>
  <c r="S60" i="7"/>
  <c r="S59" i="7" s="1"/>
  <c r="R59" i="7"/>
  <c r="AK56" i="1" s="1"/>
  <c r="S57" i="7"/>
  <c r="R55" i="7"/>
  <c r="S55" i="7"/>
  <c r="S54" i="7"/>
  <c r="S52" i="7" s="1"/>
  <c r="R52" i="7"/>
  <c r="AK28" i="1" s="1"/>
  <c r="S50" i="7"/>
  <c r="S49" i="7" s="1"/>
  <c r="R49" i="7"/>
  <c r="AK49" i="1" s="1"/>
  <c r="S46" i="7"/>
  <c r="S45" i="7" s="1"/>
  <c r="R45" i="7"/>
  <c r="AK47" i="1" s="1"/>
  <c r="S42" i="7"/>
  <c r="S41" i="7" s="1"/>
  <c r="R41" i="7"/>
  <c r="AK45" i="1" s="1"/>
  <c r="S35" i="7"/>
  <c r="S34" i="7" s="1"/>
  <c r="R34" i="7"/>
  <c r="S30" i="7"/>
  <c r="S29" i="7" s="1"/>
  <c r="R29" i="7"/>
  <c r="AK31" i="1" s="1"/>
  <c r="S42" i="6"/>
  <c r="S41" i="6" s="1"/>
  <c r="AE127" i="1"/>
  <c r="CE90" i="1"/>
  <c r="CE107" i="1"/>
  <c r="CE80" i="1"/>
  <c r="CE98" i="1"/>
  <c r="CE123" i="1"/>
  <c r="CE92" i="1"/>
  <c r="CE79" i="1"/>
  <c r="CE120" i="1"/>
  <c r="CE83" i="1"/>
  <c r="CE62" i="1"/>
  <c r="CE93" i="1"/>
  <c r="CE89" i="1"/>
  <c r="CE105" i="1"/>
  <c r="CE94" i="1"/>
  <c r="CE117" i="1"/>
  <c r="CE91" i="1"/>
  <c r="CE99" i="1"/>
  <c r="CE112" i="1"/>
  <c r="CE84" i="1"/>
  <c r="CE63" i="1"/>
  <c r="CE108" i="1"/>
  <c r="CE124" i="1"/>
  <c r="CE68" i="1"/>
  <c r="CE77" i="1"/>
  <c r="CE122" i="1"/>
  <c r="CE66" i="1"/>
  <c r="CE81" i="1"/>
  <c r="CE126" i="1"/>
  <c r="CE64" i="1"/>
  <c r="CE87" i="1"/>
  <c r="CE106" i="1"/>
  <c r="CE82" i="1"/>
  <c r="CE113" i="1"/>
  <c r="CE121" i="1"/>
  <c r="CE109" i="1"/>
  <c r="CE67" i="1"/>
  <c r="CE114" i="1"/>
  <c r="CE118" i="1"/>
  <c r="CE75" i="1"/>
  <c r="CE85" i="1"/>
  <c r="CE69" i="1"/>
  <c r="CE97" i="1"/>
  <c r="CE119" i="1"/>
  <c r="CE73" i="1"/>
  <c r="CE65" i="1"/>
  <c r="CE115" i="1"/>
  <c r="CE101" i="1"/>
  <c r="CE125" i="1"/>
  <c r="CE74" i="1"/>
  <c r="CE102" i="1"/>
  <c r="CE110" i="1"/>
  <c r="CE76" i="1"/>
  <c r="CE104" i="1"/>
  <c r="CE3" i="1"/>
  <c r="CE61" i="1"/>
  <c r="CE72" i="1"/>
  <c r="CE86" i="1"/>
  <c r="CE100" i="1"/>
  <c r="CE116" i="1"/>
  <c r="CE71" i="1"/>
  <c r="CE95" i="1"/>
  <c r="CE78" i="1"/>
  <c r="CE103" i="1"/>
  <c r="CE111" i="1"/>
  <c r="CE60" i="1"/>
  <c r="P128" i="7"/>
  <c r="G26" i="7"/>
  <c r="R39" i="6"/>
  <c r="S40" i="6"/>
  <c r="S39" i="6" s="1"/>
  <c r="S26" i="6" s="1"/>
  <c r="S19" i="6" s="1"/>
  <c r="S22" i="7"/>
  <c r="S20" i="7" s="1"/>
  <c r="R20" i="7"/>
  <c r="R20" i="6"/>
  <c r="P26" i="7"/>
  <c r="R28" i="7"/>
  <c r="AK30" i="1" s="1"/>
  <c r="R52" i="6"/>
  <c r="P52" i="6"/>
  <c r="P26" i="6" s="1"/>
  <c r="P19" i="6" s="1"/>
  <c r="R26" i="6" l="1"/>
  <c r="CC127" i="1"/>
  <c r="CB127" i="1"/>
  <c r="CG127" i="1"/>
  <c r="CF127" i="1"/>
  <c r="CD127" i="1"/>
  <c r="S68" i="7"/>
  <c r="S67" i="7" s="1"/>
  <c r="R67" i="7"/>
  <c r="AK48" i="1" s="1"/>
  <c r="S70" i="7"/>
  <c r="AK53" i="1"/>
  <c r="S109" i="7"/>
  <c r="S108" i="7" s="1"/>
  <c r="R108" i="7"/>
  <c r="AK52" i="1" s="1"/>
  <c r="S112" i="7"/>
  <c r="S111" i="7" s="1"/>
  <c r="R111" i="7"/>
  <c r="S179" i="7"/>
  <c r="S178" i="7" s="1"/>
  <c r="R178" i="7"/>
  <c r="AK67" i="1" s="1"/>
  <c r="S95" i="7"/>
  <c r="AK27" i="1"/>
  <c r="S163" i="7"/>
  <c r="S162" i="7" s="1"/>
  <c r="S128" i="7" s="1"/>
  <c r="R162" i="7"/>
  <c r="S83" i="7"/>
  <c r="S82" i="7" s="1"/>
  <c r="R82" i="7"/>
  <c r="R19" i="6"/>
  <c r="R26" i="7"/>
  <c r="S28" i="7"/>
  <c r="S26" i="7" s="1"/>
  <c r="AK72" i="1" l="1"/>
  <c r="R128" i="7"/>
  <c r="CE127" i="1"/>
  <c r="T83" i="1"/>
  <c r="U83" i="1"/>
  <c r="V83" i="1"/>
  <c r="X83" i="1"/>
  <c r="Y83" i="1"/>
  <c r="T84" i="1"/>
  <c r="U84" i="1"/>
  <c r="V84" i="1"/>
  <c r="X84" i="1"/>
  <c r="Y84" i="1"/>
  <c r="T86" i="1"/>
  <c r="U86" i="1"/>
  <c r="V86" i="1"/>
  <c r="X86" i="1"/>
  <c r="Y86" i="1"/>
  <c r="T87" i="1"/>
  <c r="U87" i="1"/>
  <c r="V87" i="1"/>
  <c r="X87" i="1"/>
  <c r="Y87" i="1"/>
  <c r="T88" i="1"/>
  <c r="U88" i="1"/>
  <c r="V88" i="1"/>
  <c r="X88" i="1"/>
  <c r="Y88" i="1"/>
  <c r="T90" i="1"/>
  <c r="U90" i="1"/>
  <c r="V90" i="1"/>
  <c r="X90" i="1"/>
  <c r="Y90" i="1"/>
  <c r="T91" i="1"/>
  <c r="U91" i="1"/>
  <c r="V91" i="1"/>
  <c r="X91" i="1"/>
  <c r="Y91" i="1"/>
  <c r="T92" i="1"/>
  <c r="U92" i="1"/>
  <c r="V92" i="1"/>
  <c r="X92" i="1"/>
  <c r="Y92" i="1"/>
  <c r="T93" i="1"/>
  <c r="U93" i="1"/>
  <c r="V93" i="1"/>
  <c r="X93" i="1"/>
  <c r="Y93" i="1"/>
  <c r="T126" i="1"/>
  <c r="U126" i="1"/>
  <c r="V126" i="1"/>
  <c r="X126" i="1"/>
  <c r="Y126" i="1"/>
  <c r="T97" i="1"/>
  <c r="U97" i="1"/>
  <c r="V97" i="1"/>
  <c r="X97" i="1"/>
  <c r="Y97" i="1"/>
  <c r="T100" i="1"/>
  <c r="U100" i="1"/>
  <c r="V100" i="1"/>
  <c r="X100" i="1"/>
  <c r="Y100" i="1"/>
  <c r="T101" i="1"/>
  <c r="U101" i="1"/>
  <c r="V101" i="1"/>
  <c r="X101" i="1"/>
  <c r="Y101" i="1"/>
  <c r="T104" i="1"/>
  <c r="U104" i="1"/>
  <c r="V104" i="1"/>
  <c r="X104" i="1"/>
  <c r="Y104" i="1"/>
  <c r="T105" i="1"/>
  <c r="U105" i="1"/>
  <c r="V105" i="1"/>
  <c r="X105" i="1"/>
  <c r="Y105" i="1"/>
  <c r="T110" i="1"/>
  <c r="U110" i="1"/>
  <c r="V110" i="1"/>
  <c r="X110" i="1"/>
  <c r="Y110" i="1"/>
  <c r="T111" i="1"/>
  <c r="U111" i="1"/>
  <c r="V111" i="1"/>
  <c r="X111" i="1"/>
  <c r="Y111" i="1"/>
  <c r="T112" i="1"/>
  <c r="U112" i="1"/>
  <c r="V112" i="1"/>
  <c r="X112" i="1"/>
  <c r="Y112" i="1"/>
  <c r="T113" i="1"/>
  <c r="U113" i="1"/>
  <c r="V113" i="1"/>
  <c r="X113" i="1"/>
  <c r="Y113" i="1"/>
  <c r="T120" i="1"/>
  <c r="U120" i="1"/>
  <c r="V120" i="1"/>
  <c r="X120" i="1"/>
  <c r="Y120" i="1"/>
  <c r="T121" i="1"/>
  <c r="U121" i="1"/>
  <c r="V121" i="1"/>
  <c r="X121" i="1"/>
  <c r="Y121" i="1"/>
  <c r="T122" i="1"/>
  <c r="U122" i="1"/>
  <c r="V122" i="1"/>
  <c r="X122" i="1"/>
  <c r="Y122" i="1"/>
  <c r="T125" i="1"/>
  <c r="U125" i="1"/>
  <c r="V125" i="1"/>
  <c r="X125" i="1"/>
  <c r="Y125" i="1"/>
  <c r="T127" i="1"/>
  <c r="U127" i="1"/>
  <c r="V127" i="1"/>
  <c r="X127" i="1"/>
  <c r="Y127" i="1"/>
  <c r="Y80" i="1"/>
  <c r="X80" i="1"/>
  <c r="V80" i="1"/>
  <c r="U80" i="1"/>
  <c r="T80" i="1"/>
  <c r="T4" i="1"/>
  <c r="U4" i="1"/>
  <c r="V4" i="1"/>
  <c r="X4" i="1"/>
  <c r="Y4" i="1"/>
  <c r="T5" i="1"/>
  <c r="U5" i="1"/>
  <c r="V5" i="1"/>
  <c r="X5" i="1"/>
  <c r="Y5" i="1"/>
  <c r="T7" i="1"/>
  <c r="U7" i="1"/>
  <c r="V7" i="1"/>
  <c r="X7" i="1"/>
  <c r="Y7" i="1"/>
  <c r="T9" i="1"/>
  <c r="U9" i="1"/>
  <c r="V9" i="1"/>
  <c r="X9" i="1"/>
  <c r="Y9" i="1"/>
  <c r="T10" i="1"/>
  <c r="U10" i="1"/>
  <c r="V10" i="1"/>
  <c r="X10" i="1"/>
  <c r="Y10" i="1"/>
  <c r="T11" i="1"/>
  <c r="U11" i="1"/>
  <c r="V11" i="1"/>
  <c r="X11" i="1"/>
  <c r="Y11" i="1"/>
  <c r="T12" i="1"/>
  <c r="U12" i="1"/>
  <c r="V12" i="1"/>
  <c r="X12" i="1"/>
  <c r="Y12" i="1"/>
  <c r="T13" i="1"/>
  <c r="U13" i="1"/>
  <c r="V13" i="1"/>
  <c r="X13" i="1"/>
  <c r="Y13" i="1"/>
  <c r="T15" i="1"/>
  <c r="U15" i="1"/>
  <c r="V15" i="1"/>
  <c r="X15" i="1"/>
  <c r="Y15" i="1"/>
  <c r="T16" i="1"/>
  <c r="U16" i="1"/>
  <c r="V16" i="1"/>
  <c r="X16" i="1"/>
  <c r="Y16" i="1"/>
  <c r="T18" i="1"/>
  <c r="U18" i="1"/>
  <c r="V18" i="1"/>
  <c r="X18" i="1"/>
  <c r="Y18" i="1"/>
  <c r="T19" i="1"/>
  <c r="U19" i="1"/>
  <c r="V19" i="1"/>
  <c r="X19" i="1"/>
  <c r="Y19" i="1"/>
  <c r="T20" i="1"/>
  <c r="U20" i="1"/>
  <c r="V20" i="1"/>
  <c r="X20" i="1"/>
  <c r="Y20" i="1"/>
  <c r="T21" i="1"/>
  <c r="U21" i="1"/>
  <c r="V21" i="1"/>
  <c r="X21" i="1"/>
  <c r="Y21" i="1"/>
  <c r="T22" i="1"/>
  <c r="U22" i="1"/>
  <c r="V22" i="1"/>
  <c r="X22" i="1"/>
  <c r="Y22" i="1"/>
  <c r="T23" i="1"/>
  <c r="U23" i="1"/>
  <c r="V23" i="1"/>
  <c r="X23" i="1"/>
  <c r="Y23" i="1"/>
  <c r="T24" i="1"/>
  <c r="U24" i="1"/>
  <c r="V24" i="1"/>
  <c r="X24" i="1"/>
  <c r="Y24" i="1"/>
  <c r="T25" i="1"/>
  <c r="U25" i="1"/>
  <c r="V25" i="1"/>
  <c r="X25" i="1"/>
  <c r="Y25" i="1"/>
  <c r="Y3" i="1"/>
  <c r="X3" i="1"/>
  <c r="V3" i="1"/>
  <c r="U3" i="1"/>
  <c r="T3" i="1"/>
  <c r="R8" i="1"/>
  <c r="R17" i="1"/>
  <c r="R6" i="1"/>
  <c r="N4" i="1"/>
  <c r="O4" i="1"/>
  <c r="P4" i="1"/>
  <c r="R4" i="1"/>
  <c r="S4" i="1"/>
  <c r="N5" i="1"/>
  <c r="O5" i="1"/>
  <c r="P5" i="1"/>
  <c r="R5" i="1"/>
  <c r="S5" i="1"/>
  <c r="O6" i="1"/>
  <c r="N7" i="1"/>
  <c r="O7" i="1"/>
  <c r="P7" i="1"/>
  <c r="R7" i="1"/>
  <c r="S7" i="1"/>
  <c r="O8" i="1"/>
  <c r="N9" i="1"/>
  <c r="O9" i="1"/>
  <c r="P9" i="1"/>
  <c r="R9" i="1"/>
  <c r="S9" i="1"/>
  <c r="N10" i="1"/>
  <c r="O10" i="1"/>
  <c r="P10" i="1"/>
  <c r="R10" i="1"/>
  <c r="S10" i="1"/>
  <c r="N11" i="1"/>
  <c r="O11" i="1"/>
  <c r="P11" i="1"/>
  <c r="R11" i="1"/>
  <c r="S11" i="1"/>
  <c r="N12" i="1"/>
  <c r="O12" i="1"/>
  <c r="P12" i="1"/>
  <c r="R12" i="1"/>
  <c r="S12" i="1"/>
  <c r="N13" i="1"/>
  <c r="O13" i="1"/>
  <c r="P13" i="1"/>
  <c r="R13" i="1"/>
  <c r="S13" i="1"/>
  <c r="N14" i="1"/>
  <c r="O14" i="1"/>
  <c r="P14" i="1"/>
  <c r="R14" i="1"/>
  <c r="S14" i="1"/>
  <c r="N15" i="1"/>
  <c r="O15" i="1"/>
  <c r="P15" i="1"/>
  <c r="R15" i="1"/>
  <c r="S15" i="1"/>
  <c r="N16" i="1"/>
  <c r="O16" i="1"/>
  <c r="P16" i="1"/>
  <c r="R16" i="1"/>
  <c r="S16" i="1"/>
  <c r="O17" i="1"/>
  <c r="N18" i="1"/>
  <c r="O18" i="1"/>
  <c r="P18" i="1"/>
  <c r="R18" i="1"/>
  <c r="S18" i="1"/>
  <c r="N19" i="1"/>
  <c r="O19" i="1"/>
  <c r="P19" i="1"/>
  <c r="R19" i="1"/>
  <c r="S19" i="1"/>
  <c r="N20" i="1"/>
  <c r="O20" i="1"/>
  <c r="P20" i="1"/>
  <c r="R20" i="1"/>
  <c r="S20" i="1"/>
  <c r="N21" i="1"/>
  <c r="O21" i="1"/>
  <c r="P21" i="1"/>
  <c r="R21" i="1"/>
  <c r="S21" i="1"/>
  <c r="N22" i="1"/>
  <c r="O22" i="1"/>
  <c r="P22" i="1"/>
  <c r="R22" i="1"/>
  <c r="S22" i="1"/>
  <c r="N23" i="1"/>
  <c r="O23" i="1"/>
  <c r="P23" i="1"/>
  <c r="R23" i="1"/>
  <c r="S23" i="1"/>
  <c r="N24" i="1"/>
  <c r="O24" i="1"/>
  <c r="P24" i="1"/>
  <c r="R24" i="1"/>
  <c r="S24" i="1"/>
  <c r="N25" i="1"/>
  <c r="O25" i="1"/>
  <c r="P25" i="1"/>
  <c r="R25" i="1"/>
  <c r="S25" i="1"/>
  <c r="S3" i="1"/>
  <c r="R3" i="1"/>
  <c r="P3" i="1"/>
  <c r="O3" i="1"/>
  <c r="N3" i="1"/>
  <c r="S80" i="1"/>
  <c r="R80" i="1"/>
  <c r="P80" i="1"/>
  <c r="O80" i="1"/>
  <c r="N80" i="1"/>
  <c r="M81" i="1"/>
  <c r="M83" i="1"/>
  <c r="M84" i="1"/>
  <c r="M88" i="1"/>
  <c r="M89" i="1"/>
  <c r="M90" i="1"/>
  <c r="M91" i="1"/>
  <c r="M92" i="1"/>
  <c r="M93" i="1"/>
  <c r="M94" i="1"/>
  <c r="M95" i="1"/>
  <c r="M96" i="1"/>
  <c r="M82" i="1"/>
  <c r="M126" i="1"/>
  <c r="M97" i="1"/>
  <c r="M98" i="1"/>
  <c r="M99" i="1"/>
  <c r="M100" i="1"/>
  <c r="M101" i="1"/>
  <c r="M102" i="1"/>
  <c r="M104" i="1"/>
  <c r="M105" i="1"/>
  <c r="M106" i="1"/>
  <c r="M108" i="1"/>
  <c r="M109" i="1"/>
  <c r="M110" i="1"/>
  <c r="M111" i="1"/>
  <c r="M112" i="1"/>
  <c r="M113" i="1"/>
  <c r="M114" i="1"/>
  <c r="M116" i="1"/>
  <c r="M117" i="1"/>
  <c r="M118" i="1"/>
  <c r="M119" i="1"/>
  <c r="M122" i="1"/>
  <c r="M123" i="1"/>
  <c r="M125" i="1"/>
  <c r="M127" i="1"/>
  <c r="M80" i="1"/>
  <c r="L81" i="1"/>
  <c r="L83" i="1"/>
  <c r="L84" i="1"/>
  <c r="L88" i="1"/>
  <c r="L89" i="1"/>
  <c r="L90" i="1"/>
  <c r="L91" i="1"/>
  <c r="L92" i="1"/>
  <c r="L93" i="1"/>
  <c r="L94" i="1"/>
  <c r="L95" i="1"/>
  <c r="L96" i="1"/>
  <c r="L82" i="1"/>
  <c r="L126" i="1"/>
  <c r="L97" i="1"/>
  <c r="L98" i="1"/>
  <c r="L99" i="1"/>
  <c r="L100" i="1"/>
  <c r="L101" i="1"/>
  <c r="L102" i="1"/>
  <c r="L104" i="1"/>
  <c r="L105" i="1"/>
  <c r="L106" i="1"/>
  <c r="L108" i="1"/>
  <c r="L109" i="1"/>
  <c r="L110" i="1"/>
  <c r="L111" i="1"/>
  <c r="L112" i="1"/>
  <c r="L113" i="1"/>
  <c r="L114" i="1"/>
  <c r="L116" i="1"/>
  <c r="L117" i="1"/>
  <c r="L118" i="1"/>
  <c r="L119" i="1"/>
  <c r="L122" i="1"/>
  <c r="L123" i="1"/>
  <c r="L125" i="1"/>
  <c r="L127" i="1"/>
  <c r="L80" i="1"/>
  <c r="J81" i="1"/>
  <c r="J83" i="1"/>
  <c r="J84" i="1"/>
  <c r="J88" i="1"/>
  <c r="J89" i="1"/>
  <c r="J90" i="1"/>
  <c r="J91" i="1"/>
  <c r="J92" i="1"/>
  <c r="J93" i="1"/>
  <c r="J94" i="1"/>
  <c r="J95" i="1"/>
  <c r="J96" i="1"/>
  <c r="J82" i="1"/>
  <c r="J126" i="1"/>
  <c r="J97" i="1"/>
  <c r="J98" i="1"/>
  <c r="J99" i="1"/>
  <c r="J101" i="1"/>
  <c r="J102" i="1"/>
  <c r="J104" i="1"/>
  <c r="J105" i="1"/>
  <c r="J106" i="1"/>
  <c r="J108" i="1"/>
  <c r="J109" i="1"/>
  <c r="J110" i="1"/>
  <c r="J111" i="1"/>
  <c r="J112" i="1"/>
  <c r="J113" i="1"/>
  <c r="J114" i="1"/>
  <c r="J116" i="1"/>
  <c r="J117" i="1"/>
  <c r="J118" i="1"/>
  <c r="J122" i="1"/>
  <c r="J123" i="1"/>
  <c r="J125" i="1"/>
  <c r="J127" i="1"/>
  <c r="J80" i="1"/>
  <c r="I81" i="1"/>
  <c r="K81" i="1" s="1"/>
  <c r="I83" i="1"/>
  <c r="I84" i="1"/>
  <c r="K84" i="1" s="1"/>
  <c r="I85" i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82" i="1"/>
  <c r="K82" i="1" s="1"/>
  <c r="I126" i="1"/>
  <c r="K126" i="1" s="1"/>
  <c r="I97" i="1"/>
  <c r="I98" i="1"/>
  <c r="K98" i="1" s="1"/>
  <c r="I99" i="1"/>
  <c r="K99" i="1" s="1"/>
  <c r="I100" i="1"/>
  <c r="I101" i="1"/>
  <c r="K101" i="1" s="1"/>
  <c r="I102" i="1"/>
  <c r="K102" i="1" s="1"/>
  <c r="I104" i="1"/>
  <c r="K104" i="1" s="1"/>
  <c r="I105" i="1"/>
  <c r="K105" i="1" s="1"/>
  <c r="I106" i="1"/>
  <c r="K106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6" i="1"/>
  <c r="K116" i="1" s="1"/>
  <c r="I117" i="1"/>
  <c r="K117" i="1" s="1"/>
  <c r="I118" i="1"/>
  <c r="K118" i="1" s="1"/>
  <c r="I122" i="1"/>
  <c r="K122" i="1" s="1"/>
  <c r="I123" i="1"/>
  <c r="K123" i="1" s="1"/>
  <c r="I125" i="1"/>
  <c r="K125" i="1" s="1"/>
  <c r="I127" i="1"/>
  <c r="K127" i="1" s="1"/>
  <c r="I80" i="1"/>
  <c r="K80" i="1" s="1"/>
  <c r="H81" i="1"/>
  <c r="H83" i="1"/>
  <c r="H84" i="1"/>
  <c r="H88" i="1"/>
  <c r="H89" i="1"/>
  <c r="H90" i="1"/>
  <c r="H91" i="1"/>
  <c r="H92" i="1"/>
  <c r="H93" i="1"/>
  <c r="H94" i="1"/>
  <c r="H95" i="1"/>
  <c r="H96" i="1"/>
  <c r="H82" i="1"/>
  <c r="H126" i="1"/>
  <c r="H97" i="1"/>
  <c r="H98" i="1"/>
  <c r="H99" i="1"/>
  <c r="H101" i="1"/>
  <c r="H102" i="1"/>
  <c r="H104" i="1"/>
  <c r="H105" i="1"/>
  <c r="H106" i="1"/>
  <c r="H108" i="1"/>
  <c r="H109" i="1"/>
  <c r="H110" i="1"/>
  <c r="H111" i="1"/>
  <c r="H112" i="1"/>
  <c r="H113" i="1"/>
  <c r="H114" i="1"/>
  <c r="H116" i="1"/>
  <c r="H117" i="1"/>
  <c r="H118" i="1"/>
  <c r="H122" i="1"/>
  <c r="H123" i="1"/>
  <c r="H125" i="1"/>
  <c r="H127" i="1"/>
  <c r="H80" i="1"/>
  <c r="W88" i="1" l="1"/>
  <c r="CA19" i="1"/>
  <c r="BZ19" i="1"/>
  <c r="BX19" i="1"/>
  <c r="BW19" i="1"/>
  <c r="BV19" i="1"/>
  <c r="CA11" i="1"/>
  <c r="BZ11" i="1"/>
  <c r="BX11" i="1"/>
  <c r="BW11" i="1"/>
  <c r="BV11" i="1"/>
  <c r="CA3" i="1"/>
  <c r="BZ3" i="1"/>
  <c r="BX3" i="1"/>
  <c r="BW3" i="1"/>
  <c r="BY3" i="1" s="1"/>
  <c r="BV3" i="1"/>
  <c r="BV22" i="1"/>
  <c r="CA22" i="1"/>
  <c r="BZ22" i="1"/>
  <c r="BX22" i="1"/>
  <c r="BW22" i="1"/>
  <c r="BW25" i="1"/>
  <c r="BV25" i="1"/>
  <c r="CA25" i="1"/>
  <c r="BZ25" i="1"/>
  <c r="BX25" i="1"/>
  <c r="BW9" i="1"/>
  <c r="BV9" i="1"/>
  <c r="CA9" i="1"/>
  <c r="BZ9" i="1"/>
  <c r="BX9" i="1"/>
  <c r="BX20" i="1"/>
  <c r="BW20" i="1"/>
  <c r="BV20" i="1"/>
  <c r="CA20" i="1"/>
  <c r="BZ20" i="1"/>
  <c r="BX12" i="1"/>
  <c r="BW12" i="1"/>
  <c r="BV12" i="1"/>
  <c r="CA12" i="1"/>
  <c r="BZ12" i="1"/>
  <c r="BX4" i="1"/>
  <c r="BW4" i="1"/>
  <c r="BV4" i="1"/>
  <c r="CA4" i="1"/>
  <c r="BZ4" i="1"/>
  <c r="BZ23" i="1"/>
  <c r="BX23" i="1"/>
  <c r="BW23" i="1"/>
  <c r="BV23" i="1"/>
  <c r="CA23" i="1"/>
  <c r="BZ15" i="1"/>
  <c r="BX15" i="1"/>
  <c r="BW15" i="1"/>
  <c r="BV15" i="1"/>
  <c r="CA15" i="1"/>
  <c r="BZ7" i="1"/>
  <c r="BX7" i="1"/>
  <c r="BW7" i="1"/>
  <c r="BV7" i="1"/>
  <c r="CA7" i="1"/>
  <c r="CA18" i="1"/>
  <c r="BZ18" i="1"/>
  <c r="BX18" i="1"/>
  <c r="BW18" i="1"/>
  <c r="BV18" i="1"/>
  <c r="CA10" i="1"/>
  <c r="BZ10" i="1"/>
  <c r="BX10" i="1"/>
  <c r="BW10" i="1"/>
  <c r="BV10" i="1"/>
  <c r="CA21" i="1"/>
  <c r="BZ21" i="1"/>
  <c r="BX21" i="1"/>
  <c r="BW21" i="1"/>
  <c r="BV21" i="1"/>
  <c r="CA13" i="1"/>
  <c r="BZ13" i="1"/>
  <c r="BX13" i="1"/>
  <c r="BW13" i="1"/>
  <c r="BV13" i="1"/>
  <c r="CA5" i="1"/>
  <c r="BZ5" i="1"/>
  <c r="BX5" i="1"/>
  <c r="BW5" i="1"/>
  <c r="BV5" i="1"/>
  <c r="CA24" i="1"/>
  <c r="BZ24" i="1"/>
  <c r="BX24" i="1"/>
  <c r="BW24" i="1"/>
  <c r="BV24" i="1"/>
  <c r="CA16" i="1"/>
  <c r="BZ16" i="1"/>
  <c r="BX16" i="1"/>
  <c r="BW16" i="1"/>
  <c r="BY16" i="1" s="1"/>
  <c r="BV16" i="1"/>
  <c r="W16" i="1"/>
  <c r="W110" i="1"/>
  <c r="W90" i="1"/>
  <c r="W13" i="1"/>
  <c r="Q15" i="1"/>
  <c r="W92" i="1"/>
  <c r="K83" i="1"/>
  <c r="W11" i="1"/>
  <c r="W111" i="1"/>
  <c r="W91" i="1"/>
  <c r="W22" i="1"/>
  <c r="W100" i="1"/>
  <c r="W23" i="1"/>
  <c r="W15" i="1"/>
  <c r="W10" i="1"/>
  <c r="W7" i="1"/>
  <c r="W101" i="1"/>
  <c r="W87" i="1"/>
  <c r="W19" i="1"/>
  <c r="W93" i="1"/>
  <c r="W20" i="1"/>
  <c r="W9" i="1"/>
  <c r="W21" i="1"/>
  <c r="W18" i="1"/>
  <c r="W127" i="1"/>
  <c r="W84" i="1"/>
  <c r="Q10" i="1"/>
  <c r="W121" i="1"/>
  <c r="W122" i="1"/>
  <c r="W97" i="1"/>
  <c r="Q18" i="1"/>
  <c r="Q13" i="1"/>
  <c r="W25" i="1"/>
  <c r="W104" i="1"/>
  <c r="W86" i="1"/>
  <c r="W83" i="1"/>
  <c r="W113" i="1"/>
  <c r="W126" i="1"/>
  <c r="Q19" i="1"/>
  <c r="W4" i="1"/>
  <c r="W125" i="1"/>
  <c r="W120" i="1"/>
  <c r="W105" i="1"/>
  <c r="Q12" i="1"/>
  <c r="Q7" i="1"/>
  <c r="W24" i="1"/>
  <c r="W5" i="1"/>
  <c r="Q3" i="1"/>
  <c r="W12" i="1"/>
  <c r="W112" i="1"/>
  <c r="K97" i="1"/>
  <c r="W80" i="1"/>
  <c r="W3" i="1"/>
  <c r="Q22" i="1"/>
  <c r="Q21" i="1"/>
  <c r="Q16" i="1"/>
  <c r="Q24" i="1"/>
  <c r="Q23" i="1"/>
  <c r="Q14" i="1"/>
  <c r="Q25" i="1"/>
  <c r="Q20" i="1"/>
  <c r="Q5" i="1"/>
  <c r="Q9" i="1"/>
  <c r="Q4" i="1"/>
  <c r="Q11" i="1"/>
  <c r="Q80" i="1"/>
  <c r="J20" i="4"/>
  <c r="K20" i="4"/>
  <c r="T20" i="4"/>
  <c r="D22" i="4"/>
  <c r="E22" i="4"/>
  <c r="E21" i="4" s="1"/>
  <c r="G22" i="4"/>
  <c r="H22" i="4"/>
  <c r="O22" i="4"/>
  <c r="O21" i="4" s="1"/>
  <c r="Q22" i="4"/>
  <c r="U22" i="4"/>
  <c r="I23" i="4"/>
  <c r="K23" i="4"/>
  <c r="N23" i="4"/>
  <c r="N22" i="4" s="1"/>
  <c r="N21" i="4" s="1"/>
  <c r="R23" i="4"/>
  <c r="R22" i="4" s="1"/>
  <c r="D24" i="4"/>
  <c r="T6" i="1" s="1"/>
  <c r="E24" i="4"/>
  <c r="G24" i="4"/>
  <c r="H24" i="4"/>
  <c r="V6" i="1" s="1"/>
  <c r="O24" i="4"/>
  <c r="Q24" i="4"/>
  <c r="U24" i="4"/>
  <c r="I25" i="4"/>
  <c r="R25" i="4" s="1"/>
  <c r="K25" i="4"/>
  <c r="N25" i="4"/>
  <c r="N24" i="4" s="1"/>
  <c r="P24" i="4" s="1"/>
  <c r="D26" i="4"/>
  <c r="T8" i="1" s="1"/>
  <c r="E26" i="4"/>
  <c r="G26" i="4"/>
  <c r="U8" i="1" s="1"/>
  <c r="H26" i="4"/>
  <c r="V8" i="1" s="1"/>
  <c r="I26" i="4"/>
  <c r="O26" i="4"/>
  <c r="Q26" i="4"/>
  <c r="U26" i="4"/>
  <c r="I27" i="4"/>
  <c r="K27" i="4"/>
  <c r="N27" i="4"/>
  <c r="N26" i="4" s="1"/>
  <c r="R27" i="4"/>
  <c r="R26" i="4" s="1"/>
  <c r="S26" i="4" s="1"/>
  <c r="X8" i="1" s="1"/>
  <c r="S27" i="4"/>
  <c r="V27" i="4"/>
  <c r="V26" i="4" s="1"/>
  <c r="D28" i="4"/>
  <c r="T17" i="1" s="1"/>
  <c r="E28" i="4"/>
  <c r="G28" i="4"/>
  <c r="U17" i="1" s="1"/>
  <c r="H28" i="4"/>
  <c r="V17" i="1" s="1"/>
  <c r="I28" i="4"/>
  <c r="O28" i="4"/>
  <c r="U28" i="4"/>
  <c r="I29" i="4"/>
  <c r="R29" i="4" s="1"/>
  <c r="K29" i="4"/>
  <c r="N29" i="4"/>
  <c r="N28" i="4" s="1"/>
  <c r="P28" i="4" s="1"/>
  <c r="I30" i="4"/>
  <c r="K30" i="4"/>
  <c r="N30" i="4"/>
  <c r="Q30" i="4"/>
  <c r="Q28" i="4" s="1"/>
  <c r="S30" i="4"/>
  <c r="U30" i="4"/>
  <c r="W30" i="4"/>
  <c r="X30" i="4" s="1"/>
  <c r="D32" i="4"/>
  <c r="T82" i="1" s="1"/>
  <c r="E32" i="4"/>
  <c r="G32" i="4"/>
  <c r="H32" i="4"/>
  <c r="O32" i="4"/>
  <c r="Q32" i="4"/>
  <c r="U32" i="4"/>
  <c r="I33" i="4"/>
  <c r="R33" i="4" s="1"/>
  <c r="K33" i="4"/>
  <c r="N33" i="4"/>
  <c r="I34" i="4"/>
  <c r="R34" i="4" s="1"/>
  <c r="S34" i="4" s="1"/>
  <c r="V34" i="4" s="1"/>
  <c r="W34" i="4" s="1"/>
  <c r="X34" i="4" s="1"/>
  <c r="K34" i="4"/>
  <c r="N34" i="4"/>
  <c r="D35" i="4"/>
  <c r="E35" i="4"/>
  <c r="G35" i="4"/>
  <c r="U95" i="1" s="1"/>
  <c r="H35" i="4"/>
  <c r="V95" i="1" s="1"/>
  <c r="I35" i="4"/>
  <c r="O35" i="4"/>
  <c r="Q35" i="4"/>
  <c r="U35" i="4"/>
  <c r="I36" i="4"/>
  <c r="R36" i="4" s="1"/>
  <c r="K36" i="4"/>
  <c r="N36" i="4"/>
  <c r="N35" i="4" s="1"/>
  <c r="I37" i="4"/>
  <c r="R37" i="4" s="1"/>
  <c r="S37" i="4" s="1"/>
  <c r="V37" i="4" s="1"/>
  <c r="W37" i="4" s="1"/>
  <c r="X37" i="4" s="1"/>
  <c r="K37" i="4"/>
  <c r="D38" i="4"/>
  <c r="T98" i="1" s="1"/>
  <c r="E38" i="4"/>
  <c r="G38" i="4"/>
  <c r="H38" i="4"/>
  <c r="V98" i="1" s="1"/>
  <c r="N38" i="4"/>
  <c r="O38" i="4"/>
  <c r="P38" i="4" s="1"/>
  <c r="Q38" i="4"/>
  <c r="U38" i="4"/>
  <c r="I39" i="4"/>
  <c r="K39" i="4"/>
  <c r="R39" i="4"/>
  <c r="R38" i="4" s="1"/>
  <c r="S38" i="4" s="1"/>
  <c r="X98" i="1" s="1"/>
  <c r="S39" i="4"/>
  <c r="V39" i="4" s="1"/>
  <c r="D40" i="4"/>
  <c r="T99" i="1" s="1"/>
  <c r="E40" i="4"/>
  <c r="G40" i="4"/>
  <c r="U99" i="1" s="1"/>
  <c r="H40" i="4"/>
  <c r="V99" i="1" s="1"/>
  <c r="I40" i="4"/>
  <c r="Q40" i="4"/>
  <c r="U40" i="4"/>
  <c r="I41" i="4"/>
  <c r="R41" i="4" s="1"/>
  <c r="K41" i="4"/>
  <c r="I42" i="4"/>
  <c r="O42" i="4" s="1"/>
  <c r="O40" i="4" s="1"/>
  <c r="K42" i="4"/>
  <c r="N42" i="4"/>
  <c r="S42" i="4"/>
  <c r="V42" i="4"/>
  <c r="W42" i="4" s="1"/>
  <c r="D43" i="4"/>
  <c r="T103" i="1" s="1"/>
  <c r="E43" i="4"/>
  <c r="G43" i="4"/>
  <c r="U103" i="1" s="1"/>
  <c r="H43" i="4"/>
  <c r="V103" i="1" s="1"/>
  <c r="I43" i="4"/>
  <c r="O43" i="4"/>
  <c r="Q43" i="4"/>
  <c r="U43" i="4"/>
  <c r="I44" i="4"/>
  <c r="R44" i="4" s="1"/>
  <c r="K44" i="4"/>
  <c r="N44" i="4"/>
  <c r="N43" i="4" s="1"/>
  <c r="P43" i="4" s="1"/>
  <c r="I45" i="4"/>
  <c r="K45" i="4"/>
  <c r="R45" i="4"/>
  <c r="S45" i="4" s="1"/>
  <c r="V45" i="4" s="1"/>
  <c r="W45" i="4" s="1"/>
  <c r="X45" i="4" s="1"/>
  <c r="I46" i="4"/>
  <c r="K46" i="4"/>
  <c r="R46" i="4"/>
  <c r="S46" i="4"/>
  <c r="V46" i="4" s="1"/>
  <c r="W46" i="4" s="1"/>
  <c r="X46" i="4" s="1"/>
  <c r="D47" i="4"/>
  <c r="T81" i="1" s="1"/>
  <c r="E47" i="4"/>
  <c r="G47" i="4"/>
  <c r="U81" i="1" s="1"/>
  <c r="H47" i="4"/>
  <c r="V81" i="1" s="1"/>
  <c r="I47" i="4"/>
  <c r="O47" i="4"/>
  <c r="Q47" i="4"/>
  <c r="U47" i="4"/>
  <c r="I48" i="4"/>
  <c r="K48" i="4"/>
  <c r="N48" i="4"/>
  <c r="P48" i="4"/>
  <c r="S48" i="4"/>
  <c r="V48" i="4"/>
  <c r="W48" i="4" s="1"/>
  <c r="X48" i="4" s="1"/>
  <c r="I49" i="4"/>
  <c r="K49" i="4"/>
  <c r="N49" i="4"/>
  <c r="P49" i="4"/>
  <c r="S49" i="4"/>
  <c r="V49" i="4"/>
  <c r="W49" i="4" s="1"/>
  <c r="X49" i="4" s="1"/>
  <c r="I50" i="4"/>
  <c r="R50" i="4" s="1"/>
  <c r="K50" i="4"/>
  <c r="I51" i="4"/>
  <c r="K51" i="4"/>
  <c r="R51" i="4"/>
  <c r="S51" i="4" s="1"/>
  <c r="V51" i="4" s="1"/>
  <c r="W51" i="4" s="1"/>
  <c r="X51" i="4" s="1"/>
  <c r="D52" i="4"/>
  <c r="T94" i="1" s="1"/>
  <c r="E52" i="4"/>
  <c r="G52" i="4"/>
  <c r="H52" i="4"/>
  <c r="V94" i="1" s="1"/>
  <c r="Q52" i="4"/>
  <c r="U52" i="4"/>
  <c r="I53" i="4"/>
  <c r="O53" i="4" s="1"/>
  <c r="K53" i="4"/>
  <c r="N53" i="4"/>
  <c r="S53" i="4"/>
  <c r="V53" i="4"/>
  <c r="I54" i="4"/>
  <c r="K54" i="4"/>
  <c r="N54" i="4"/>
  <c r="O54" i="4"/>
  <c r="S54" i="4"/>
  <c r="V54" i="4" s="1"/>
  <c r="W54" i="4" s="1"/>
  <c r="I55" i="4"/>
  <c r="R55" i="4" s="1"/>
  <c r="K55" i="4"/>
  <c r="N55" i="4"/>
  <c r="D56" i="4"/>
  <c r="T102" i="1" s="1"/>
  <c r="E56" i="4"/>
  <c r="G56" i="4"/>
  <c r="H56" i="4"/>
  <c r="V102" i="1" s="1"/>
  <c r="O56" i="4"/>
  <c r="Q56" i="4"/>
  <c r="U56" i="4"/>
  <c r="I57" i="4"/>
  <c r="K57" i="4"/>
  <c r="N57" i="4"/>
  <c r="P57" i="4"/>
  <c r="S57" i="4"/>
  <c r="V57" i="4"/>
  <c r="I58" i="4"/>
  <c r="K58" i="4"/>
  <c r="N58" i="4"/>
  <c r="R58" i="4"/>
  <c r="R56" i="4" s="1"/>
  <c r="S56" i="4" s="1"/>
  <c r="X102" i="1" s="1"/>
  <c r="D59" i="4"/>
  <c r="T107" i="1" s="1"/>
  <c r="E59" i="4"/>
  <c r="G59" i="4"/>
  <c r="H59" i="4"/>
  <c r="V107" i="1" s="1"/>
  <c r="Q59" i="4"/>
  <c r="U59" i="4"/>
  <c r="I60" i="4"/>
  <c r="R60" i="4" s="1"/>
  <c r="K60" i="4"/>
  <c r="I61" i="4"/>
  <c r="K61" i="4"/>
  <c r="R61" i="4"/>
  <c r="S61" i="4" s="1"/>
  <c r="V61" i="4" s="1"/>
  <c r="W61" i="4" s="1"/>
  <c r="X61" i="4" s="1"/>
  <c r="I62" i="4"/>
  <c r="K62" i="4"/>
  <c r="N62" i="4"/>
  <c r="R62" i="4"/>
  <c r="S62" i="4" s="1"/>
  <c r="V62" i="4" s="1"/>
  <c r="W62" i="4" s="1"/>
  <c r="X62" i="4" s="1"/>
  <c r="I63" i="4"/>
  <c r="K63" i="4"/>
  <c r="N63" i="4"/>
  <c r="R63" i="4"/>
  <c r="S63" i="4" s="1"/>
  <c r="V63" i="4" s="1"/>
  <c r="W63" i="4" s="1"/>
  <c r="X63" i="4" s="1"/>
  <c r="I64" i="4"/>
  <c r="K64" i="4"/>
  <c r="N64" i="4"/>
  <c r="R64" i="4"/>
  <c r="S64" i="4" s="1"/>
  <c r="V64" i="4" s="1"/>
  <c r="W64" i="4" s="1"/>
  <c r="X64" i="4" s="1"/>
  <c r="I65" i="4"/>
  <c r="K65" i="4"/>
  <c r="N65" i="4"/>
  <c r="R65" i="4"/>
  <c r="S65" i="4" s="1"/>
  <c r="V65" i="4" s="1"/>
  <c r="W65" i="4" s="1"/>
  <c r="X65" i="4" s="1"/>
  <c r="I66" i="4"/>
  <c r="K66" i="4"/>
  <c r="N66" i="4"/>
  <c r="O66" i="4"/>
  <c r="S66" i="4"/>
  <c r="V66" i="4"/>
  <c r="W66" i="4" s="1"/>
  <c r="I67" i="4"/>
  <c r="O67" i="4" s="1"/>
  <c r="K67" i="4"/>
  <c r="N67" i="4"/>
  <c r="S67" i="4"/>
  <c r="V67" i="4" s="1"/>
  <c r="W67" i="4" s="1"/>
  <c r="I68" i="4"/>
  <c r="O68" i="4" s="1"/>
  <c r="K68" i="4"/>
  <c r="N68" i="4"/>
  <c r="S68" i="4"/>
  <c r="V68" i="4"/>
  <c r="W68" i="4" s="1"/>
  <c r="I69" i="4"/>
  <c r="K69" i="4"/>
  <c r="N69" i="4"/>
  <c r="O69" i="4"/>
  <c r="S69" i="4"/>
  <c r="V69" i="4" s="1"/>
  <c r="W69" i="4" s="1"/>
  <c r="I70" i="4"/>
  <c r="O70" i="4" s="1"/>
  <c r="K70" i="4"/>
  <c r="N70" i="4"/>
  <c r="P70" i="4" s="1"/>
  <c r="S70" i="4"/>
  <c r="V70" i="4"/>
  <c r="W70" i="4" s="1"/>
  <c r="I71" i="4"/>
  <c r="K71" i="4"/>
  <c r="N71" i="4"/>
  <c r="O71" i="4"/>
  <c r="P71" i="4" s="1"/>
  <c r="S71" i="4"/>
  <c r="V71" i="4" s="1"/>
  <c r="W71" i="4" s="1"/>
  <c r="X71" i="4" s="1"/>
  <c r="D72" i="4"/>
  <c r="T96" i="1" s="1"/>
  <c r="E72" i="4"/>
  <c r="G72" i="4"/>
  <c r="U96" i="1" s="1"/>
  <c r="H72" i="4"/>
  <c r="V96" i="1" s="1"/>
  <c r="I72" i="4"/>
  <c r="Q72" i="4"/>
  <c r="R72" i="4"/>
  <c r="U72" i="4"/>
  <c r="I73" i="4"/>
  <c r="K73" i="4"/>
  <c r="N73" i="4"/>
  <c r="O73" i="4"/>
  <c r="S73" i="4"/>
  <c r="V73" i="4" s="1"/>
  <c r="I74" i="4"/>
  <c r="K74" i="4"/>
  <c r="N74" i="4"/>
  <c r="S74" i="4"/>
  <c r="V74" i="4" s="1"/>
  <c r="W74" i="4" s="1"/>
  <c r="I75" i="4"/>
  <c r="O75" i="4" s="1"/>
  <c r="K75" i="4"/>
  <c r="N75" i="4"/>
  <c r="S75" i="4"/>
  <c r="V75" i="4" s="1"/>
  <c r="W75" i="4" s="1"/>
  <c r="I76" i="4"/>
  <c r="K76" i="4"/>
  <c r="N76" i="4"/>
  <c r="P76" i="4"/>
  <c r="S76" i="4"/>
  <c r="V76" i="4" s="1"/>
  <c r="W76" i="4" s="1"/>
  <c r="X76" i="4" s="1"/>
  <c r="D77" i="4"/>
  <c r="T108" i="1" s="1"/>
  <c r="E77" i="4"/>
  <c r="G77" i="4"/>
  <c r="U108" i="1" s="1"/>
  <c r="H77" i="4"/>
  <c r="Q77" i="4"/>
  <c r="R77" i="4"/>
  <c r="S77" i="4" s="1"/>
  <c r="X108" i="1" s="1"/>
  <c r="U77" i="4"/>
  <c r="I78" i="4"/>
  <c r="O78" i="4" s="1"/>
  <c r="K78" i="4"/>
  <c r="N78" i="4"/>
  <c r="S78" i="4"/>
  <c r="V78" i="4" s="1"/>
  <c r="I79" i="4"/>
  <c r="K79" i="4"/>
  <c r="N79" i="4"/>
  <c r="O79" i="4"/>
  <c r="P79" i="4" s="1"/>
  <c r="S79" i="4"/>
  <c r="V79" i="4" s="1"/>
  <c r="W79" i="4" s="1"/>
  <c r="D80" i="4"/>
  <c r="T118" i="1" s="1"/>
  <c r="E80" i="4"/>
  <c r="G80" i="4"/>
  <c r="H80" i="4"/>
  <c r="V118" i="1" s="1"/>
  <c r="Q80" i="4"/>
  <c r="R80" i="4"/>
  <c r="S80" i="4"/>
  <c r="X118" i="1" s="1"/>
  <c r="U80" i="4"/>
  <c r="I81" i="4"/>
  <c r="K81" i="4"/>
  <c r="N81" i="4"/>
  <c r="O81" i="4"/>
  <c r="O80" i="4" s="1"/>
  <c r="S81" i="4"/>
  <c r="V81" i="4" s="1"/>
  <c r="D82" i="4"/>
  <c r="T106" i="1" s="1"/>
  <c r="E82" i="4"/>
  <c r="G82" i="4"/>
  <c r="H82" i="4"/>
  <c r="V106" i="1" s="1"/>
  <c r="Q82" i="4"/>
  <c r="R82" i="4"/>
  <c r="S82" i="4"/>
  <c r="X106" i="1" s="1"/>
  <c r="U82" i="4"/>
  <c r="I83" i="4"/>
  <c r="K83" i="4"/>
  <c r="N83" i="4"/>
  <c r="P83" i="4"/>
  <c r="S83" i="4"/>
  <c r="V83" i="4" s="1"/>
  <c r="I84" i="4"/>
  <c r="K84" i="4"/>
  <c r="N84" i="4"/>
  <c r="O84" i="4"/>
  <c r="P84" i="4" s="1"/>
  <c r="S84" i="4"/>
  <c r="V84" i="4" s="1"/>
  <c r="W84" i="4" s="1"/>
  <c r="X84" i="4" s="1"/>
  <c r="I85" i="4"/>
  <c r="K85" i="4"/>
  <c r="N85" i="4"/>
  <c r="P85" i="4" s="1"/>
  <c r="S85" i="4"/>
  <c r="V85" i="4" s="1"/>
  <c r="W85" i="4" s="1"/>
  <c r="D86" i="4"/>
  <c r="T114" i="1" s="1"/>
  <c r="E86" i="4"/>
  <c r="G86" i="4"/>
  <c r="H86" i="4"/>
  <c r="V114" i="1" s="1"/>
  <c r="Q86" i="4"/>
  <c r="R86" i="4"/>
  <c r="S86" i="4"/>
  <c r="X114" i="1" s="1"/>
  <c r="U86" i="4"/>
  <c r="I87" i="4"/>
  <c r="K87" i="4"/>
  <c r="N87" i="4"/>
  <c r="O87" i="4"/>
  <c r="O86" i="4" s="1"/>
  <c r="S87" i="4"/>
  <c r="V87" i="4" s="1"/>
  <c r="D88" i="4"/>
  <c r="T89" i="1" s="1"/>
  <c r="E88" i="4"/>
  <c r="G88" i="4"/>
  <c r="H88" i="4"/>
  <c r="V89" i="1" s="1"/>
  <c r="O88" i="4"/>
  <c r="Q88" i="4"/>
  <c r="U88" i="4"/>
  <c r="I89" i="4"/>
  <c r="K89" i="4"/>
  <c r="N89" i="4"/>
  <c r="N88" i="4" s="1"/>
  <c r="R89" i="4"/>
  <c r="S89" i="4" s="1"/>
  <c r="V89" i="4" s="1"/>
  <c r="D90" i="4"/>
  <c r="T85" i="1" s="1"/>
  <c r="E90" i="4"/>
  <c r="G90" i="4"/>
  <c r="H90" i="4"/>
  <c r="V85" i="1" s="1"/>
  <c r="O90" i="4"/>
  <c r="Q90" i="4"/>
  <c r="U90" i="4"/>
  <c r="I91" i="4"/>
  <c r="R91" i="4" s="1"/>
  <c r="K91" i="4"/>
  <c r="N91" i="4"/>
  <c r="N90" i="4" s="1"/>
  <c r="P90" i="4" s="1"/>
  <c r="D92" i="4"/>
  <c r="T109" i="1" s="1"/>
  <c r="E92" i="4"/>
  <c r="G92" i="4"/>
  <c r="U109" i="1" s="1"/>
  <c r="H92" i="4"/>
  <c r="V109" i="1" s="1"/>
  <c r="I92" i="4"/>
  <c r="Q92" i="4"/>
  <c r="U92" i="4"/>
  <c r="I93" i="4"/>
  <c r="K93" i="4"/>
  <c r="R93" i="4"/>
  <c r="R92" i="4" s="1"/>
  <c r="S92" i="4" s="1"/>
  <c r="X109" i="1" s="1"/>
  <c r="I94" i="4"/>
  <c r="K94" i="4"/>
  <c r="N94" i="4"/>
  <c r="N92" i="4" s="1"/>
  <c r="O94" i="4"/>
  <c r="O92" i="4" s="1"/>
  <c r="S94" i="4"/>
  <c r="V94" i="4"/>
  <c r="W94" i="4" s="1"/>
  <c r="D95" i="4"/>
  <c r="T119" i="1" s="1"/>
  <c r="E95" i="4"/>
  <c r="G95" i="4"/>
  <c r="U119" i="1" s="1"/>
  <c r="H95" i="4"/>
  <c r="V119" i="1" s="1"/>
  <c r="I95" i="4"/>
  <c r="O95" i="4"/>
  <c r="Q95" i="4"/>
  <c r="U95" i="4"/>
  <c r="I96" i="4"/>
  <c r="K96" i="4"/>
  <c r="N96" i="4"/>
  <c r="N95" i="4" s="1"/>
  <c r="R96" i="4"/>
  <c r="D97" i="4"/>
  <c r="T115" i="1" s="1"/>
  <c r="E97" i="4"/>
  <c r="G97" i="4"/>
  <c r="H97" i="4"/>
  <c r="V115" i="1" s="1"/>
  <c r="O97" i="4"/>
  <c r="Q97" i="4"/>
  <c r="U97" i="4"/>
  <c r="I98" i="4"/>
  <c r="K98" i="4"/>
  <c r="N98" i="4"/>
  <c r="R98" i="4"/>
  <c r="I99" i="4"/>
  <c r="K99" i="4"/>
  <c r="N99" i="4"/>
  <c r="R99" i="4"/>
  <c r="S99" i="4" s="1"/>
  <c r="V99" i="4" s="1"/>
  <c r="W99" i="4" s="1"/>
  <c r="X99" i="4" s="1"/>
  <c r="D100" i="4"/>
  <c r="T116" i="1" s="1"/>
  <c r="E100" i="4"/>
  <c r="G100" i="4"/>
  <c r="H100" i="4"/>
  <c r="V116" i="1" s="1"/>
  <c r="Q100" i="4"/>
  <c r="R100" i="4"/>
  <c r="S100" i="4"/>
  <c r="X116" i="1" s="1"/>
  <c r="U100" i="4"/>
  <c r="I101" i="4"/>
  <c r="O101" i="4" s="1"/>
  <c r="K101" i="4"/>
  <c r="N101" i="4"/>
  <c r="S101" i="4"/>
  <c r="V101" i="4"/>
  <c r="I102" i="4"/>
  <c r="K102" i="4"/>
  <c r="N102" i="4"/>
  <c r="R102" i="4"/>
  <c r="S102" i="4" s="1"/>
  <c r="V102" i="4" s="1"/>
  <c r="W102" i="4" s="1"/>
  <c r="X102" i="4" s="1"/>
  <c r="D103" i="4"/>
  <c r="T117" i="1" s="1"/>
  <c r="E103" i="4"/>
  <c r="G103" i="4"/>
  <c r="H103" i="4"/>
  <c r="V117" i="1" s="1"/>
  <c r="Q103" i="4"/>
  <c r="U103" i="4"/>
  <c r="I104" i="4"/>
  <c r="O104" i="4" s="1"/>
  <c r="K104" i="4"/>
  <c r="N104" i="4"/>
  <c r="S104" i="4"/>
  <c r="V104" i="4"/>
  <c r="I105" i="4"/>
  <c r="K105" i="4"/>
  <c r="N105" i="4"/>
  <c r="O105" i="4"/>
  <c r="S105" i="4"/>
  <c r="V105" i="4" s="1"/>
  <c r="W105" i="4" s="1"/>
  <c r="I106" i="4"/>
  <c r="K106" i="4"/>
  <c r="N106" i="4"/>
  <c r="R106" i="4"/>
  <c r="R103" i="4" s="1"/>
  <c r="S103" i="4" s="1"/>
  <c r="X117" i="1" s="1"/>
  <c r="S106" i="4"/>
  <c r="V106" i="4" s="1"/>
  <c r="W106" i="4" s="1"/>
  <c r="X106" i="4" s="1"/>
  <c r="D107" i="4"/>
  <c r="T123" i="1" s="1"/>
  <c r="E107" i="4"/>
  <c r="G107" i="4"/>
  <c r="H107" i="4"/>
  <c r="V123" i="1" s="1"/>
  <c r="Q107" i="4"/>
  <c r="U107" i="4"/>
  <c r="I108" i="4"/>
  <c r="K108" i="4"/>
  <c r="N108" i="4"/>
  <c r="N107" i="4" s="1"/>
  <c r="O108" i="4"/>
  <c r="P108" i="4" s="1"/>
  <c r="S108" i="4"/>
  <c r="V108" i="4" s="1"/>
  <c r="I109" i="4"/>
  <c r="O109" i="4" s="1"/>
  <c r="K109" i="4"/>
  <c r="N109" i="4"/>
  <c r="S109" i="4"/>
  <c r="V109" i="4"/>
  <c r="W109" i="4" s="1"/>
  <c r="I110" i="4"/>
  <c r="R110" i="4" s="1"/>
  <c r="K110" i="4"/>
  <c r="N110" i="4"/>
  <c r="D111" i="4"/>
  <c r="T124" i="1" s="1"/>
  <c r="E111" i="4"/>
  <c r="G111" i="4"/>
  <c r="H111" i="4"/>
  <c r="V124" i="1" s="1"/>
  <c r="O111" i="4"/>
  <c r="Q111" i="4"/>
  <c r="U111" i="4"/>
  <c r="I112" i="4"/>
  <c r="R112" i="4" s="1"/>
  <c r="K112" i="4"/>
  <c r="N112" i="4"/>
  <c r="N111" i="4" s="1"/>
  <c r="F20" i="3"/>
  <c r="H20" i="3"/>
  <c r="K20" i="3"/>
  <c r="L20" i="3"/>
  <c r="E22" i="3"/>
  <c r="I22" i="3"/>
  <c r="J22" i="3"/>
  <c r="J23" i="3"/>
  <c r="S23" i="3"/>
  <c r="W23" i="3" s="1"/>
  <c r="J24" i="3"/>
  <c r="S24" i="3"/>
  <c r="W24" i="3"/>
  <c r="X24" i="3" s="1"/>
  <c r="Y24" i="3" s="1"/>
  <c r="E25" i="3"/>
  <c r="N17" i="1" s="1"/>
  <c r="I25" i="3"/>
  <c r="J26" i="3"/>
  <c r="S26" i="3"/>
  <c r="W26" i="3" s="1"/>
  <c r="J27" i="3"/>
  <c r="S27" i="3"/>
  <c r="W27" i="3" s="1"/>
  <c r="X27" i="3" s="1"/>
  <c r="Y27" i="3" s="1"/>
  <c r="E28" i="3"/>
  <c r="N8" i="1" s="1"/>
  <c r="I28" i="3"/>
  <c r="P8" i="1" s="1"/>
  <c r="Q8" i="1" s="1"/>
  <c r="J28" i="3"/>
  <c r="J29" i="3"/>
  <c r="S29" i="3"/>
  <c r="W29" i="3" s="1"/>
  <c r="F20" i="2"/>
  <c r="K20" i="2"/>
  <c r="L20" i="2"/>
  <c r="E22" i="2"/>
  <c r="H87" i="1" s="1"/>
  <c r="H22" i="2"/>
  <c r="I22" i="2"/>
  <c r="J87" i="1" s="1"/>
  <c r="J23" i="2"/>
  <c r="L23" i="2"/>
  <c r="S23" i="2"/>
  <c r="S22" i="2" s="1"/>
  <c r="W23" i="2"/>
  <c r="W22" i="2" s="1"/>
  <c r="E24" i="2"/>
  <c r="H103" i="1" s="1"/>
  <c r="H24" i="2"/>
  <c r="I103" i="1" s="1"/>
  <c r="I24" i="2"/>
  <c r="J103" i="1" s="1"/>
  <c r="R24" i="2"/>
  <c r="J25" i="2"/>
  <c r="J24" i="2" s="1"/>
  <c r="L25" i="2"/>
  <c r="S25" i="2"/>
  <c r="S24" i="2" s="1"/>
  <c r="T25" i="2"/>
  <c r="T24" i="2" s="1"/>
  <c r="L103" i="1" s="1"/>
  <c r="W25" i="2"/>
  <c r="W24" i="2" s="1"/>
  <c r="E26" i="2"/>
  <c r="H100" i="1" s="1"/>
  <c r="I26" i="2"/>
  <c r="J100" i="1" s="1"/>
  <c r="K100" i="1" s="1"/>
  <c r="J27" i="2"/>
  <c r="J26" i="2" s="1"/>
  <c r="L27" i="2"/>
  <c r="P27" i="2"/>
  <c r="Q27" i="2" s="1"/>
  <c r="E28" i="2"/>
  <c r="H107" i="1" s="1"/>
  <c r="H28" i="2"/>
  <c r="I107" i="1" s="1"/>
  <c r="I28" i="2"/>
  <c r="J107" i="1" s="1"/>
  <c r="N28" i="2"/>
  <c r="R28" i="2"/>
  <c r="V28" i="2"/>
  <c r="J29" i="2"/>
  <c r="L29" i="2"/>
  <c r="S29" i="2"/>
  <c r="S28" i="2" s="1"/>
  <c r="J30" i="2"/>
  <c r="O30" i="2"/>
  <c r="O28" i="2" s="1"/>
  <c r="Q30" i="2"/>
  <c r="J31" i="2"/>
  <c r="L31" i="2"/>
  <c r="P31" i="2"/>
  <c r="P28" i="2" s="1"/>
  <c r="E32" i="2"/>
  <c r="H120" i="1" s="1"/>
  <c r="H32" i="2"/>
  <c r="I120" i="1" s="1"/>
  <c r="I32" i="2"/>
  <c r="J120" i="1" s="1"/>
  <c r="R32" i="2"/>
  <c r="V32" i="2"/>
  <c r="J33" i="2"/>
  <c r="J32" i="2" s="1"/>
  <c r="L33" i="2"/>
  <c r="S33" i="2"/>
  <c r="W33" i="2" s="1"/>
  <c r="E34" i="2"/>
  <c r="H121" i="1" s="1"/>
  <c r="H34" i="2"/>
  <c r="I121" i="1" s="1"/>
  <c r="I34" i="2"/>
  <c r="J121" i="1" s="1"/>
  <c r="R34" i="2"/>
  <c r="V34" i="2"/>
  <c r="J35" i="2"/>
  <c r="J34" i="2" s="1"/>
  <c r="L35" i="2"/>
  <c r="S35" i="2"/>
  <c r="S34" i="2" s="1"/>
  <c r="E36" i="2"/>
  <c r="H36" i="2"/>
  <c r="I36" i="2"/>
  <c r="R36" i="2"/>
  <c r="V36" i="2"/>
  <c r="J37" i="2"/>
  <c r="J36" i="2" s="1"/>
  <c r="L37" i="2"/>
  <c r="S37" i="2"/>
  <c r="S36" i="2" s="1"/>
  <c r="T37" i="2"/>
  <c r="T36" i="2" s="1"/>
  <c r="W37" i="2"/>
  <c r="W36" i="2" s="1"/>
  <c r="E38" i="2"/>
  <c r="H85" i="1" s="1"/>
  <c r="I38" i="2"/>
  <c r="J85" i="1" s="1"/>
  <c r="K85" i="1" s="1"/>
  <c r="J39" i="2"/>
  <c r="L39" i="2"/>
  <c r="S39" i="2"/>
  <c r="W39" i="2"/>
  <c r="J40" i="2"/>
  <c r="L40" i="2"/>
  <c r="S40" i="2"/>
  <c r="W40" i="2" s="1"/>
  <c r="X40" i="2" s="1"/>
  <c r="Y40" i="2" s="1"/>
  <c r="T40" i="2"/>
  <c r="E41" i="2"/>
  <c r="H86" i="1" s="1"/>
  <c r="H41" i="2"/>
  <c r="I86" i="1" s="1"/>
  <c r="I41" i="2"/>
  <c r="J86" i="1" s="1"/>
  <c r="O41" i="2"/>
  <c r="R41" i="2"/>
  <c r="V41" i="2"/>
  <c r="J42" i="2"/>
  <c r="L42" i="2"/>
  <c r="P42" i="2"/>
  <c r="Q42" i="2"/>
  <c r="Y42" i="2"/>
  <c r="J43" i="2"/>
  <c r="L43" i="2"/>
  <c r="P43" i="2"/>
  <c r="P41" i="2" s="1"/>
  <c r="Q43" i="2"/>
  <c r="Q41" i="2" s="1"/>
  <c r="J44" i="2"/>
  <c r="L44" i="2"/>
  <c r="S44" i="2"/>
  <c r="S41" i="2" s="1"/>
  <c r="E45" i="2"/>
  <c r="H119" i="1" s="1"/>
  <c r="H45" i="2"/>
  <c r="I119" i="1" s="1"/>
  <c r="I45" i="2"/>
  <c r="J119" i="1" s="1"/>
  <c r="O45" i="2"/>
  <c r="J46" i="2"/>
  <c r="L46" i="2"/>
  <c r="P46" i="2"/>
  <c r="Q46" i="2"/>
  <c r="Y46" i="2" s="1"/>
  <c r="J47" i="2"/>
  <c r="L47" i="2"/>
  <c r="P47" i="2"/>
  <c r="J48" i="2"/>
  <c r="L48" i="2"/>
  <c r="P48" i="2"/>
  <c r="Q48" i="2"/>
  <c r="Y48" i="2" s="1"/>
  <c r="E49" i="2"/>
  <c r="H115" i="1" s="1"/>
  <c r="H49" i="2"/>
  <c r="I115" i="1" s="1"/>
  <c r="I49" i="2"/>
  <c r="J115" i="1" s="1"/>
  <c r="R49" i="2"/>
  <c r="J50" i="2"/>
  <c r="L50" i="2"/>
  <c r="S50" i="2"/>
  <c r="J51" i="2"/>
  <c r="J49" i="2" s="1"/>
  <c r="L51" i="2"/>
  <c r="S51" i="2"/>
  <c r="T51" i="2"/>
  <c r="W51" i="2"/>
  <c r="X51" i="2"/>
  <c r="Y51" i="2" s="1"/>
  <c r="E52" i="2"/>
  <c r="H124" i="1" s="1"/>
  <c r="H52" i="2"/>
  <c r="I124" i="1" s="1"/>
  <c r="I52" i="2"/>
  <c r="J124" i="1" s="1"/>
  <c r="R52" i="2"/>
  <c r="J53" i="2"/>
  <c r="J52" i="2" s="1"/>
  <c r="L53" i="2"/>
  <c r="S53" i="2"/>
  <c r="S52" i="2" s="1"/>
  <c r="K124" i="1" l="1"/>
  <c r="S49" i="2"/>
  <c r="K115" i="1"/>
  <c r="P45" i="2"/>
  <c r="J45" i="2"/>
  <c r="K119" i="1"/>
  <c r="J41" i="2"/>
  <c r="K86" i="1"/>
  <c r="W38" i="2"/>
  <c r="S38" i="2"/>
  <c r="J38" i="2"/>
  <c r="K121" i="1"/>
  <c r="K120" i="1"/>
  <c r="O21" i="2"/>
  <c r="J28" i="2"/>
  <c r="K107" i="1"/>
  <c r="K103" i="1"/>
  <c r="J22" i="2"/>
  <c r="I87" i="1"/>
  <c r="K87" i="1" s="1"/>
  <c r="J25" i="3"/>
  <c r="P17" i="1"/>
  <c r="Q17" i="1" s="1"/>
  <c r="I21" i="3"/>
  <c r="I20" i="3" s="1"/>
  <c r="P6" i="1"/>
  <c r="Q6" i="1" s="1"/>
  <c r="E21" i="3"/>
  <c r="E20" i="3" s="1"/>
  <c r="N6" i="1"/>
  <c r="P111" i="4"/>
  <c r="I111" i="4"/>
  <c r="U124" i="1"/>
  <c r="W124" i="1" s="1"/>
  <c r="I107" i="4"/>
  <c r="U123" i="1"/>
  <c r="W123" i="1" s="1"/>
  <c r="P105" i="4"/>
  <c r="X105" i="4" s="1"/>
  <c r="N103" i="4"/>
  <c r="I103" i="4"/>
  <c r="U117" i="1"/>
  <c r="W117" i="1" s="1"/>
  <c r="V100" i="4"/>
  <c r="N100" i="4"/>
  <c r="I100" i="4"/>
  <c r="U116" i="1"/>
  <c r="W116" i="1" s="1"/>
  <c r="R97" i="4"/>
  <c r="S97" i="4" s="1"/>
  <c r="X115" i="1" s="1"/>
  <c r="N97" i="4"/>
  <c r="P97" i="4"/>
  <c r="I97" i="4"/>
  <c r="U115" i="1"/>
  <c r="W115" i="1" s="1"/>
  <c r="S96" i="4"/>
  <c r="V96" i="4" s="1"/>
  <c r="R95" i="4"/>
  <c r="S95" i="4" s="1"/>
  <c r="X119" i="1" s="1"/>
  <c r="P95" i="4"/>
  <c r="W119" i="1"/>
  <c r="W109" i="1"/>
  <c r="I90" i="4"/>
  <c r="U85" i="1"/>
  <c r="W85" i="1" s="1"/>
  <c r="I88" i="4"/>
  <c r="U89" i="1"/>
  <c r="W89" i="1" s="1"/>
  <c r="P87" i="4"/>
  <c r="I86" i="4"/>
  <c r="U114" i="1"/>
  <c r="W114" i="1" s="1"/>
  <c r="N82" i="4"/>
  <c r="I82" i="4"/>
  <c r="U106" i="1"/>
  <c r="W106" i="1" s="1"/>
  <c r="P81" i="4"/>
  <c r="I80" i="4"/>
  <c r="U118" i="1"/>
  <c r="W118" i="1" s="1"/>
  <c r="N77" i="4"/>
  <c r="I77" i="4"/>
  <c r="V108" i="1"/>
  <c r="W108" i="1"/>
  <c r="P75" i="4"/>
  <c r="X75" i="4" s="1"/>
  <c r="N72" i="4"/>
  <c r="O72" i="4"/>
  <c r="S72" i="4"/>
  <c r="X96" i="1" s="1"/>
  <c r="W96" i="1"/>
  <c r="P69" i="4"/>
  <c r="X69" i="4" s="1"/>
  <c r="P68" i="4"/>
  <c r="X68" i="4" s="1"/>
  <c r="P66" i="4"/>
  <c r="X66" i="4" s="1"/>
  <c r="N59" i="4"/>
  <c r="I59" i="4"/>
  <c r="U107" i="1"/>
  <c r="W107" i="1" s="1"/>
  <c r="N56" i="4"/>
  <c r="I56" i="4"/>
  <c r="U102" i="1"/>
  <c r="W102" i="1" s="1"/>
  <c r="P54" i="4"/>
  <c r="N52" i="4"/>
  <c r="I52" i="4"/>
  <c r="U94" i="1"/>
  <c r="W94" i="1" s="1"/>
  <c r="N47" i="4"/>
  <c r="P47" i="4" s="1"/>
  <c r="W81" i="1"/>
  <c r="W103" i="1"/>
  <c r="W99" i="1"/>
  <c r="I38" i="4"/>
  <c r="U98" i="1"/>
  <c r="W98" i="1" s="1"/>
  <c r="Q31" i="4"/>
  <c r="W95" i="1"/>
  <c r="D31" i="4"/>
  <c r="T95" i="1"/>
  <c r="N32" i="4"/>
  <c r="P32" i="4" s="1"/>
  <c r="U31" i="4"/>
  <c r="H31" i="4"/>
  <c r="V82" i="1"/>
  <c r="I32" i="4"/>
  <c r="U82" i="1"/>
  <c r="W82" i="1" s="1"/>
  <c r="E31" i="4"/>
  <c r="W17" i="1"/>
  <c r="P26" i="4"/>
  <c r="W8" i="1"/>
  <c r="I24" i="4"/>
  <c r="U6" i="1"/>
  <c r="W6" i="1" s="1"/>
  <c r="U21" i="4"/>
  <c r="H21" i="4"/>
  <c r="V14" i="1"/>
  <c r="G21" i="4"/>
  <c r="U14" i="1"/>
  <c r="W14" i="1" s="1"/>
  <c r="T14" i="1"/>
  <c r="D21" i="4"/>
  <c r="D20" i="4" s="1"/>
  <c r="BY13" i="1"/>
  <c r="BY25" i="1"/>
  <c r="BY23" i="1"/>
  <c r="BY20" i="1"/>
  <c r="BY15" i="1"/>
  <c r="BY22" i="1"/>
  <c r="BY5" i="1"/>
  <c r="BY21" i="1"/>
  <c r="BY9" i="1"/>
  <c r="BY4" i="1"/>
  <c r="BY18" i="1"/>
  <c r="BY7" i="1"/>
  <c r="BY19" i="1"/>
  <c r="BY24" i="1"/>
  <c r="BY10" i="1"/>
  <c r="BY12" i="1"/>
  <c r="BY11" i="1"/>
  <c r="Q47" i="2"/>
  <c r="Y47" i="2" s="1"/>
  <c r="Y45" i="2" s="1"/>
  <c r="Y43" i="2"/>
  <c r="X39" i="2"/>
  <c r="E21" i="2"/>
  <c r="E20" i="2" s="1"/>
  <c r="S44" i="4"/>
  <c r="V44" i="4" s="1"/>
  <c r="R43" i="4"/>
  <c r="S43" i="4" s="1"/>
  <c r="X103" i="1" s="1"/>
  <c r="S29" i="4"/>
  <c r="V29" i="4" s="1"/>
  <c r="R28" i="4"/>
  <c r="S28" i="4" s="1"/>
  <c r="X17" i="1" s="1"/>
  <c r="R24" i="4"/>
  <c r="S24" i="4" s="1"/>
  <c r="X6" i="1" s="1"/>
  <c r="S25" i="4"/>
  <c r="V25" i="4" s="1"/>
  <c r="R21" i="4"/>
  <c r="S22" i="4"/>
  <c r="X14" i="1" s="1"/>
  <c r="I21" i="4"/>
  <c r="P21" i="4"/>
  <c r="Q45" i="2"/>
  <c r="T39" i="2"/>
  <c r="T38" i="2" s="1"/>
  <c r="L85" i="1" s="1"/>
  <c r="X23" i="3"/>
  <c r="W22" i="3"/>
  <c r="P109" i="4"/>
  <c r="X109" i="4" s="1"/>
  <c r="V103" i="4"/>
  <c r="P88" i="4"/>
  <c r="V80" i="4"/>
  <c r="W81" i="4"/>
  <c r="X81" i="4" s="1"/>
  <c r="R47" i="4"/>
  <c r="S47" i="4" s="1"/>
  <c r="X81" i="1" s="1"/>
  <c r="S50" i="4"/>
  <c r="V50" i="4" s="1"/>
  <c r="W50" i="4" s="1"/>
  <c r="X50" i="4" s="1"/>
  <c r="W53" i="2"/>
  <c r="W50" i="2"/>
  <c r="W44" i="2"/>
  <c r="X26" i="3"/>
  <c r="W25" i="3"/>
  <c r="O59" i="4"/>
  <c r="P59" i="4" s="1"/>
  <c r="R59" i="4"/>
  <c r="S59" i="4" s="1"/>
  <c r="X107" i="1" s="1"/>
  <c r="S60" i="4"/>
  <c r="V60" i="4" s="1"/>
  <c r="P42" i="4"/>
  <c r="X42" i="4" s="1"/>
  <c r="E20" i="4"/>
  <c r="T53" i="2"/>
  <c r="T52" i="2" s="1"/>
  <c r="L124" i="1" s="1"/>
  <c r="T50" i="2"/>
  <c r="T49" i="2" s="1"/>
  <c r="L115" i="1" s="1"/>
  <c r="T44" i="2"/>
  <c r="T41" i="2" s="1"/>
  <c r="L86" i="1" s="1"/>
  <c r="Y27" i="2"/>
  <c r="Y26" i="2" s="1"/>
  <c r="Q26" i="2"/>
  <c r="X29" i="3"/>
  <c r="W28" i="3"/>
  <c r="P92" i="4"/>
  <c r="R90" i="4"/>
  <c r="S90" i="4" s="1"/>
  <c r="X85" i="1" s="1"/>
  <c r="S91" i="4"/>
  <c r="V91" i="4" s="1"/>
  <c r="V88" i="4"/>
  <c r="W88" i="4" s="1"/>
  <c r="Y89" i="1" s="1"/>
  <c r="W89" i="4"/>
  <c r="X89" i="4" s="1"/>
  <c r="X85" i="4"/>
  <c r="V77" i="4"/>
  <c r="W77" i="4" s="1"/>
  <c r="W78" i="4"/>
  <c r="W73" i="4"/>
  <c r="V72" i="4"/>
  <c r="W72" i="4" s="1"/>
  <c r="Y96" i="1" s="1"/>
  <c r="U20" i="4"/>
  <c r="W32" i="2"/>
  <c r="X33" i="2"/>
  <c r="R111" i="4"/>
  <c r="S111" i="4" s="1"/>
  <c r="X124" i="1" s="1"/>
  <c r="S112" i="4"/>
  <c r="V112" i="4" s="1"/>
  <c r="W108" i="4"/>
  <c r="X108" i="4" s="1"/>
  <c r="P101" i="4"/>
  <c r="O100" i="4"/>
  <c r="P100" i="4" s="1"/>
  <c r="V95" i="4"/>
  <c r="W95" i="4" s="1"/>
  <c r="W96" i="4"/>
  <c r="X96" i="4" s="1"/>
  <c r="V82" i="4"/>
  <c r="W82" i="4" s="1"/>
  <c r="W83" i="4"/>
  <c r="X83" i="4" s="1"/>
  <c r="P72" i="4"/>
  <c r="R52" i="4"/>
  <c r="S52" i="4" s="1"/>
  <c r="X94" i="1" s="1"/>
  <c r="S55" i="4"/>
  <c r="V55" i="4" s="1"/>
  <c r="W55" i="4" s="1"/>
  <c r="X55" i="4" s="1"/>
  <c r="P35" i="4"/>
  <c r="R32" i="4"/>
  <c r="S33" i="4"/>
  <c r="V33" i="4" s="1"/>
  <c r="R21" i="2"/>
  <c r="I21" i="2"/>
  <c r="I20" i="2" s="1"/>
  <c r="P104" i="4"/>
  <c r="O103" i="4"/>
  <c r="P103" i="4" s="1"/>
  <c r="W100" i="4"/>
  <c r="Y116" i="1" s="1"/>
  <c r="X70" i="4"/>
  <c r="P67" i="4"/>
  <c r="X67" i="4" s="1"/>
  <c r="P56" i="4"/>
  <c r="X54" i="4"/>
  <c r="W26" i="4"/>
  <c r="X37" i="2"/>
  <c r="J21" i="2"/>
  <c r="R107" i="4"/>
  <c r="S107" i="4" s="1"/>
  <c r="X123" i="1" s="1"/>
  <c r="S110" i="4"/>
  <c r="V110" i="4" s="1"/>
  <c r="W110" i="4" s="1"/>
  <c r="X110" i="4" s="1"/>
  <c r="W103" i="4"/>
  <c r="V86" i="4"/>
  <c r="W86" i="4" s="1"/>
  <c r="W87" i="4"/>
  <c r="X87" i="4" s="1"/>
  <c r="W80" i="4"/>
  <c r="Y118" i="1" s="1"/>
  <c r="X79" i="4"/>
  <c r="O77" i="4"/>
  <c r="P77" i="4" s="1"/>
  <c r="P78" i="4"/>
  <c r="P53" i="4"/>
  <c r="O52" i="4"/>
  <c r="R40" i="4"/>
  <c r="S40" i="4" s="1"/>
  <c r="X99" i="1" s="1"/>
  <c r="S41" i="4"/>
  <c r="V41" i="4" s="1"/>
  <c r="V38" i="4"/>
  <c r="W38" i="4" s="1"/>
  <c r="W39" i="4"/>
  <c r="X39" i="4" s="1"/>
  <c r="R35" i="4"/>
  <c r="S35" i="4" s="1"/>
  <c r="X95" i="1" s="1"/>
  <c r="S36" i="4"/>
  <c r="V36" i="4" s="1"/>
  <c r="Q21" i="4"/>
  <c r="H20" i="4"/>
  <c r="T33" i="2"/>
  <c r="T32" i="2" s="1"/>
  <c r="L120" i="1" s="1"/>
  <c r="Q31" i="2"/>
  <c r="O107" i="4"/>
  <c r="P107" i="4" s="1"/>
  <c r="V47" i="4"/>
  <c r="W47" i="4" s="1"/>
  <c r="G31" i="4"/>
  <c r="S32" i="2"/>
  <c r="S21" i="2" s="1"/>
  <c r="S20" i="2" s="1"/>
  <c r="S28" i="3"/>
  <c r="W104" i="4"/>
  <c r="X104" i="4" s="1"/>
  <c r="W101" i="4"/>
  <c r="R88" i="4"/>
  <c r="S88" i="4" s="1"/>
  <c r="X89" i="1" s="1"/>
  <c r="P74" i="4"/>
  <c r="X74" i="4" s="1"/>
  <c r="P73" i="4"/>
  <c r="W57" i="4"/>
  <c r="X57" i="4" s="1"/>
  <c r="W53" i="4"/>
  <c r="X53" i="4" s="1"/>
  <c r="W29" i="2"/>
  <c r="X25" i="2"/>
  <c r="S25" i="3"/>
  <c r="P94" i="4"/>
  <c r="X94" i="4" s="1"/>
  <c r="S93" i="4"/>
  <c r="V93" i="4" s="1"/>
  <c r="I22" i="4"/>
  <c r="T29" i="2"/>
  <c r="T28" i="2" s="1"/>
  <c r="L107" i="1" s="1"/>
  <c r="X23" i="2"/>
  <c r="S22" i="3"/>
  <c r="S21" i="3" s="1"/>
  <c r="S20" i="3" s="1"/>
  <c r="S98" i="4"/>
  <c r="V98" i="4" s="1"/>
  <c r="S58" i="4"/>
  <c r="V58" i="4" s="1"/>
  <c r="N40" i="4"/>
  <c r="P40" i="4" s="1"/>
  <c r="W27" i="4"/>
  <c r="X27" i="4" s="1"/>
  <c r="S23" i="4"/>
  <c r="V23" i="4" s="1"/>
  <c r="Y30" i="2"/>
  <c r="O82" i="4"/>
  <c r="P82" i="4" s="1"/>
  <c r="W35" i="2"/>
  <c r="P26" i="2"/>
  <c r="P21" i="2" s="1"/>
  <c r="T23" i="2"/>
  <c r="T22" i="2" s="1"/>
  <c r="L87" i="1" s="1"/>
  <c r="H21" i="2"/>
  <c r="H20" i="2" s="1"/>
  <c r="N86" i="4"/>
  <c r="P86" i="4" s="1"/>
  <c r="N80" i="4"/>
  <c r="P80" i="4" s="1"/>
  <c r="T35" i="2"/>
  <c r="T34" i="2" s="1"/>
  <c r="L121" i="1" s="1"/>
  <c r="P22" i="4"/>
  <c r="W58" i="4" l="1"/>
  <c r="X58" i="4" s="1"/>
  <c r="V56" i="4"/>
  <c r="W56" i="4" s="1"/>
  <c r="Y102" i="1" s="1"/>
  <c r="I31" i="4"/>
  <c r="G20" i="4"/>
  <c r="X47" i="4"/>
  <c r="Y81" i="1"/>
  <c r="Y31" i="2"/>
  <c r="Q28" i="2"/>
  <c r="X38" i="4"/>
  <c r="Y98" i="1"/>
  <c r="P52" i="4"/>
  <c r="O31" i="4"/>
  <c r="O20" i="4" s="1"/>
  <c r="X86" i="4"/>
  <c r="Y114" i="1"/>
  <c r="X103" i="4"/>
  <c r="Y117" i="1"/>
  <c r="X26" i="4"/>
  <c r="Y8" i="1"/>
  <c r="X82" i="4"/>
  <c r="Y106" i="1"/>
  <c r="X95" i="4"/>
  <c r="Y119" i="1"/>
  <c r="X77" i="4"/>
  <c r="Y108" i="1"/>
  <c r="Q21" i="2"/>
  <c r="X28" i="3"/>
  <c r="S8" i="1" s="1"/>
  <c r="Y29" i="3"/>
  <c r="Y28" i="3" s="1"/>
  <c r="X32" i="2"/>
  <c r="M120" i="1" s="1"/>
  <c r="Y33" i="2"/>
  <c r="Y32" i="2" s="1"/>
  <c r="X24" i="2"/>
  <c r="M103" i="1" s="1"/>
  <c r="Y25" i="2"/>
  <c r="Y24" i="2" s="1"/>
  <c r="V97" i="4"/>
  <c r="W97" i="4" s="1"/>
  <c r="W98" i="4"/>
  <c r="X98" i="4" s="1"/>
  <c r="V52" i="4"/>
  <c r="W52" i="4" s="1"/>
  <c r="W49" i="2"/>
  <c r="X50" i="2"/>
  <c r="W52" i="2"/>
  <c r="X53" i="2"/>
  <c r="X38" i="2"/>
  <c r="M85" i="1" s="1"/>
  <c r="Y39" i="2"/>
  <c r="Y38" i="2" s="1"/>
  <c r="R31" i="4"/>
  <c r="S31" i="4" s="1"/>
  <c r="S32" i="4"/>
  <c r="X82" i="1" s="1"/>
  <c r="X88" i="4"/>
  <c r="V24" i="4"/>
  <c r="W24" i="4" s="1"/>
  <c r="W25" i="4"/>
  <c r="X25" i="4" s="1"/>
  <c r="W41" i="2"/>
  <c r="X44" i="2"/>
  <c r="I20" i="4"/>
  <c r="X36" i="2"/>
  <c r="Y37" i="2"/>
  <c r="Y36" i="2" s="1"/>
  <c r="V107" i="4"/>
  <c r="W107" i="4" s="1"/>
  <c r="X72" i="4"/>
  <c r="V90" i="4"/>
  <c r="W90" i="4" s="1"/>
  <c r="W91" i="4"/>
  <c r="X91" i="4" s="1"/>
  <c r="W34" i="2"/>
  <c r="X35" i="2"/>
  <c r="Q20" i="4"/>
  <c r="S21" i="4"/>
  <c r="W36" i="4"/>
  <c r="X36" i="4" s="1"/>
  <c r="V35" i="4"/>
  <c r="W35" i="4" s="1"/>
  <c r="X56" i="4"/>
  <c r="V43" i="4"/>
  <c r="W43" i="4" s="1"/>
  <c r="W44" i="4"/>
  <c r="X44" i="4" s="1"/>
  <c r="V40" i="4"/>
  <c r="W40" i="4" s="1"/>
  <c r="W41" i="4"/>
  <c r="X41" i="4" s="1"/>
  <c r="X80" i="4"/>
  <c r="X100" i="4"/>
  <c r="N31" i="4"/>
  <c r="V111" i="4"/>
  <c r="W111" i="4" s="1"/>
  <c r="W112" i="4"/>
  <c r="X112" i="4" s="1"/>
  <c r="X73" i="4"/>
  <c r="W21" i="3"/>
  <c r="W20" i="3" s="1"/>
  <c r="W28" i="2"/>
  <c r="X29" i="2"/>
  <c r="X22" i="2"/>
  <c r="M87" i="1" s="1"/>
  <c r="Y23" i="2"/>
  <c r="Y22" i="2" s="1"/>
  <c r="V59" i="4"/>
  <c r="W59" i="4" s="1"/>
  <c r="W60" i="4"/>
  <c r="X60" i="4" s="1"/>
  <c r="V32" i="4"/>
  <c r="W33" i="4"/>
  <c r="X33" i="4" s="1"/>
  <c r="V22" i="4"/>
  <c r="W23" i="4"/>
  <c r="X23" i="4" s="1"/>
  <c r="V92" i="4"/>
  <c r="W92" i="4" s="1"/>
  <c r="W93" i="4"/>
  <c r="X93" i="4" s="1"/>
  <c r="T21" i="2"/>
  <c r="X101" i="4"/>
  <c r="X78" i="4"/>
  <c r="Y26" i="3"/>
  <c r="Y25" i="3" s="1"/>
  <c r="X25" i="3"/>
  <c r="S17" i="1" s="1"/>
  <c r="Y23" i="3"/>
  <c r="Y22" i="3" s="1"/>
  <c r="Y21" i="3" s="1"/>
  <c r="Y20" i="3" s="1"/>
  <c r="X22" i="3"/>
  <c r="V28" i="4"/>
  <c r="W28" i="4" s="1"/>
  <c r="W29" i="4"/>
  <c r="X29" i="4" s="1"/>
  <c r="X28" i="4" l="1"/>
  <c r="Y17" i="1"/>
  <c r="X21" i="3"/>
  <c r="X20" i="3" s="1"/>
  <c r="S6" i="1"/>
  <c r="X92" i="4"/>
  <c r="Y109" i="1"/>
  <c r="X59" i="4"/>
  <c r="Y107" i="1"/>
  <c r="X111" i="4"/>
  <c r="Y124" i="1"/>
  <c r="X40" i="4"/>
  <c r="Y99" i="1"/>
  <c r="X43" i="4"/>
  <c r="Y103" i="1"/>
  <c r="X35" i="4"/>
  <c r="Y95" i="1"/>
  <c r="X90" i="4"/>
  <c r="Y85" i="1"/>
  <c r="X107" i="4"/>
  <c r="Y123" i="1"/>
  <c r="X24" i="4"/>
  <c r="Y6" i="1"/>
  <c r="X52" i="4"/>
  <c r="Y94" i="1"/>
  <c r="X97" i="4"/>
  <c r="Y115" i="1"/>
  <c r="CA8" i="1"/>
  <c r="BZ8" i="1"/>
  <c r="BX8" i="1"/>
  <c r="BW8" i="1"/>
  <c r="BY8" i="1" s="1"/>
  <c r="BV8" i="1"/>
  <c r="X41" i="2"/>
  <c r="M86" i="1" s="1"/>
  <c r="Y44" i="2"/>
  <c r="Y41" i="2" s="1"/>
  <c r="X52" i="2"/>
  <c r="M124" i="1" s="1"/>
  <c r="Y53" i="2"/>
  <c r="Y52" i="2" s="1"/>
  <c r="X28" i="2"/>
  <c r="Y29" i="2"/>
  <c r="Y28" i="2" s="1"/>
  <c r="V21" i="4"/>
  <c r="W22" i="4"/>
  <c r="W21" i="2"/>
  <c r="W20" i="2" s="1"/>
  <c r="Y50" i="2"/>
  <c r="Y49" i="2" s="1"/>
  <c r="X49" i="2"/>
  <c r="M115" i="1" s="1"/>
  <c r="P31" i="4"/>
  <c r="N20" i="4"/>
  <c r="P20" i="4" s="1"/>
  <c r="V31" i="4"/>
  <c r="W31" i="4" s="1"/>
  <c r="W32" i="4"/>
  <c r="X34" i="2"/>
  <c r="M121" i="1" s="1"/>
  <c r="Y35" i="2"/>
  <c r="Y34" i="2" s="1"/>
  <c r="R20" i="4"/>
  <c r="S20" i="4" s="1"/>
  <c r="X32" i="4" l="1"/>
  <c r="Y82" i="1"/>
  <c r="X31" i="4"/>
  <c r="X22" i="4"/>
  <c r="Y14" i="1"/>
  <c r="Y21" i="2"/>
  <c r="Y20" i="2" s="1"/>
  <c r="X21" i="2"/>
  <c r="X20" i="2" s="1"/>
  <c r="M107" i="1"/>
  <c r="BV6" i="1"/>
  <c r="CA6" i="1"/>
  <c r="BZ6" i="1"/>
  <c r="BX6" i="1"/>
  <c r="BW6" i="1"/>
  <c r="BY6" i="1" s="1"/>
  <c r="BW17" i="1"/>
  <c r="BV17" i="1"/>
  <c r="CA17" i="1"/>
  <c r="BZ17" i="1"/>
  <c r="BX17" i="1"/>
  <c r="V20" i="4"/>
  <c r="W20" i="4" s="1"/>
  <c r="X20" i="4" s="1"/>
  <c r="W21" i="4"/>
  <c r="X21" i="4" s="1"/>
  <c r="BY17" i="1" l="1"/>
  <c r="BV14" i="1"/>
  <c r="CA14" i="1"/>
  <c r="BZ14" i="1"/>
  <c r="BX14" i="1"/>
  <c r="BW14" i="1"/>
  <c r="BY14" i="1" s="1"/>
  <c r="E189" i="7"/>
  <c r="O189" i="7"/>
  <c r="O19" i="7" s="1"/>
  <c r="R189" i="7"/>
  <c r="R19" i="7" s="1"/>
  <c r="M189" i="7"/>
  <c r="M19" i="7" s="1"/>
  <c r="G189" i="7"/>
  <c r="G19" i="7" s="1"/>
  <c r="S189" i="7"/>
  <c r="S19" i="7" s="1"/>
  <c r="I189" i="7"/>
  <c r="I19" i="7" s="1"/>
  <c r="P189" i="7"/>
  <c r="P19" i="7" s="1"/>
  <c r="H189" i="7"/>
  <c r="H19" i="7" s="1"/>
  <c r="N235" i="9"/>
</calcChain>
</file>

<file path=xl/sharedStrings.xml><?xml version="1.0" encoding="utf-8"?>
<sst xmlns="http://schemas.openxmlformats.org/spreadsheetml/2006/main" count="5670" uniqueCount="1154">
  <si>
    <t>PEPITO</t>
  </si>
  <si>
    <t>QUINTA</t>
  </si>
  <si>
    <t>ULYSSES</t>
  </si>
  <si>
    <t>ROSITA</t>
  </si>
  <si>
    <t>OMPONG</t>
  </si>
  <si>
    <t>KAREN</t>
  </si>
  <si>
    <t>LAWIN</t>
  </si>
  <si>
    <t>EGAY</t>
  </si>
  <si>
    <t>INENG</t>
  </si>
  <si>
    <t>KABAYAN</t>
  </si>
  <si>
    <t>LANDO</t>
  </si>
  <si>
    <t>NONA</t>
  </si>
  <si>
    <t>GLENDA</t>
  </si>
  <si>
    <t>LUIS &amp; MARIO</t>
  </si>
  <si>
    <t>MARING</t>
  </si>
  <si>
    <t>ODETTE</t>
  </si>
  <si>
    <t>VINTA</t>
  </si>
  <si>
    <t>PEDRING</t>
  </si>
  <si>
    <t>ONDOY</t>
  </si>
  <si>
    <t>PHCode_Bgy</t>
  </si>
  <si>
    <t>PHCode_Reg</t>
  </si>
  <si>
    <t>Reg_Name</t>
  </si>
  <si>
    <t>PHCode_Pro</t>
  </si>
  <si>
    <t>Pro_Name</t>
  </si>
  <si>
    <t>PHCode_Mun</t>
  </si>
  <si>
    <t>Mun_Name</t>
  </si>
  <si>
    <t>No. of Farmers Affected</t>
  </si>
  <si>
    <t>Area w/ No Chance of Recovery (ha)</t>
  </si>
  <si>
    <t>Area w/ Chance of Recovery (HA)</t>
  </si>
  <si>
    <t>Total Area Affected (has.)</t>
  </si>
  <si>
    <t>Production Loss (M.T.)</t>
  </si>
  <si>
    <t>Cost of Prod'n. Loss (P)</t>
  </si>
  <si>
    <t>PH015519001</t>
  </si>
  <si>
    <t>PH010000000</t>
  </si>
  <si>
    <t>REGION I (ILOCOS REGION)</t>
  </si>
  <si>
    <t>PH012800000</t>
  </si>
  <si>
    <t>ILOCOS NORTE</t>
  </si>
  <si>
    <t>PH012801000</t>
  </si>
  <si>
    <t>ADAMS</t>
  </si>
  <si>
    <t>PH015516001</t>
  </si>
  <si>
    <t>PH012802000</t>
  </si>
  <si>
    <t>BACARRA</t>
  </si>
  <si>
    <t>PH015501001</t>
  </si>
  <si>
    <t>PH012803000</t>
  </si>
  <si>
    <t>BADOC</t>
  </si>
  <si>
    <t>PH015520002</t>
  </si>
  <si>
    <t>PH012804000</t>
  </si>
  <si>
    <t>BANGUI</t>
  </si>
  <si>
    <t>PH015508001</t>
  </si>
  <si>
    <t>PH012811000</t>
  </si>
  <si>
    <t>BANNA (ESPIRITU)</t>
  </si>
  <si>
    <t>PH015514001</t>
  </si>
  <si>
    <t>PH012806000</t>
  </si>
  <si>
    <t>BURGOS</t>
  </si>
  <si>
    <t>PH015523002</t>
  </si>
  <si>
    <t>PH012807000</t>
  </si>
  <si>
    <t>CARASI</t>
  </si>
  <si>
    <t>PH015505002</t>
  </si>
  <si>
    <t>PH012805000</t>
  </si>
  <si>
    <t>CITY OF BATAC</t>
  </si>
  <si>
    <t>PH015503001</t>
  </si>
  <si>
    <t>PH012808000</t>
  </si>
  <si>
    <t>CURRIMAO</t>
  </si>
  <si>
    <t>PH015542001</t>
  </si>
  <si>
    <t>PH012809000</t>
  </si>
  <si>
    <t>DINGRAS</t>
  </si>
  <si>
    <t>PH015521001</t>
  </si>
  <si>
    <t>PH012810000</t>
  </si>
  <si>
    <t>DUMALNEG</t>
  </si>
  <si>
    <t>PH015522001</t>
  </si>
  <si>
    <t>PH012812000</t>
  </si>
  <si>
    <t>LAOAG CITY</t>
  </si>
  <si>
    <t>PH015515001</t>
  </si>
  <si>
    <t>PH012813000</t>
  </si>
  <si>
    <t>MARCOS</t>
  </si>
  <si>
    <t>PH015502002</t>
  </si>
  <si>
    <t>PH012814000</t>
  </si>
  <si>
    <t>NUEVA ERA</t>
  </si>
  <si>
    <t>PH015513001</t>
  </si>
  <si>
    <t>PH012815000</t>
  </si>
  <si>
    <t>PAGUDPUD</t>
  </si>
  <si>
    <t>PH015532001</t>
  </si>
  <si>
    <t>PH012816000</t>
  </si>
  <si>
    <t>PAOAY</t>
  </si>
  <si>
    <t>PH013314001</t>
  </si>
  <si>
    <t>PH012817000</t>
  </si>
  <si>
    <t>PASUQUIN</t>
  </si>
  <si>
    <t>PH015527001</t>
  </si>
  <si>
    <t>PH012818000</t>
  </si>
  <si>
    <t>PIDDIG</t>
  </si>
  <si>
    <t>PH013303001</t>
  </si>
  <si>
    <t>PH012819000</t>
  </si>
  <si>
    <t>PINILI</t>
  </si>
  <si>
    <t>PH015518001</t>
  </si>
  <si>
    <t>PH012820000</t>
  </si>
  <si>
    <t>SAN NICOLAS</t>
  </si>
  <si>
    <t>PH013316001</t>
  </si>
  <si>
    <t>PH012821000</t>
  </si>
  <si>
    <t>SARRAT</t>
  </si>
  <si>
    <t>PH013309001</t>
  </si>
  <si>
    <t>PH012822000</t>
  </si>
  <si>
    <t>SOLSONA</t>
  </si>
  <si>
    <t>PH013307001</t>
  </si>
  <si>
    <t>PH012823000</t>
  </si>
  <si>
    <t>VINTAR</t>
  </si>
  <si>
    <t>PH013302001</t>
  </si>
  <si>
    <t>PH012900000</t>
  </si>
  <si>
    <t>ILOCOS SUR</t>
  </si>
  <si>
    <t>PH012901000</t>
  </si>
  <si>
    <t>ALILEM</t>
  </si>
  <si>
    <t>PH012934001</t>
  </si>
  <si>
    <t>PH012902000</t>
  </si>
  <si>
    <t>BANAYOYO</t>
  </si>
  <si>
    <t>PH013305001</t>
  </si>
  <si>
    <t>PH012903000</t>
  </si>
  <si>
    <t>BANTAY</t>
  </si>
  <si>
    <t>PH013317001</t>
  </si>
  <si>
    <t>PH012904000</t>
  </si>
  <si>
    <t>PH012923001</t>
  </si>
  <si>
    <t>PH012905000</t>
  </si>
  <si>
    <t>CABUGAO</t>
  </si>
  <si>
    <t>PH015545001</t>
  </si>
  <si>
    <t>PH012907000</t>
  </si>
  <si>
    <t>CAOAYAN</t>
  </si>
  <si>
    <t>PH012928001</t>
  </si>
  <si>
    <t>PH012908000</t>
  </si>
  <si>
    <t>CERVANTES</t>
  </si>
  <si>
    <t>PH013310001</t>
  </si>
  <si>
    <t>PH012906000</t>
  </si>
  <si>
    <t>CITY OF CANDON</t>
  </si>
  <si>
    <t>PH012921001</t>
  </si>
  <si>
    <t>PH012934000</t>
  </si>
  <si>
    <t>CITY OF VIGAN (Capital)</t>
  </si>
  <si>
    <t>PH012903001</t>
  </si>
  <si>
    <t>PH012909000</t>
  </si>
  <si>
    <t>GALIMUYOD</t>
  </si>
  <si>
    <t>PH012907001</t>
  </si>
  <si>
    <t>PH012910000</t>
  </si>
  <si>
    <t>GREGORIO DEL PILAR (CONCEPCION)</t>
  </si>
  <si>
    <t>PH015517001</t>
  </si>
  <si>
    <t>PH012911000</t>
  </si>
  <si>
    <t>LIDLIDDA</t>
  </si>
  <si>
    <t>PH013306001</t>
  </si>
  <si>
    <t>PH012912000</t>
  </si>
  <si>
    <t>MAGSINGAL</t>
  </si>
  <si>
    <t>PH012922004</t>
  </si>
  <si>
    <t>PH012913000</t>
  </si>
  <si>
    <t>NAGBUKEL</t>
  </si>
  <si>
    <t>PH013301001</t>
  </si>
  <si>
    <t>PH012914000</t>
  </si>
  <si>
    <t>NARVACAN</t>
  </si>
  <si>
    <t>PH015509001</t>
  </si>
  <si>
    <t>PH012915000</t>
  </si>
  <si>
    <t>QUIRINO (ANGKAKI)</t>
  </si>
  <si>
    <t>PH015538001</t>
  </si>
  <si>
    <t>PH012916000</t>
  </si>
  <si>
    <t>SALCEDO (BAUGEN)</t>
  </si>
  <si>
    <t>PH012920008</t>
  </si>
  <si>
    <t>PH012917000</t>
  </si>
  <si>
    <t>SAN EMILIO</t>
  </si>
  <si>
    <t>PH013311002</t>
  </si>
  <si>
    <t>PH012918000</t>
  </si>
  <si>
    <t>SAN ESTEBAN</t>
  </si>
  <si>
    <t>PH015526001</t>
  </si>
  <si>
    <t>PH012919000</t>
  </si>
  <si>
    <t>SAN ILDEFONSO</t>
  </si>
  <si>
    <t>PH015533009</t>
  </si>
  <si>
    <t>PH012920000</t>
  </si>
  <si>
    <t>SAN JUAN (LAPOG)</t>
  </si>
  <si>
    <t>PH012919002</t>
  </si>
  <si>
    <t>PH012921000</t>
  </si>
  <si>
    <t>SAN VICENTE</t>
  </si>
  <si>
    <t>PH015524003</t>
  </si>
  <si>
    <t>PH012922000</t>
  </si>
  <si>
    <t>SANTA</t>
  </si>
  <si>
    <t>PH013320001</t>
  </si>
  <si>
    <t>PH012923000</t>
  </si>
  <si>
    <t>SANTA CATALINA</t>
  </si>
  <si>
    <t>PH015534009</t>
  </si>
  <si>
    <t>PH012924000</t>
  </si>
  <si>
    <t>SANTA CRUZ</t>
  </si>
  <si>
    <t>PH013308002</t>
  </si>
  <si>
    <t>PH012925000</t>
  </si>
  <si>
    <t>SANTA LUCIA</t>
  </si>
  <si>
    <t>PH012912001</t>
  </si>
  <si>
    <t>PH012926000</t>
  </si>
  <si>
    <t>SANTA MARIA</t>
  </si>
  <si>
    <t>PH012927002</t>
  </si>
  <si>
    <t>PH012927000</t>
  </si>
  <si>
    <t>SANTIAGO</t>
  </si>
  <si>
    <t>PH012909001</t>
  </si>
  <si>
    <t>PH012928000</t>
  </si>
  <si>
    <t>SANTO DOMINGO</t>
  </si>
  <si>
    <t>PH012918002</t>
  </si>
  <si>
    <t>PH012929000</t>
  </si>
  <si>
    <t>SIGAY</t>
  </si>
  <si>
    <t>PH012808001</t>
  </si>
  <si>
    <t>PH012930000</t>
  </si>
  <si>
    <t>SINAIT</t>
  </si>
  <si>
    <t>PH015511001</t>
  </si>
  <si>
    <t>PH012931000</t>
  </si>
  <si>
    <t>SUGPON</t>
  </si>
  <si>
    <t>PH012924001</t>
  </si>
  <si>
    <t>PH012932000</t>
  </si>
  <si>
    <t>SUYO</t>
  </si>
  <si>
    <t>PH013304001</t>
  </si>
  <si>
    <t>PH012933000</t>
  </si>
  <si>
    <t>TAGUDIN</t>
  </si>
  <si>
    <t>PH012926001</t>
  </si>
  <si>
    <t>PH013300000</t>
  </si>
  <si>
    <t>LA UNION</t>
  </si>
  <si>
    <t>PH013301000</t>
  </si>
  <si>
    <t>AGOO</t>
  </si>
  <si>
    <t>PH012914001</t>
  </si>
  <si>
    <t>PH013302000</t>
  </si>
  <si>
    <t>ARINGAY</t>
  </si>
  <si>
    <t>PH015528012</t>
  </si>
  <si>
    <t>PH013303000</t>
  </si>
  <si>
    <t>BACNOTAN</t>
  </si>
  <si>
    <t>PH012933008</t>
  </si>
  <si>
    <t>PH013304000</t>
  </si>
  <si>
    <t>BAGULIN</t>
  </si>
  <si>
    <t>PH012902001</t>
  </si>
  <si>
    <t>PH013305000</t>
  </si>
  <si>
    <t>BALAOAN</t>
  </si>
  <si>
    <t>PH013315007</t>
  </si>
  <si>
    <t>PH013306000</t>
  </si>
  <si>
    <t>BANGAR</t>
  </si>
  <si>
    <t>PH012930001</t>
  </si>
  <si>
    <t>PH013307000</t>
  </si>
  <si>
    <t>BAUANG</t>
  </si>
  <si>
    <t>PH013313006</t>
  </si>
  <si>
    <t>PH013308000</t>
  </si>
  <si>
    <t>PH012906017</t>
  </si>
  <si>
    <t>PH013309000</t>
  </si>
  <si>
    <t>CABA</t>
  </si>
  <si>
    <t>PH013312001</t>
  </si>
  <si>
    <t>PH013314000</t>
  </si>
  <si>
    <t>CITY OF SAN FERNANDO (Capital)</t>
  </si>
  <si>
    <t>PH015525002</t>
  </si>
  <si>
    <t>PH013310000</t>
  </si>
  <si>
    <t>LUNA</t>
  </si>
  <si>
    <t>PH012803001</t>
  </si>
  <si>
    <t>PH013311000</t>
  </si>
  <si>
    <t>NAGUILIAN</t>
  </si>
  <si>
    <t>PH015504001</t>
  </si>
  <si>
    <t>PH013312000</t>
  </si>
  <si>
    <t>PUGO</t>
  </si>
  <si>
    <t>PH012925030</t>
  </si>
  <si>
    <t>PH013313000</t>
  </si>
  <si>
    <t>ROSARIO</t>
  </si>
  <si>
    <t>PH012816001</t>
  </si>
  <si>
    <t>PH013315000</t>
  </si>
  <si>
    <t>SAN GABRIEL</t>
  </si>
  <si>
    <t>PH013319001</t>
  </si>
  <si>
    <t>PH013316000</t>
  </si>
  <si>
    <t>SAN JUAN</t>
  </si>
  <si>
    <t>PH015530001</t>
  </si>
  <si>
    <t>PH013317000</t>
  </si>
  <si>
    <t>SANTO TOMAS</t>
  </si>
  <si>
    <t>PH013318005</t>
  </si>
  <si>
    <t>PH013318000</t>
  </si>
  <si>
    <t>SANTOL</t>
  </si>
  <si>
    <t>PH012911001</t>
  </si>
  <si>
    <t>PH013319000</t>
  </si>
  <si>
    <t>SUDIPEN</t>
  </si>
  <si>
    <t>PH012905014</t>
  </si>
  <si>
    <t>PH013320000</t>
  </si>
  <si>
    <t>TUBAO</t>
  </si>
  <si>
    <t>PH012913001</t>
  </si>
  <si>
    <t>PH015500000</t>
  </si>
  <si>
    <t>PANGASINAN</t>
  </si>
  <si>
    <t>PH015501000</t>
  </si>
  <si>
    <t>AGNO</t>
  </si>
  <si>
    <t>PH015547001</t>
  </si>
  <si>
    <t>PH015502000</t>
  </si>
  <si>
    <t>AGUILAR</t>
  </si>
  <si>
    <t>PH012931001</t>
  </si>
  <si>
    <t>PH015503000</t>
  </si>
  <si>
    <t>ALAMINOS</t>
  </si>
  <si>
    <t>PH012904001</t>
  </si>
  <si>
    <t>PH015504000</t>
  </si>
  <si>
    <t>ALCALA</t>
  </si>
  <si>
    <t>PH015510001</t>
  </si>
  <si>
    <t>PH015505000</t>
  </si>
  <si>
    <t>ANDA</t>
  </si>
  <si>
    <t>PH015548001</t>
  </si>
  <si>
    <t>PH015506000</t>
  </si>
  <si>
    <t>ASINGAN</t>
  </si>
  <si>
    <t>PH012916001</t>
  </si>
  <si>
    <t>PH015507000</t>
  </si>
  <si>
    <t>BALUNGAO</t>
  </si>
  <si>
    <t>PH015540001</t>
  </si>
  <si>
    <t>PH015508000</t>
  </si>
  <si>
    <t>BANI</t>
  </si>
  <si>
    <t>PH012901001</t>
  </si>
  <si>
    <t>PH015509000</t>
  </si>
  <si>
    <t>BASISTA</t>
  </si>
  <si>
    <t>PH012805001</t>
  </si>
  <si>
    <t>PH015510000</t>
  </si>
  <si>
    <t>BAUTISTA</t>
  </si>
  <si>
    <t>PH012820001</t>
  </si>
  <si>
    <t>PH015511000</t>
  </si>
  <si>
    <t>BAYAMBANG</t>
  </si>
  <si>
    <t>PH012917001</t>
  </si>
  <si>
    <t>PH015512000</t>
  </si>
  <si>
    <t>BINALONAN</t>
  </si>
  <si>
    <t>PH012819001</t>
  </si>
  <si>
    <t>PH015513000</t>
  </si>
  <si>
    <t>BINMALEY</t>
  </si>
  <si>
    <t>PH015541001</t>
  </si>
  <si>
    <t>PH015514000</t>
  </si>
  <si>
    <t>BOLINAO</t>
  </si>
  <si>
    <t>PH012814001</t>
  </si>
  <si>
    <t>PH015515000</t>
  </si>
  <si>
    <t>BUGALLON</t>
  </si>
  <si>
    <t>PH012932001</t>
  </si>
  <si>
    <t>PH015516000</t>
  </si>
  <si>
    <t>PH015512001</t>
  </si>
  <si>
    <t>PH015517000</t>
  </si>
  <si>
    <t>CALASIAO</t>
  </si>
  <si>
    <t>PH012802001</t>
  </si>
  <si>
    <t>PH015518000</t>
  </si>
  <si>
    <t>DAGUPAN CITY</t>
  </si>
  <si>
    <t>PH012817001</t>
  </si>
  <si>
    <t>PH015519000</t>
  </si>
  <si>
    <t>DASOL</t>
  </si>
  <si>
    <t>PH012812001</t>
  </si>
  <si>
    <t>PH015520000</t>
  </si>
  <si>
    <t>INFANTA</t>
  </si>
  <si>
    <t>PH012910001</t>
  </si>
  <si>
    <t>PH015521000</t>
  </si>
  <si>
    <t>LABRADOR</t>
  </si>
  <si>
    <t>PH012929001</t>
  </si>
  <si>
    <t>PH015548000</t>
  </si>
  <si>
    <t>LAOAC</t>
  </si>
  <si>
    <t>PH012821001</t>
  </si>
  <si>
    <t>PH015522000</t>
  </si>
  <si>
    <t>LINGAYEN</t>
  </si>
  <si>
    <t>PH015506002</t>
  </si>
  <si>
    <t>PH015523000</t>
  </si>
  <si>
    <t>MABINI</t>
  </si>
  <si>
    <t>PH012811001</t>
  </si>
  <si>
    <t>PH015524000</t>
  </si>
  <si>
    <t>MALASIQUI</t>
  </si>
  <si>
    <t>PH015539001</t>
  </si>
  <si>
    <t>PH015525000</t>
  </si>
  <si>
    <t>MANAOAG</t>
  </si>
  <si>
    <t>PH015531001</t>
  </si>
  <si>
    <t>PH015526000</t>
  </si>
  <si>
    <t>MANGALDAN</t>
  </si>
  <si>
    <t>PH012806001</t>
  </si>
  <si>
    <t>PH015527000</t>
  </si>
  <si>
    <t>MANGATAREM</t>
  </si>
  <si>
    <t>PH015535001</t>
  </si>
  <si>
    <t>PH015528000</t>
  </si>
  <si>
    <t>MAPANDAN</t>
  </si>
  <si>
    <t>PH012908001</t>
  </si>
  <si>
    <t>PH015529000</t>
  </si>
  <si>
    <t>NATIVIDAD</t>
  </si>
  <si>
    <t>PH015507001</t>
  </si>
  <si>
    <t>PH015530000</t>
  </si>
  <si>
    <t>POZORRUBIO</t>
  </si>
  <si>
    <t>PH012915001</t>
  </si>
  <si>
    <t>PH015531000</t>
  </si>
  <si>
    <t>ROSALES</t>
  </si>
  <si>
    <t>PH015543001</t>
  </si>
  <si>
    <t>PH015532000</t>
  </si>
  <si>
    <t>SAN CARLOS CITY</t>
  </si>
  <si>
    <t>PH012813001</t>
  </si>
  <si>
    <t>PH015533000</t>
  </si>
  <si>
    <t>SAN FABIAN</t>
  </si>
  <si>
    <t>PH012823001</t>
  </si>
  <si>
    <t>PH015534000</t>
  </si>
  <si>
    <t>SAN JACINTO</t>
  </si>
  <si>
    <t>PH012809001</t>
  </si>
  <si>
    <t>PH015535000</t>
  </si>
  <si>
    <t>SAN MANUEL</t>
  </si>
  <si>
    <t>PH015536001</t>
  </si>
  <si>
    <t>PH015536000</t>
  </si>
  <si>
    <t>PH012804001</t>
  </si>
  <si>
    <t>PH015537000</t>
  </si>
  <si>
    <t>SAN QUINTIN</t>
  </si>
  <si>
    <t>PH015529001</t>
  </si>
  <si>
    <t>PH015538000</t>
  </si>
  <si>
    <t>SANTA BARBARA</t>
  </si>
  <si>
    <t>PH012818001</t>
  </si>
  <si>
    <t>PH015539000</t>
  </si>
  <si>
    <t>PH015537001</t>
  </si>
  <si>
    <t>PH015540000</t>
  </si>
  <si>
    <t>PH012822001</t>
  </si>
  <si>
    <t>PH015541000</t>
  </si>
  <si>
    <t>SISON</t>
  </si>
  <si>
    <t>PH012810001</t>
  </si>
  <si>
    <t>PH015542000</t>
  </si>
  <si>
    <t>SUAL</t>
  </si>
  <si>
    <t>PH015544001</t>
  </si>
  <si>
    <t>PH015543000</t>
  </si>
  <si>
    <t>TAYUG</t>
  </si>
  <si>
    <t>PH012807001</t>
  </si>
  <si>
    <t>PH015544000</t>
  </si>
  <si>
    <t>UMINGAN</t>
  </si>
  <si>
    <t>PH012815001</t>
  </si>
  <si>
    <t>PH015545000</t>
  </si>
  <si>
    <t>URBIZTONDO</t>
  </si>
  <si>
    <t>PH015546001</t>
  </si>
  <si>
    <t>PH015546000</t>
  </si>
  <si>
    <t>URDANETA CITY</t>
  </si>
  <si>
    <t>PH012801001</t>
  </si>
  <si>
    <t>PH015547000</t>
  </si>
  <si>
    <t>VILLASIS</t>
  </si>
  <si>
    <t>Department of Agriculture</t>
  </si>
  <si>
    <t>Regional Field Office I</t>
  </si>
  <si>
    <t>DAMAGE ASSESSMENT REPORT FOR RICE</t>
  </si>
  <si>
    <t>Cause of Damage:  Typhoon ROSITA</t>
  </si>
  <si>
    <t>Date of Occurrence: October 29-31, 2018</t>
  </si>
  <si>
    <t>Report as of:  November 6, 2018, 3:00  PM</t>
  </si>
  <si>
    <t>A. Geographic Information</t>
  </si>
  <si>
    <t>B. Type and Level of Report: (Please Check)</t>
  </si>
  <si>
    <t xml:space="preserve">  </t>
  </si>
  <si>
    <r>
      <t>Region:</t>
    </r>
    <r>
      <rPr>
        <b/>
        <u/>
        <sz val="12"/>
        <rFont val="Arial Narrow"/>
        <family val="2"/>
      </rPr>
      <t>ILOCOS</t>
    </r>
  </si>
  <si>
    <t>1. Type:</t>
  </si>
  <si>
    <t>2. Level:</t>
  </si>
  <si>
    <t>-Initial</t>
  </si>
  <si>
    <t>- Municipal</t>
  </si>
  <si>
    <t>x</t>
  </si>
  <si>
    <t>-Progress</t>
  </si>
  <si>
    <t xml:space="preserve"> - Provincial</t>
  </si>
  <si>
    <t>-Final</t>
  </si>
  <si>
    <t xml:space="preserve"> - Regional</t>
  </si>
  <si>
    <t>C. Particulars:</t>
  </si>
  <si>
    <t>LINE NO.</t>
  </si>
  <si>
    <t>PROVINCE</t>
  </si>
  <si>
    <t>TYPE OF CROP/ ECOSYSTEM</t>
  </si>
  <si>
    <t>NUMBER OF FARMERS AFFECTED</t>
  </si>
  <si>
    <t>AREA OF STANDING CROP (HA.)</t>
  </si>
  <si>
    <t>STAGE OF CROP DEVELOPMENT</t>
  </si>
  <si>
    <r>
      <t>AREA AFFECTED (HA.)/ SEEDLINGS (BAGS)</t>
    </r>
    <r>
      <rPr>
        <b/>
        <vertAlign val="superscript"/>
        <sz val="12"/>
        <rFont val="Arial Narrow"/>
        <family val="2"/>
      </rPr>
      <t>1/</t>
    </r>
  </si>
  <si>
    <t>YIELD (MT/HA)</t>
  </si>
  <si>
    <t>YIELD LOSS (%)</t>
  </si>
  <si>
    <t>TOTAL PRODUCTION LOSSES</t>
  </si>
  <si>
    <t>Before Calamity</t>
  </si>
  <si>
    <t>After Calamity</t>
  </si>
  <si>
    <t>Based on Cost of Input</t>
  </si>
  <si>
    <t>Based on Farm Gate Price</t>
  </si>
  <si>
    <t>TOTAL VALUE</t>
  </si>
  <si>
    <t>REMARKS</t>
  </si>
  <si>
    <t>TOTAL</t>
  </si>
  <si>
    <t xml:space="preserve">Totally Damaged </t>
  </si>
  <si>
    <t>Partially Damaged</t>
  </si>
  <si>
    <t>VOLUME (MT)</t>
  </si>
  <si>
    <t>Cost of Input/Ha</t>
  </si>
  <si>
    <t>Total Value</t>
  </si>
  <si>
    <t>Price/kg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</si>
  <si>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</si>
  <si>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</si>
  <si>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</si>
  <si>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</si>
  <si>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</si>
  <si>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</si>
  <si>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</si>
  <si>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</si>
  <si>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</si>
  <si>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</si>
  <si>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</si>
  <si>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</si>
  <si>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(14)</t>
  </si>
  <si>
    <t>(15)</t>
  </si>
  <si>
    <t>(16)</t>
  </si>
  <si>
    <t>(17)</t>
  </si>
  <si>
    <t>ILOCOS REGION</t>
  </si>
  <si>
    <t>District 1</t>
  </si>
  <si>
    <t>San Juan</t>
  </si>
  <si>
    <t>Rice</t>
  </si>
  <si>
    <t>Maturity</t>
  </si>
  <si>
    <t>District 2</t>
  </si>
  <si>
    <t>Santo Tomas</t>
  </si>
  <si>
    <t>Pugo</t>
  </si>
  <si>
    <t>Pangasinan</t>
  </si>
  <si>
    <t>Alaminos</t>
  </si>
  <si>
    <t>Bugallon</t>
  </si>
  <si>
    <t>Harvestable</t>
  </si>
  <si>
    <t>Seedlings</t>
  </si>
  <si>
    <t>Lingayen</t>
  </si>
  <si>
    <t>Soft Dough</t>
  </si>
  <si>
    <t>Hard Dough</t>
  </si>
  <si>
    <t>Basista</t>
  </si>
  <si>
    <t>Booting</t>
  </si>
  <si>
    <t>Labrador</t>
  </si>
  <si>
    <t>District 3</t>
  </si>
  <si>
    <t>Santa  Barbara</t>
  </si>
  <si>
    <t>District 4</t>
  </si>
  <si>
    <t>Mangaldan</t>
  </si>
  <si>
    <t>District 5</t>
  </si>
  <si>
    <t>Villasis</t>
  </si>
  <si>
    <t>Maturing</t>
  </si>
  <si>
    <t>Pozorrubio</t>
  </si>
  <si>
    <t>Milking</t>
  </si>
  <si>
    <t>Laoac</t>
  </si>
  <si>
    <t>Bautista</t>
  </si>
  <si>
    <t>Sison</t>
  </si>
  <si>
    <t>Ripening</t>
  </si>
  <si>
    <t>Urdaneta City</t>
  </si>
  <si>
    <t>Binalonan</t>
  </si>
  <si>
    <t>Flowering</t>
  </si>
  <si>
    <t>Milk Dough</t>
  </si>
  <si>
    <t>Dough Grain</t>
  </si>
  <si>
    <t>District 6</t>
  </si>
  <si>
    <t>Santa Maria</t>
  </si>
  <si>
    <t>newly transplanted</t>
  </si>
  <si>
    <t>newly sown (direct seeded)</t>
  </si>
  <si>
    <t>San Manuel</t>
  </si>
  <si>
    <t>Milking to Soft Dough</t>
  </si>
  <si>
    <t>Heading to Flowering</t>
  </si>
  <si>
    <t>Natividad</t>
  </si>
  <si>
    <t>San Quintin</t>
  </si>
  <si>
    <t>Rosales</t>
  </si>
  <si>
    <t>Soft to Hard Dough</t>
  </si>
  <si>
    <t xml:space="preserve">San Nicolas </t>
  </si>
  <si>
    <t>Umingan</t>
  </si>
  <si>
    <t>Tayug</t>
  </si>
  <si>
    <t>Seedling</t>
  </si>
  <si>
    <t>Prepared by:</t>
  </si>
  <si>
    <t>JINNEFER PULMANO / LORENA ALCODIA</t>
  </si>
  <si>
    <t>IRENE P. TACTAC</t>
  </si>
  <si>
    <t>ANNIE Q. BARES, DVM</t>
  </si>
  <si>
    <t>LUCRECIO R. ALVIAR JR., CESO III</t>
  </si>
  <si>
    <t>Report Officers</t>
  </si>
  <si>
    <t>Head, Reportorial Team</t>
  </si>
  <si>
    <t>Chief, FOD &amp; Co-Chair Quick Response Office</t>
  </si>
  <si>
    <t>Regional Executive Director</t>
  </si>
  <si>
    <t>Cause of Damage:  Strong winds and Rains caused Typhoon Ompong</t>
  </si>
  <si>
    <t>Date of Occurrence: September 14-15, 2018</t>
  </si>
  <si>
    <t>Report as of: September 24, 2018; 3:00 PM</t>
  </si>
  <si>
    <r>
      <t>Region:</t>
    </r>
    <r>
      <rPr>
        <b/>
        <u/>
        <sz val="12"/>
        <color theme="1"/>
        <rFont val="Arial Narrow"/>
        <family val="2"/>
      </rPr>
      <t>ILOCOS</t>
    </r>
  </si>
  <si>
    <t xml:space="preserve">   </t>
  </si>
  <si>
    <r>
      <t>AREA AFFECTED (HA.)/ SEEDLINGS (BAGS)</t>
    </r>
    <r>
      <rPr>
        <b/>
        <vertAlign val="superscript"/>
        <sz val="12"/>
        <color theme="1"/>
        <rFont val="Arial Narrow"/>
        <family val="2"/>
      </rPr>
      <t>1/</t>
    </r>
  </si>
  <si>
    <t>Ilocos Norte</t>
  </si>
  <si>
    <t>Provincewide</t>
  </si>
  <si>
    <t>Vegetative</t>
  </si>
  <si>
    <t>Ilocos Sur</t>
  </si>
  <si>
    <t>Cabugao</t>
  </si>
  <si>
    <t>Reproductive stage</t>
  </si>
  <si>
    <t>Caoayan</t>
  </si>
  <si>
    <t>Irr/Hybrid</t>
  </si>
  <si>
    <t>Irr/Inbred</t>
  </si>
  <si>
    <t>RF/Hybrid</t>
  </si>
  <si>
    <t>RF/Inbred</t>
  </si>
  <si>
    <t>Santo  Domingo</t>
  </si>
  <si>
    <t>Dough to Maturity</t>
  </si>
  <si>
    <t>San Ildefonso</t>
  </si>
  <si>
    <t>PI to Booting</t>
  </si>
  <si>
    <t>San Vicente</t>
  </si>
  <si>
    <t>Santa Catalina</t>
  </si>
  <si>
    <t>Dough Stage</t>
  </si>
  <si>
    <t>Bantay</t>
  </si>
  <si>
    <t>Vigan</t>
  </si>
  <si>
    <t>Sinait</t>
  </si>
  <si>
    <t>Magsingal</t>
  </si>
  <si>
    <t>Santa</t>
  </si>
  <si>
    <t>Santiago</t>
  </si>
  <si>
    <t>Galimuyod</t>
  </si>
  <si>
    <t>Suyo</t>
  </si>
  <si>
    <t>Sta. Lucia</t>
  </si>
  <si>
    <t>Sta. Cruz</t>
  </si>
  <si>
    <t>Quirino</t>
  </si>
  <si>
    <t>Tagudin</t>
  </si>
  <si>
    <t>irrigated</t>
  </si>
  <si>
    <t>rainfed</t>
  </si>
  <si>
    <t>Nagbukel</t>
  </si>
  <si>
    <t>Burgos</t>
  </si>
  <si>
    <t>Flowering to Dough</t>
  </si>
  <si>
    <t>Banayoyo</t>
  </si>
  <si>
    <t>Flowering to maturity</t>
  </si>
  <si>
    <t>San Emilio</t>
  </si>
  <si>
    <t>Sugpon</t>
  </si>
  <si>
    <t>Salcedo</t>
  </si>
  <si>
    <t>Dough</t>
  </si>
  <si>
    <t>Sigay</t>
  </si>
  <si>
    <t>San Esteban</t>
  </si>
  <si>
    <t>Liddlidda</t>
  </si>
  <si>
    <t>Tillering to Booting</t>
  </si>
  <si>
    <t>Narvacan</t>
  </si>
  <si>
    <t>Cervantes</t>
  </si>
  <si>
    <t>Flowering/Maturity</t>
  </si>
  <si>
    <t>Alilem</t>
  </si>
  <si>
    <t>Reproductive</t>
  </si>
  <si>
    <t>Del Pilar</t>
  </si>
  <si>
    <t>Tillering</t>
  </si>
  <si>
    <t>La Union</t>
  </si>
  <si>
    <t>Bacnotan</t>
  </si>
  <si>
    <t>Rice (Irr &amp; Rfd)</t>
  </si>
  <si>
    <t>San Gabriel</t>
  </si>
  <si>
    <t>Santol</t>
  </si>
  <si>
    <t>Rice (Rainfed)</t>
  </si>
  <si>
    <t>Balaoan</t>
  </si>
  <si>
    <t>Bangar</t>
  </si>
  <si>
    <t>Luna</t>
  </si>
  <si>
    <t>Sudipen</t>
  </si>
  <si>
    <t>Agoo</t>
  </si>
  <si>
    <t>Rice (Irrigated)</t>
  </si>
  <si>
    <t>Naguilian</t>
  </si>
  <si>
    <t>Caba</t>
  </si>
  <si>
    <t>Bauang</t>
  </si>
  <si>
    <t>Tubao</t>
  </si>
  <si>
    <t>Bagulin</t>
  </si>
  <si>
    <t>Irrigated/raifed</t>
  </si>
  <si>
    <t>Rosario</t>
  </si>
  <si>
    <t>Aringay</t>
  </si>
  <si>
    <t>District 11</t>
  </si>
  <si>
    <t>Agno</t>
  </si>
  <si>
    <t xml:space="preserve">Milking </t>
  </si>
  <si>
    <t xml:space="preserve">Anda </t>
  </si>
  <si>
    <t>Mabini</t>
  </si>
  <si>
    <t>Dasol</t>
  </si>
  <si>
    <t>Heading</t>
  </si>
  <si>
    <t>Bani</t>
  </si>
  <si>
    <t>Bolinao</t>
  </si>
  <si>
    <t>Infanta</t>
  </si>
  <si>
    <t>Newly Sown</t>
  </si>
  <si>
    <t>Panicle Initiation</t>
  </si>
  <si>
    <t>Sual</t>
  </si>
  <si>
    <t>District II</t>
  </si>
  <si>
    <t>Aguilar</t>
  </si>
  <si>
    <t>Mangatarem</t>
  </si>
  <si>
    <t>Newly Planted</t>
  </si>
  <si>
    <t>District III</t>
  </si>
  <si>
    <t>Calasiao</t>
  </si>
  <si>
    <t>Mapandan</t>
  </si>
  <si>
    <t>Malasiqui</t>
  </si>
  <si>
    <t>Soft/Hard dough</t>
  </si>
  <si>
    <t>Bayambang</t>
  </si>
  <si>
    <t>San. Carlos</t>
  </si>
  <si>
    <t>District IV</t>
  </si>
  <si>
    <t>San Fabian</t>
  </si>
  <si>
    <t xml:space="preserve">Mangaldan </t>
  </si>
  <si>
    <t>Soft/Hard Dough</t>
  </si>
  <si>
    <t>Manaoag</t>
  </si>
  <si>
    <t xml:space="preserve">Panicle Initiation to Booting </t>
  </si>
  <si>
    <t>San Jacinto</t>
  </si>
  <si>
    <t>Dagupan City</t>
  </si>
  <si>
    <t>District V</t>
  </si>
  <si>
    <t>Alcala</t>
  </si>
  <si>
    <t>Flowering/Milking</t>
  </si>
  <si>
    <t>PI to heading</t>
  </si>
  <si>
    <t>Flowering/Milikng</t>
  </si>
  <si>
    <t>District VI</t>
  </si>
  <si>
    <t>Milikng</t>
  </si>
  <si>
    <t>Santa  Maria</t>
  </si>
  <si>
    <t>Asingan</t>
  </si>
  <si>
    <t>Booting/Heading</t>
  </si>
  <si>
    <t xml:space="preserve">Harvestable </t>
  </si>
  <si>
    <t>Panicle Initiation-Booting</t>
  </si>
  <si>
    <t>Soft dough</t>
  </si>
  <si>
    <t>Balungao</t>
  </si>
  <si>
    <t>San Nicolas</t>
  </si>
  <si>
    <t>Reviewed by:</t>
  </si>
  <si>
    <t>Concurred:</t>
  </si>
  <si>
    <t>Approved:</t>
  </si>
  <si>
    <t>ABIGAIL W. BAYAUA</t>
  </si>
  <si>
    <t>Agri II/Report Officer</t>
  </si>
  <si>
    <t>PO III/Head of Secretariat</t>
  </si>
  <si>
    <t>Chief, FOD &amp;</t>
  </si>
  <si>
    <t>Co-Chairman, Quick Response Office</t>
  </si>
  <si>
    <t xml:space="preserve">DAMAGE ASSESSMENT REPORT </t>
  </si>
  <si>
    <t>Cause of Damage:  Typhoon Karen</t>
  </si>
  <si>
    <t>Date of Occurrence: October 15-16, 2016</t>
  </si>
  <si>
    <t>Report as of: November 4,2016</t>
  </si>
  <si>
    <t>TYPE OF CROP/ECOSYSTEM</t>
  </si>
  <si>
    <t xml:space="preserve">Dagupan City </t>
  </si>
  <si>
    <t>Maturiy</t>
  </si>
  <si>
    <t>BARANGAY / MUNICIPALITY / PROVINCE</t>
  </si>
  <si>
    <r>
      <t xml:space="preserve">AREA AFFECTED (HA.)/SEEDLINGS (BAGS) </t>
    </r>
    <r>
      <rPr>
        <b/>
        <vertAlign val="superscript"/>
        <sz val="8"/>
        <rFont val="Arial Narrow"/>
        <family val="2"/>
      </rPr>
      <t>1/</t>
    </r>
  </si>
  <si>
    <t>YIELD PER HECTARE (MT)</t>
  </si>
  <si>
    <r>
      <t>Based on Cost of Input</t>
    </r>
    <r>
      <rPr>
        <b/>
        <vertAlign val="superscript"/>
        <sz val="8"/>
        <rFont val="Arial"/>
        <family val="2"/>
      </rPr>
      <t xml:space="preserve"> 2/</t>
    </r>
  </si>
  <si>
    <r>
      <t xml:space="preserve">Based on Farm Gate Price </t>
    </r>
    <r>
      <rPr>
        <b/>
        <vertAlign val="superscript"/>
        <sz val="8"/>
        <rFont val="Arial"/>
        <family val="2"/>
      </rPr>
      <t>3/</t>
    </r>
  </si>
  <si>
    <t xml:space="preserve">High Value Crop </t>
  </si>
  <si>
    <t>Sta. Barbara</t>
  </si>
  <si>
    <t>Ampalaya</t>
  </si>
  <si>
    <t>Eggplant</t>
  </si>
  <si>
    <t>Seedling Stage</t>
  </si>
  <si>
    <t>Tomato</t>
  </si>
  <si>
    <t>Vegetative stage</t>
  </si>
  <si>
    <t xml:space="preserve">Fruiting Stage </t>
  </si>
  <si>
    <t>Stringbeans</t>
  </si>
  <si>
    <t>Vegetative Stage</t>
  </si>
  <si>
    <t>Okra</t>
  </si>
  <si>
    <t>Mungbean</t>
  </si>
  <si>
    <t>Mango</t>
  </si>
  <si>
    <t>Newly Induced</t>
  </si>
  <si>
    <t>Submmited by:</t>
  </si>
  <si>
    <t>Noted:</t>
  </si>
  <si>
    <t>LOIDA P. PACURSA/JINNEFER B. PULMANO</t>
  </si>
  <si>
    <t>PAZ L. MONES, Ph.D.</t>
  </si>
  <si>
    <t xml:space="preserve">         VALENTINO C. PERDIDO, Ph.D.</t>
  </si>
  <si>
    <t xml:space="preserve">    Report Officers</t>
  </si>
  <si>
    <t xml:space="preserve">    RTD for Operations and Chair, RCC-Action Group Command Post</t>
  </si>
  <si>
    <t>Cause of Damage:  Typhoon Lawin</t>
  </si>
  <si>
    <t>Date of Occurrence: October 19-20, 2016</t>
  </si>
  <si>
    <t>TYPE OF CROP/    ECOSYSTEM</t>
  </si>
  <si>
    <t>San Fernando City</t>
  </si>
  <si>
    <t xml:space="preserve">San Gabriel </t>
  </si>
  <si>
    <t xml:space="preserve">Ripening </t>
  </si>
  <si>
    <t>Maturiyty</t>
  </si>
  <si>
    <t>Santo Domingo</t>
  </si>
  <si>
    <t xml:space="preserve">Maturity </t>
  </si>
  <si>
    <t xml:space="preserve">Milking-Dough </t>
  </si>
  <si>
    <t xml:space="preserve">Flowering </t>
  </si>
  <si>
    <t>Milking-Dough</t>
  </si>
  <si>
    <t>Lidlidda</t>
  </si>
  <si>
    <t>SANTA Lucia</t>
  </si>
  <si>
    <t>Santa Cruz</t>
  </si>
  <si>
    <t>Adams</t>
  </si>
  <si>
    <t>Irrigated</t>
  </si>
  <si>
    <t>Milking to Dough</t>
  </si>
  <si>
    <t>Bacara</t>
  </si>
  <si>
    <t>Rainfed</t>
  </si>
  <si>
    <t>Maturity/Ripening</t>
  </si>
  <si>
    <t>Pagudpud</t>
  </si>
  <si>
    <t>Pasuquin</t>
  </si>
  <si>
    <t>Bangui</t>
  </si>
  <si>
    <t>Sarrat</t>
  </si>
  <si>
    <t xml:space="preserve">Irrigated </t>
  </si>
  <si>
    <t>Vintar</t>
  </si>
  <si>
    <t>Piddig</t>
  </si>
  <si>
    <t xml:space="preserve"> Flowering</t>
  </si>
  <si>
    <t>Carasi</t>
  </si>
  <si>
    <t>Dumalneg</t>
  </si>
  <si>
    <t>Badoc</t>
  </si>
  <si>
    <t>Banna</t>
  </si>
  <si>
    <t xml:space="preserve">Booting </t>
  </si>
  <si>
    <t>Batac</t>
  </si>
  <si>
    <t>Currimao</t>
  </si>
  <si>
    <t>Marcos</t>
  </si>
  <si>
    <t>Nueva Era</t>
  </si>
  <si>
    <t>Paoay</t>
  </si>
  <si>
    <t>Pinili</t>
  </si>
  <si>
    <t>Dingras</t>
  </si>
  <si>
    <t>Solsona</t>
  </si>
  <si>
    <t>Anda</t>
  </si>
  <si>
    <t xml:space="preserve">Yellow Ripening </t>
  </si>
  <si>
    <t>Soft/hard dough</t>
  </si>
  <si>
    <t xml:space="preserve">Rice </t>
  </si>
  <si>
    <t xml:space="preserve">Vegetative </t>
  </si>
  <si>
    <t xml:space="preserve">District 5 </t>
  </si>
  <si>
    <t>Newly Transplanted</t>
  </si>
  <si>
    <t>Seedbed</t>
  </si>
  <si>
    <t>Flowering/Reproductive</t>
  </si>
  <si>
    <t>Maturity (Hybrid)</t>
  </si>
  <si>
    <t>KRISTEL MARIE M. LAZAGA/IRENE P. TACTAC</t>
  </si>
  <si>
    <t>Report Officer</t>
  </si>
  <si>
    <t>DAMAGE ASSESSMENT REPORT FOR CEREALS</t>
  </si>
  <si>
    <r>
      <t>Cause of Damage :</t>
    </r>
    <r>
      <rPr>
        <u val="singleAccounting"/>
        <sz val="12"/>
        <rFont val="Arial Narrow"/>
        <family val="2"/>
      </rPr>
      <t xml:space="preserve"> Typhoon Egay</t>
    </r>
  </si>
  <si>
    <r>
      <t xml:space="preserve">Date of Occurrence: </t>
    </r>
    <r>
      <rPr>
        <u val="singleAccounting"/>
        <sz val="12"/>
        <rFont val="Arial Narrow"/>
        <family val="2"/>
      </rPr>
      <t>JULY 3-6, 2015</t>
    </r>
  </si>
  <si>
    <t>End of Calamity : ____________________________</t>
  </si>
  <si>
    <t>Report as of :  July 27, 2015</t>
  </si>
  <si>
    <t>Period Covered (Specify) : ________________________</t>
  </si>
  <si>
    <t>1. Region</t>
  </si>
  <si>
    <t>Ilocos Region</t>
  </si>
  <si>
    <t>2. Province</t>
  </si>
  <si>
    <t xml:space="preserve">     _______ - Municipal</t>
  </si>
  <si>
    <t>3. Municipality</t>
  </si>
  <si>
    <t xml:space="preserve">     _______ - Provincial</t>
  </si>
  <si>
    <t xml:space="preserve">     _____x__ - Regional</t>
  </si>
  <si>
    <t>MONTH TO BE HARVESTED</t>
  </si>
  <si>
    <r>
      <t xml:space="preserve">AREA AFFECTED (HA.)/SEEDLINGS (BAGS) </t>
    </r>
    <r>
      <rPr>
        <b/>
        <vertAlign val="superscript"/>
        <sz val="12"/>
        <rFont val="Arial Narrow"/>
        <family val="2"/>
      </rPr>
      <t>1/</t>
    </r>
  </si>
  <si>
    <r>
      <t>Based on Cost of Input</t>
    </r>
    <r>
      <rPr>
        <b/>
        <vertAlign val="superscript"/>
        <sz val="9"/>
        <rFont val="Arial"/>
        <family val="2"/>
      </rPr>
      <t xml:space="preserve"> 2/</t>
    </r>
  </si>
  <si>
    <r>
      <t xml:space="preserve">Based on Farm Gate Price </t>
    </r>
    <r>
      <rPr>
        <b/>
        <vertAlign val="superscript"/>
        <sz val="9"/>
        <rFont val="Arial"/>
        <family val="2"/>
      </rPr>
      <t>3/</t>
    </r>
  </si>
  <si>
    <t>(13)</t>
  </si>
  <si>
    <t>(18)</t>
  </si>
  <si>
    <t>(19)</t>
  </si>
  <si>
    <t>Total</t>
  </si>
  <si>
    <t>SANTA Barbara</t>
  </si>
  <si>
    <t>963 bags</t>
  </si>
  <si>
    <t>Seedlings (F1)</t>
  </si>
  <si>
    <t>351 packs</t>
  </si>
  <si>
    <t>Newly transplanted</t>
  </si>
  <si>
    <t>District I</t>
  </si>
  <si>
    <t>Seedling (F1)</t>
  </si>
  <si>
    <t>350 packs</t>
  </si>
  <si>
    <t>Seedling (CS)</t>
  </si>
  <si>
    <t>10 bags</t>
  </si>
  <si>
    <t>760 bags</t>
  </si>
  <si>
    <t>230 packs</t>
  </si>
  <si>
    <t>45 packs</t>
  </si>
  <si>
    <t>230 bags</t>
  </si>
  <si>
    <t>11 bags</t>
  </si>
  <si>
    <t>4 packs</t>
  </si>
  <si>
    <t>34 bags</t>
  </si>
  <si>
    <t>105 packs</t>
  </si>
  <si>
    <t>Seedling (GS)</t>
  </si>
  <si>
    <t>60 bags</t>
  </si>
  <si>
    <t>158 packs</t>
  </si>
  <si>
    <t>473 bags</t>
  </si>
  <si>
    <t>19 bags</t>
  </si>
  <si>
    <t>5 packs</t>
  </si>
  <si>
    <t>4 bags</t>
  </si>
  <si>
    <t>150 packs</t>
  </si>
  <si>
    <t>200 bags</t>
  </si>
  <si>
    <t>Newly planted</t>
  </si>
  <si>
    <t>12 packs</t>
  </si>
  <si>
    <t>Note:</t>
  </si>
  <si>
    <t>Total Damage:</t>
  </si>
  <si>
    <t>Requirement per Ha (no):</t>
  </si>
  <si>
    <t>Price per pack/bag (PhP):</t>
  </si>
  <si>
    <t>Equivalent in Area (Ha):</t>
  </si>
  <si>
    <t>Total Value (PhP):</t>
  </si>
  <si>
    <t>F1</t>
  </si>
  <si>
    <t xml:space="preserve">1,410 packs @ 5kg/pack </t>
  </si>
  <si>
    <t>3 packs/ha</t>
  </si>
  <si>
    <t>1,400.00/pack</t>
  </si>
  <si>
    <t>Inbred</t>
  </si>
  <si>
    <t>2,764 bags @ 40 kg/bag</t>
  </si>
  <si>
    <t>1 bag/ha</t>
  </si>
  <si>
    <t>1,360.00/bag</t>
  </si>
  <si>
    <t>Submitted by:</t>
  </si>
  <si>
    <t>Noted by:</t>
  </si>
  <si>
    <t>LOIDA PACURSA</t>
  </si>
  <si>
    <t>PAZ L. MONES, Ph.D</t>
  </si>
  <si>
    <t>VALENTINO C. PERDIDO, Ph.D</t>
  </si>
  <si>
    <t>Chairman, RCC/RDAT Steering Committee</t>
  </si>
  <si>
    <t>OIC- Regional Executive Director</t>
  </si>
  <si>
    <r>
      <t>Cause of Damage :</t>
    </r>
    <r>
      <rPr>
        <u val="singleAccounting"/>
        <sz val="12"/>
        <rFont val="Arial Narrow"/>
        <family val="2"/>
      </rPr>
      <t xml:space="preserve"> Typhoon Ineng (continuous heavy rains)</t>
    </r>
  </si>
  <si>
    <t>Date of Occurrence: August 21, 2015</t>
  </si>
  <si>
    <t>Report as of :  September 3, 2015, 3:00 PM</t>
  </si>
  <si>
    <t xml:space="preserve"> </t>
  </si>
  <si>
    <t>FF</t>
  </si>
  <si>
    <t>Bacarra</t>
  </si>
  <si>
    <t>Heading/Flowering</t>
  </si>
  <si>
    <t>Laoag City</t>
  </si>
  <si>
    <t>Batac City</t>
  </si>
  <si>
    <t>Nov</t>
  </si>
  <si>
    <t>Candon</t>
  </si>
  <si>
    <t>Gregorio del Pilar</t>
  </si>
  <si>
    <t>SANTA Cruz</t>
  </si>
  <si>
    <t>148 packs</t>
  </si>
  <si>
    <t>149 packs</t>
  </si>
  <si>
    <t>9.25 bags</t>
  </si>
  <si>
    <t>SANTA  Maria</t>
  </si>
  <si>
    <t>Lillidda</t>
  </si>
  <si>
    <t>8 bags</t>
  </si>
  <si>
    <t>Mangtarem</t>
  </si>
  <si>
    <t xml:space="preserve">San Manuel </t>
  </si>
  <si>
    <t>9 cavans</t>
  </si>
  <si>
    <t>IRENE P. TACTAC/BERNIE G. TRINIDAD</t>
  </si>
  <si>
    <t xml:space="preserve">DAMAGE ASSESSMENT REPORT FOR CEREALS </t>
  </si>
  <si>
    <t xml:space="preserve">                                                                                                                                                                Cause of Damage: Typhoon "Kabayan"</t>
  </si>
  <si>
    <t xml:space="preserve">                                                                                                                                                                Date of Occurrence: October 1-4,2015</t>
  </si>
  <si>
    <t xml:space="preserve">                                                                                                                                                                End of Calamity:_________________</t>
  </si>
  <si>
    <r>
      <t xml:space="preserve">                                                                                                                                                                Report as of:</t>
    </r>
    <r>
      <rPr>
        <b/>
        <u/>
        <sz val="10"/>
        <rFont val="Arial"/>
        <family val="2"/>
      </rPr>
      <t xml:space="preserve"> </t>
    </r>
    <r>
      <rPr>
        <u/>
        <sz val="10"/>
        <rFont val="Arial"/>
        <family val="2"/>
      </rPr>
      <t>October 9, 2015</t>
    </r>
  </si>
  <si>
    <t xml:space="preserve">                                                                                                                                                                Period Covered (Specify): </t>
  </si>
  <si>
    <t>A. Geographic Information:</t>
  </si>
  <si>
    <t>B. Type and Level of Report: (Pls. Check)</t>
  </si>
  <si>
    <r>
      <t xml:space="preserve">1. Region: </t>
    </r>
    <r>
      <rPr>
        <b/>
        <u/>
        <sz val="10"/>
        <rFont val="Arial"/>
        <family val="2"/>
      </rPr>
      <t>I - ILOCOS REGION</t>
    </r>
  </si>
  <si>
    <t>- Initial</t>
  </si>
  <si>
    <t>- Progress</t>
  </si>
  <si>
    <t>- Provincial</t>
  </si>
  <si>
    <t>- Final</t>
  </si>
  <si>
    <t>X</t>
  </si>
  <si>
    <t>- Regional</t>
  </si>
  <si>
    <t xml:space="preserve">        BARANGAY/MUNICIPALITY/                          PROVINCE     </t>
  </si>
  <si>
    <t>TYPE OF ECOSYSTEM</t>
  </si>
  <si>
    <r>
      <t>AREA AFFECTED (HA.)/  SEEDLINGS (BAGS)</t>
    </r>
    <r>
      <rPr>
        <b/>
        <vertAlign val="superscript"/>
        <sz val="9"/>
        <rFont val="Arial"/>
        <family val="2"/>
      </rPr>
      <t>1/</t>
    </r>
  </si>
  <si>
    <t>YIELD PER HECTARE (M.T.)</t>
  </si>
  <si>
    <t>Yield Loss (%)</t>
  </si>
  <si>
    <t>TOTAL LOSSES</t>
  </si>
  <si>
    <r>
      <t>Based on Cost of Input</t>
    </r>
    <r>
      <rPr>
        <b/>
        <vertAlign val="superscript"/>
        <sz val="9"/>
        <rFont val="Arial"/>
        <family val="2"/>
      </rPr>
      <t>2/</t>
    </r>
  </si>
  <si>
    <r>
      <t>Based on Farm Gate Price</t>
    </r>
    <r>
      <rPr>
        <b/>
        <vertAlign val="superscript"/>
        <sz val="9"/>
        <rFont val="Arial"/>
        <family val="2"/>
      </rPr>
      <t>3/</t>
    </r>
  </si>
  <si>
    <t>Totally Damaged</t>
  </si>
  <si>
    <t>Before 
Calamity</t>
  </si>
  <si>
    <t>After 
Calamity</t>
  </si>
  <si>
    <t>Volume 
(MT)</t>
  </si>
  <si>
    <t>Cost of Input/Ha.</t>
  </si>
  <si>
    <t>Price/kg.</t>
  </si>
  <si>
    <t>REGION 1</t>
  </si>
  <si>
    <t>Flowering (F1)</t>
  </si>
  <si>
    <t>Flowering (Inbred)</t>
  </si>
  <si>
    <t>Yellow Ripening (F1)</t>
  </si>
  <si>
    <t>October</t>
  </si>
  <si>
    <t>Yellow Ripening (CS)</t>
  </si>
  <si>
    <t>Soft/Hard Dough (F1)</t>
  </si>
  <si>
    <t>Soft/Hard Dough (CS)</t>
  </si>
  <si>
    <t>Urbiztondo</t>
  </si>
  <si>
    <t>Reproductive (F1)</t>
  </si>
  <si>
    <t>Soft Dough (F1)</t>
  </si>
  <si>
    <t>Maturity (F1)</t>
  </si>
  <si>
    <t>Maturity (Inbred)</t>
  </si>
  <si>
    <t>Soft Dough (Inbred)</t>
  </si>
  <si>
    <t>Reproductive (Inbred)</t>
  </si>
  <si>
    <t>Sto. Tomas</t>
  </si>
  <si>
    <t>Ripening (F1)</t>
  </si>
  <si>
    <t>Ripening (Inbred)</t>
  </si>
  <si>
    <t>Reproductive (CS)</t>
  </si>
  <si>
    <t>Booting/Heading (F1)</t>
  </si>
  <si>
    <t>Booting/Heading (CS)</t>
  </si>
  <si>
    <t>Maturity (CS)</t>
  </si>
  <si>
    <t>LOIDA PACURSA/ JINNEFER PULMANO</t>
  </si>
  <si>
    <t>Cause of Damage:  Typhoon Lando</t>
  </si>
  <si>
    <t>Date of Occurrence: October 18 - 20, 2015</t>
  </si>
  <si>
    <t>Report as of: November 03, 2015, 5:00 PM</t>
  </si>
  <si>
    <t>Period Covered: October 18-20, 2015</t>
  </si>
  <si>
    <t xml:space="preserve">     ___X____ - Regional</t>
  </si>
  <si>
    <t xml:space="preserve">Seedling </t>
  </si>
  <si>
    <t>SANTO Domingo</t>
  </si>
  <si>
    <t>SANTA Catalina</t>
  </si>
  <si>
    <t>Sam Emilio</t>
  </si>
  <si>
    <t>STA CRUZ</t>
  </si>
  <si>
    <t>Dougn Grain</t>
  </si>
  <si>
    <t>Harvested not Tresehed</t>
  </si>
  <si>
    <t>Binmaley</t>
  </si>
  <si>
    <t>Hard dough</t>
  </si>
  <si>
    <t>San Carlos City</t>
  </si>
  <si>
    <t>Rainfed'</t>
  </si>
  <si>
    <t>Harvested that were not yet threshed</t>
  </si>
  <si>
    <t>Seedlings(F1)</t>
  </si>
  <si>
    <t>Seedlings(inbred)</t>
  </si>
  <si>
    <t>IRENE P. TACTAC/ABIGAIL W. BAYAUA</t>
  </si>
  <si>
    <t>RTD for Operations and Chair, RCC-Action Group Command Post</t>
  </si>
  <si>
    <t xml:space="preserve">                                                              OIC-Regional Executive Director</t>
  </si>
  <si>
    <r>
      <t>Cause of Damage :</t>
    </r>
    <r>
      <rPr>
        <u val="singleAccounting"/>
        <sz val="12"/>
        <rFont val="Arial Narrow"/>
        <family val="2"/>
      </rPr>
      <t xml:space="preserve"> Typhoon Nona</t>
    </r>
  </si>
  <si>
    <r>
      <t>Date of Occurrence: Dec. 15-16</t>
    </r>
    <r>
      <rPr>
        <u val="singleAccounting"/>
        <sz val="12"/>
        <rFont val="Arial Narrow"/>
        <family val="2"/>
      </rPr>
      <t>, 2015</t>
    </r>
  </si>
  <si>
    <t>Report as of :  January 5, 2016</t>
  </si>
  <si>
    <t>____________</t>
  </si>
  <si>
    <t>April</t>
  </si>
  <si>
    <t>Seed Bed</t>
  </si>
  <si>
    <t>IRENE TACTAC/ JINNEFER PULMANO</t>
  </si>
  <si>
    <t>DEPARTMENT OF AGRICULTURE</t>
  </si>
  <si>
    <t>REGIONAL FIELD OFFICE I</t>
  </si>
  <si>
    <r>
      <t xml:space="preserve">                                                                                                                                                                                                              Cause of Damage: </t>
    </r>
    <r>
      <rPr>
        <b/>
        <u/>
        <sz val="11"/>
        <color indexed="56"/>
        <rFont val="Arial Narrow"/>
        <family val="2"/>
      </rPr>
      <t xml:space="preserve"> TYPHOON GLENDA</t>
    </r>
  </si>
  <si>
    <r>
      <t xml:space="preserve">                                                                                                                                                                                                                 Date of Occurrence: </t>
    </r>
    <r>
      <rPr>
        <b/>
        <u/>
        <sz val="11"/>
        <color indexed="56"/>
        <rFont val="Arial Narrow"/>
        <family val="2"/>
      </rPr>
      <t>July 16-17, 2014</t>
    </r>
  </si>
  <si>
    <r>
      <t xml:space="preserve">                                                                                                                                                                                                                           Report as of:</t>
    </r>
    <r>
      <rPr>
        <b/>
        <u/>
        <sz val="11"/>
        <color indexed="56"/>
        <rFont val="Arial Narrow"/>
        <family val="2"/>
      </rPr>
      <t xml:space="preserve"> July 24, 2014</t>
    </r>
  </si>
  <si>
    <r>
      <t xml:space="preserve">1. Region: </t>
    </r>
    <r>
      <rPr>
        <b/>
        <u/>
        <sz val="11"/>
        <color indexed="56"/>
        <rFont val="Arial Narrow"/>
        <family val="2"/>
      </rPr>
      <t>I - ILOCOS REGION</t>
    </r>
  </si>
  <si>
    <r>
      <t xml:space="preserve">2. Province: </t>
    </r>
    <r>
      <rPr>
        <b/>
        <u/>
        <sz val="11"/>
        <color indexed="56"/>
        <rFont val="Arial Narrow"/>
        <family val="2"/>
      </rPr>
      <t>PANGASINAN</t>
    </r>
  </si>
  <si>
    <t xml:space="preserve">TYPE OF ECOSYSTEM/ CORN TYPE </t>
  </si>
  <si>
    <r>
      <t>AREA AFFECTED (HA.)/  SEEDLINGS (BAGS)</t>
    </r>
    <r>
      <rPr>
        <b/>
        <vertAlign val="superscript"/>
        <sz val="10"/>
        <color indexed="56"/>
        <rFont val="Arial Narrow"/>
        <family val="2"/>
      </rPr>
      <t>1/</t>
    </r>
  </si>
  <si>
    <r>
      <t>Based on Cost of input</t>
    </r>
    <r>
      <rPr>
        <b/>
        <vertAlign val="superscript"/>
        <sz val="10"/>
        <color indexed="56"/>
        <rFont val="Arial Narrow"/>
        <family val="2"/>
      </rPr>
      <t>2</t>
    </r>
    <r>
      <rPr>
        <b/>
        <sz val="10"/>
        <color indexed="56"/>
        <rFont val="Arial Narrow"/>
        <family val="2"/>
      </rPr>
      <t>/</t>
    </r>
  </si>
  <si>
    <r>
      <t>Based on Farm Gate Price</t>
    </r>
    <r>
      <rPr>
        <b/>
        <vertAlign val="superscript"/>
        <sz val="10"/>
        <color indexed="56"/>
        <rFont val="Arial Narrow"/>
        <family val="2"/>
      </rPr>
      <t>3/</t>
    </r>
  </si>
  <si>
    <t>GRAND TOTAL</t>
  </si>
  <si>
    <t>Rice/Irrigated</t>
  </si>
  <si>
    <t>July</t>
  </si>
  <si>
    <t>Concurred by:</t>
  </si>
  <si>
    <t>LOIDA P. PACURSA</t>
  </si>
  <si>
    <t xml:space="preserve">            PAZ L. MONES, Ph.D.</t>
  </si>
  <si>
    <t>VALENTINO C. PERDIDO, Ph.D.</t>
  </si>
  <si>
    <t>WILMA A. GUILLEN</t>
  </si>
  <si>
    <t>RCC Report Officer</t>
  </si>
  <si>
    <t xml:space="preserve">                                                                                                                  Chairman, RCC/RDAT Steering Committee</t>
  </si>
  <si>
    <t xml:space="preserve">                                                                                                                                                 OIC-Regional Executive Director</t>
  </si>
  <si>
    <t xml:space="preserve">                 OIC-Regional Executive Director</t>
  </si>
  <si>
    <t>RASO, PSA</t>
  </si>
  <si>
    <t>Cause of Damage:  Typhoons Luis and Mario</t>
  </si>
  <si>
    <t>Date of Occurrence: September 14-15, 2014; September 19-20, 2014</t>
  </si>
  <si>
    <t>Report as of: September 21, 2014</t>
  </si>
  <si>
    <t>_______ - Initial</t>
  </si>
  <si>
    <t>___X_____ - Progress</t>
  </si>
  <si>
    <t>________ - Final</t>
  </si>
  <si>
    <t>AREA AFFECTED (HA.)</t>
  </si>
  <si>
    <t>COST  OF INPUT/HA.</t>
  </si>
  <si>
    <t>VALUE OF LOSSES</t>
  </si>
  <si>
    <t>Based on Cost of Input*</t>
  </si>
  <si>
    <t>Based on Prevailing Farmgate Price</t>
  </si>
  <si>
    <t>Harvestible</t>
  </si>
  <si>
    <t>Milking to maturity</t>
  </si>
  <si>
    <t>Flowerng</t>
  </si>
  <si>
    <t>10 bags hybrid</t>
  </si>
  <si>
    <t>50 bags inbred</t>
  </si>
  <si>
    <t>Dagupan</t>
  </si>
  <si>
    <t>Repro-Maturity</t>
  </si>
  <si>
    <t>PI</t>
  </si>
  <si>
    <t>Sta. Maria</t>
  </si>
  <si>
    <t>Repro/Maturity</t>
  </si>
  <si>
    <t>Sta. Catalina</t>
  </si>
  <si>
    <t>Flowering-Milking</t>
  </si>
  <si>
    <t>Sto. Domingo</t>
  </si>
  <si>
    <t>Vigan City</t>
  </si>
  <si>
    <t>Candon City</t>
  </si>
  <si>
    <t>Piidig</t>
  </si>
  <si>
    <t xml:space="preserve">    Report Officer</t>
  </si>
  <si>
    <t>RTD &amp; Chair, RCC-Action Group Command Post</t>
  </si>
  <si>
    <t xml:space="preserve">                                                     OIC-Regional Executive Director</t>
  </si>
  <si>
    <t>RASO, BAS-PSA</t>
  </si>
  <si>
    <t>Cause of Damage: Southwest Monsoon Rains caused by Typhoon Maring</t>
  </si>
  <si>
    <t>Date of Occurrence: August 17-18, 2013</t>
  </si>
  <si>
    <t>Report as of: August 29, 2013</t>
  </si>
  <si>
    <r>
      <t>Region:</t>
    </r>
    <r>
      <rPr>
        <b/>
        <u/>
        <sz val="11"/>
        <color indexed="8"/>
        <rFont val="Cambria"/>
        <family val="1"/>
      </rPr>
      <t>ILOCOS</t>
    </r>
  </si>
  <si>
    <t>______ - Initial</t>
  </si>
  <si>
    <t>__X____ - Progress</t>
  </si>
  <si>
    <t>______ - Final</t>
  </si>
  <si>
    <t xml:space="preserve">     _______ - Regional</t>
  </si>
  <si>
    <t>SANTA Maria</t>
  </si>
  <si>
    <t>Veg/Reproductive</t>
  </si>
  <si>
    <t>Veg-Maturity</t>
  </si>
  <si>
    <t>Vegetative/Reproductive</t>
  </si>
  <si>
    <t>Umigan</t>
  </si>
  <si>
    <t>OIC-Regional Executive Director</t>
  </si>
  <si>
    <t>RASO, BAS</t>
  </si>
  <si>
    <t>Cause of Damage: Southwest Monsoon Rains caused by Typhoon Odette</t>
  </si>
  <si>
    <t>Date of Occurrence: September 20-24,2013</t>
  </si>
  <si>
    <t>Report as of: September 24,2013</t>
  </si>
  <si>
    <t>_____ - Initial</t>
  </si>
  <si>
    <t>______ - Progress</t>
  </si>
  <si>
    <t xml:space="preserve">     ___x____ - Regional</t>
  </si>
  <si>
    <r>
      <t xml:space="preserve">                                                                                                                                                                Cause of Damage: </t>
    </r>
    <r>
      <rPr>
        <b/>
        <u/>
        <sz val="10"/>
        <color indexed="56"/>
        <rFont val="Cambria"/>
        <family val="1"/>
      </rPr>
      <t>FLOOD AND STRONG WINDS BROUGHT BY TYPHOON VINTA</t>
    </r>
  </si>
  <si>
    <r>
      <t xml:space="preserve">                                                                                                                                                                Date of Occurrence: </t>
    </r>
    <r>
      <rPr>
        <b/>
        <u/>
        <sz val="10"/>
        <color indexed="56"/>
        <rFont val="Cambria"/>
        <family val="1"/>
      </rPr>
      <t>October 31-Nov 1, 2013</t>
    </r>
  </si>
  <si>
    <r>
      <t xml:space="preserve">                                                                                                                                                                Report as of:</t>
    </r>
    <r>
      <rPr>
        <b/>
        <u/>
        <sz val="10"/>
        <color indexed="56"/>
        <rFont val="Cambria"/>
        <family val="1"/>
      </rPr>
      <t xml:space="preserve"> NOVEMBER 11, 2013</t>
    </r>
  </si>
  <si>
    <r>
      <t xml:space="preserve">                                                                                                                                                                Period Covered (Specify): </t>
    </r>
    <r>
      <rPr>
        <b/>
        <u/>
        <sz val="10"/>
        <color indexed="56"/>
        <rFont val="Cambria"/>
        <family val="1"/>
      </rPr>
      <t>October 31 - November 8, 2013</t>
    </r>
  </si>
  <si>
    <r>
      <t xml:space="preserve">1. Region: </t>
    </r>
    <r>
      <rPr>
        <b/>
        <u/>
        <sz val="10"/>
        <color indexed="56"/>
        <rFont val="Cambria"/>
        <family val="1"/>
      </rPr>
      <t>I - ILOCOS REGION</t>
    </r>
  </si>
  <si>
    <r>
      <t xml:space="preserve">2. Province: </t>
    </r>
    <r>
      <rPr>
        <b/>
        <u/>
        <sz val="10"/>
        <color indexed="56"/>
        <rFont val="Cambria"/>
        <family val="1"/>
      </rPr>
      <t>ILOCOS NORTE</t>
    </r>
  </si>
  <si>
    <r>
      <t>AREA AFFECTED (HA.)/  SEEDLINGS (BAGS)</t>
    </r>
    <r>
      <rPr>
        <b/>
        <vertAlign val="superscript"/>
        <sz val="10"/>
        <color indexed="56"/>
        <rFont val="Cambria"/>
        <family val="1"/>
      </rPr>
      <t>1/</t>
    </r>
  </si>
  <si>
    <r>
      <t>Based on Cost of input</t>
    </r>
    <r>
      <rPr>
        <b/>
        <vertAlign val="superscript"/>
        <sz val="10"/>
        <color indexed="56"/>
        <rFont val="Cambria"/>
        <family val="1"/>
      </rPr>
      <t>2</t>
    </r>
    <r>
      <rPr>
        <b/>
        <sz val="10"/>
        <color indexed="56"/>
        <rFont val="Cambria"/>
        <family val="1"/>
      </rPr>
      <t>/</t>
    </r>
  </si>
  <si>
    <r>
      <t>Based on Farm Gate Price</t>
    </r>
    <r>
      <rPr>
        <b/>
        <vertAlign val="superscript"/>
        <sz val="10"/>
        <color indexed="56"/>
        <rFont val="Cambria"/>
        <family val="1"/>
      </rPr>
      <t>3/</t>
    </r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</si>
  <si>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</si>
  <si>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</si>
  <si>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</si>
  <si>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</si>
  <si>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</si>
  <si>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</si>
  <si>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</si>
  <si>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</si>
  <si>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</si>
  <si>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</si>
  <si>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</si>
  <si>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</si>
  <si>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</si>
  <si>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</si>
  <si>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</si>
  <si>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</si>
  <si>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</si>
  <si>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</si>
  <si>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</si>
  <si>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November</t>
  </si>
  <si>
    <t>December</t>
  </si>
  <si>
    <t>LOIDA P. PACURSA/IRENE . TACTAC</t>
  </si>
  <si>
    <t>Regional Field Unit I</t>
  </si>
  <si>
    <t>Cause of Damage: Heavy rains and gusty winds caused by Typhoon Pedring/Queil</t>
  </si>
  <si>
    <t>Date of Occurrence: September 27-28, October 1-2, 2011</t>
  </si>
  <si>
    <t>FINAL REPORT</t>
  </si>
  <si>
    <t>October 12,2011</t>
  </si>
  <si>
    <r>
      <t>Region:</t>
    </r>
    <r>
      <rPr>
        <b/>
        <u/>
        <sz val="11"/>
        <color indexed="8"/>
        <rFont val="Arial Narrow"/>
        <family val="2"/>
      </rPr>
      <t>ILOCOS</t>
    </r>
  </si>
  <si>
    <t>___x___ - Progress</t>
  </si>
  <si>
    <t>SANTO Tomas</t>
  </si>
  <si>
    <t>Dist 1</t>
  </si>
  <si>
    <t>Alaminos City</t>
  </si>
  <si>
    <t>Dist 2</t>
  </si>
  <si>
    <t xml:space="preserve">Bugallon </t>
  </si>
  <si>
    <t>Dist 3</t>
  </si>
  <si>
    <t>Dist 4</t>
  </si>
  <si>
    <t>Dist 5</t>
  </si>
  <si>
    <t>Urdaneta CITY</t>
  </si>
  <si>
    <t>Dist 6</t>
  </si>
  <si>
    <t>CRISPULO G. BAUTISTA</t>
  </si>
  <si>
    <t>RENATO A. MAGUIGAD</t>
  </si>
  <si>
    <t>OIC-Regionla Executive Director</t>
  </si>
  <si>
    <t>Republic of the Philippines</t>
  </si>
  <si>
    <t>FINAL CROP DAMAGE REPORT</t>
  </si>
  <si>
    <r>
      <t xml:space="preserve">Cause of Damage: </t>
    </r>
    <r>
      <rPr>
        <b/>
        <sz val="10"/>
        <color indexed="63"/>
        <rFont val="Arial"/>
        <family val="2"/>
      </rPr>
      <t>TYPHOON ONDOY</t>
    </r>
  </si>
  <si>
    <t>As of October 1, 2009</t>
  </si>
  <si>
    <t>REGION: ILOCOS</t>
  </si>
  <si>
    <t>Type of</t>
  </si>
  <si>
    <t>Province/</t>
  </si>
  <si>
    <t>Area of</t>
  </si>
  <si>
    <t>Stages of</t>
  </si>
  <si>
    <t>Area Affected (has.)</t>
  </si>
  <si>
    <t>Weighted</t>
  </si>
  <si>
    <t>Standard</t>
  </si>
  <si>
    <t xml:space="preserve"> Production Loss</t>
  </si>
  <si>
    <t>Crop</t>
  </si>
  <si>
    <t>District/</t>
  </si>
  <si>
    <t>Standing</t>
  </si>
  <si>
    <t>With no</t>
  </si>
  <si>
    <t>With</t>
  </si>
  <si>
    <t>Yield Loss</t>
  </si>
  <si>
    <t>Yield</t>
  </si>
  <si>
    <t>Volume</t>
  </si>
  <si>
    <t>Value</t>
  </si>
  <si>
    <t>Remarks</t>
  </si>
  <si>
    <t>Municipality</t>
  </si>
  <si>
    <t>Growth</t>
  </si>
  <si>
    <t>Chance of</t>
  </si>
  <si>
    <t>per ha.</t>
  </si>
  <si>
    <t>(MT/ha)</t>
  </si>
  <si>
    <t>(MT)</t>
  </si>
  <si>
    <t>(P)</t>
  </si>
  <si>
    <t>(has.)</t>
  </si>
  <si>
    <t>Recovery</t>
  </si>
  <si>
    <t>A</t>
  </si>
  <si>
    <t>(L)</t>
  </si>
  <si>
    <t>RICE</t>
  </si>
  <si>
    <t>REGION I</t>
  </si>
  <si>
    <t>800 bags</t>
  </si>
  <si>
    <t>ATTY. CIPRIANO G. SANTIAGO</t>
  </si>
  <si>
    <t xml:space="preserve"> WILMA A. GUILLEN</t>
  </si>
  <si>
    <t>Report Officer, RCC</t>
  </si>
  <si>
    <t>RTD &amp; Chair, RCC I</t>
  </si>
  <si>
    <t>Cause of Damage:   Tropical Storm Pepito</t>
  </si>
  <si>
    <t>Date of Occurrence: October 20-22, 2020</t>
  </si>
  <si>
    <t xml:space="preserve">  October 30, 2020</t>
  </si>
  <si>
    <r>
      <t>Region:</t>
    </r>
    <r>
      <rPr>
        <b/>
        <u/>
        <sz val="10"/>
        <rFont val="Cambria"/>
        <family val="1"/>
      </rPr>
      <t>ILOCOS</t>
    </r>
  </si>
  <si>
    <t xml:space="preserve"> ECOSYSTEM</t>
  </si>
  <si>
    <t>VARIETY/ TYPE</t>
  </si>
  <si>
    <t>AREA OF STANDING CROP (HA)</t>
  </si>
  <si>
    <t>Cost of Prod'n/Ha. (P)</t>
  </si>
  <si>
    <t>Value (P)</t>
  </si>
  <si>
    <t>Volume (MT)</t>
  </si>
  <si>
    <t>Partially damaged</t>
  </si>
  <si>
    <t>Totally damaged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</si>
  <si>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</si>
  <si>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</si>
  <si>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</si>
  <si>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</si>
  <si>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</si>
  <si>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</si>
  <si>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</si>
  <si>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</si>
  <si>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</si>
  <si>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</si>
  <si>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</si>
  <si>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(M)</t>
  </si>
  <si>
    <t>(N)</t>
  </si>
  <si>
    <t>(O)</t>
  </si>
  <si>
    <t>(Q)</t>
  </si>
  <si>
    <t>(R)</t>
  </si>
  <si>
    <t>(S)</t>
  </si>
  <si>
    <t>(T)</t>
  </si>
  <si>
    <t>(U)</t>
  </si>
  <si>
    <t>(V)</t>
  </si>
  <si>
    <t>(W)</t>
  </si>
  <si>
    <t>(X)</t>
  </si>
  <si>
    <t>(Y)</t>
  </si>
  <si>
    <t>Urdaneta</t>
  </si>
  <si>
    <t>JULIUS R. BRIONES</t>
  </si>
  <si>
    <t>ERLINDA F. MANIPON</t>
  </si>
  <si>
    <t xml:space="preserve">NESTOR D. DOMENDEN, CESO IV </t>
  </si>
  <si>
    <t>Head, Secretariat</t>
  </si>
  <si>
    <t>OIC-RTD for Operations/ Head, RDRRM Unit</t>
  </si>
  <si>
    <t>Cause of Damage:   Tropical Storm Quinta</t>
  </si>
  <si>
    <t>Date of Occurrence: October 23-25, 2020</t>
  </si>
  <si>
    <t>Report as of: November 04, 2020</t>
  </si>
  <si>
    <r>
      <t>Region:</t>
    </r>
    <r>
      <rPr>
        <b/>
        <u/>
        <sz val="11"/>
        <rFont val="Cambria"/>
        <family val="1"/>
      </rPr>
      <t>ILOCOS</t>
    </r>
  </si>
  <si>
    <t>Rice Irrigated</t>
  </si>
  <si>
    <t>Cause of Damage:   Typhoon Ulysses</t>
  </si>
  <si>
    <t>Date of Occurrence: November 10-12, 2020</t>
  </si>
  <si>
    <t>Report as of: November 26, 2020</t>
  </si>
  <si>
    <t>ECOSYSTEM</t>
  </si>
  <si>
    <t>AREA AFFECTED (HA)</t>
  </si>
  <si>
    <t>Based on Cost of Prod'n</t>
  </si>
  <si>
    <t>Cost of Prod'n/Ha</t>
  </si>
  <si>
    <t>'(I)</t>
  </si>
  <si>
    <t>Rice-Hybrid</t>
  </si>
  <si>
    <t>Rice-Inbred</t>
  </si>
  <si>
    <t>Inbred Rice</t>
  </si>
  <si>
    <t>Newly sown</t>
  </si>
  <si>
    <t>Hybrid Rice</t>
  </si>
  <si>
    <t>Rice -hybrid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</si>
</sst>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_-;_-@_-"/>
    <numFmt numFmtId="167" formatCode="0."/>
    <numFmt numFmtId="168" formatCode="0.0"/>
    <numFmt numFmtId="169" formatCode="_-* #,##0_-;\-* #,##0_-;_-* &quot;-&quot;??_-;_-@_-"/>
    <numFmt numFmtId="170" formatCode="_(* #,##0.0_);_(* \(#,##0.0\);_(* &quot;-&quot;??_);_(@_)"/>
    <numFmt numFmtId="171" formatCode="00000"/>
    <numFmt numFmtId="172" formatCode="_(* #,##0.0000_);_(* \(#,##0.0000\);_(* &quot;-&quot;??_);_(@_)"/>
    <numFmt numFmtId="173" formatCode="#,##0.0"/>
  </numFmts>
  <fonts count="10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 Narrow"/>
      <family val="2"/>
    </font>
    <font>
      <sz val="10"/>
      <name val="Cambria"/>
      <family val="1"/>
    </font>
    <font>
      <b/>
      <sz val="10"/>
      <name val="Cambria"/>
      <family val="1"/>
    </font>
    <font>
      <sz val="14"/>
      <name val="Cambria"/>
      <family val="1"/>
    </font>
    <font>
      <i/>
      <sz val="14"/>
      <name val="Cambria"/>
      <family val="1"/>
    </font>
    <font>
      <sz val="10"/>
      <name val="Arial"/>
      <family val="2"/>
    </font>
    <font>
      <sz val="14"/>
      <color theme="1"/>
      <name val="Cambria"/>
      <family val="1"/>
    </font>
    <font>
      <b/>
      <sz val="14"/>
      <name val="Cambria"/>
      <family val="1"/>
    </font>
    <font>
      <b/>
      <sz val="14"/>
      <color theme="1"/>
      <name val="Cambria"/>
      <family val="1"/>
    </font>
    <font>
      <sz val="12"/>
      <name val="Cambria"/>
      <family val="1"/>
    </font>
    <font>
      <sz val="10"/>
      <color theme="1"/>
      <name val="Cambria"/>
      <family val="1"/>
    </font>
    <font>
      <b/>
      <sz val="9"/>
      <name val="Cambria"/>
      <family val="1"/>
    </font>
    <font>
      <b/>
      <sz val="8"/>
      <name val="Cambria"/>
      <family val="1"/>
    </font>
    <font>
      <b/>
      <u/>
      <sz val="10"/>
      <name val="Cambria"/>
      <family val="1"/>
    </font>
    <font>
      <i/>
      <sz val="16"/>
      <name val="Cambria"/>
      <family val="1"/>
    </font>
    <font>
      <sz val="16"/>
      <color theme="1"/>
      <name val="Cambria"/>
      <family val="1"/>
    </font>
    <font>
      <sz val="16"/>
      <name val="Cambria"/>
      <family val="1"/>
    </font>
    <font>
      <b/>
      <sz val="16"/>
      <name val="Cambria"/>
      <family val="1"/>
    </font>
    <font>
      <b/>
      <sz val="16"/>
      <color theme="1"/>
      <name val="Cambria"/>
      <family val="1"/>
    </font>
    <font>
      <sz val="11"/>
      <name val="Cambria"/>
      <family val="1"/>
    </font>
    <font>
      <sz val="11"/>
      <color theme="1"/>
      <name val="Cambria"/>
      <family val="1"/>
    </font>
    <font>
      <b/>
      <sz val="11"/>
      <name val="Cambria"/>
      <family val="1"/>
    </font>
    <font>
      <b/>
      <u/>
      <sz val="11"/>
      <name val="Cambria"/>
      <family val="1"/>
    </font>
    <font>
      <b/>
      <sz val="12"/>
      <name val="Cambria"/>
      <family val="1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sz val="12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b/>
      <vertAlign val="superscript"/>
      <sz val="12"/>
      <name val="Arial Narrow"/>
      <family val="2"/>
    </font>
    <font>
      <sz val="12"/>
      <color theme="1"/>
      <name val="Arial Narrow"/>
      <family val="2"/>
    </font>
    <font>
      <sz val="12"/>
      <color theme="7" tint="0.59999389629810485"/>
      <name val="Arial Narrow"/>
      <family val="2"/>
    </font>
    <font>
      <b/>
      <sz val="12"/>
      <color theme="7" tint="0.59999389629810485"/>
      <name val="Arial Narrow"/>
      <family val="2"/>
    </font>
    <font>
      <i/>
      <sz val="12"/>
      <name val="Arial Narrow"/>
      <family val="2"/>
    </font>
    <font>
      <b/>
      <i/>
      <sz val="12"/>
      <name val="Arial Narrow"/>
      <family val="2"/>
    </font>
    <font>
      <b/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b/>
      <vertAlign val="superscript"/>
      <sz val="12"/>
      <color theme="1"/>
      <name val="Arial Narrow"/>
      <family val="2"/>
    </font>
    <font>
      <b/>
      <sz val="8"/>
      <name val="Arial Narrow"/>
      <family val="2"/>
    </font>
    <font>
      <b/>
      <vertAlign val="superscript"/>
      <sz val="8"/>
      <name val="Arial Narrow"/>
      <family val="2"/>
    </font>
    <font>
      <sz val="8"/>
      <name val="Arial Narrow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color theme="1"/>
      <name val="Calibri"/>
      <family val="2"/>
      <scheme val="minor"/>
    </font>
    <font>
      <u val="singleAccounting"/>
      <sz val="12"/>
      <name val="Arial Narrow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Arial"/>
      <family val="2"/>
    </font>
    <font>
      <b/>
      <sz val="11"/>
      <name val="Arial Narrow"/>
      <family val="2"/>
    </font>
    <font>
      <sz val="10"/>
      <color theme="3" tint="-0.499984740745262"/>
      <name val="Arial Narrow"/>
      <family val="2"/>
    </font>
    <font>
      <b/>
      <sz val="12"/>
      <color theme="3" tint="-0.499984740745262"/>
      <name val="Arial Narrow"/>
      <family val="2"/>
    </font>
    <font>
      <sz val="11"/>
      <color theme="3" tint="-0.499984740745262"/>
      <name val="Arial Narrow"/>
      <family val="2"/>
    </font>
    <font>
      <b/>
      <u/>
      <sz val="11"/>
      <color indexed="56"/>
      <name val="Arial Narrow"/>
      <family val="2"/>
    </font>
    <font>
      <b/>
      <sz val="11"/>
      <color theme="3" tint="-0.499984740745262"/>
      <name val="Arial Narrow"/>
      <family val="2"/>
    </font>
    <font>
      <b/>
      <sz val="10"/>
      <color theme="3" tint="-0.499984740745262"/>
      <name val="Arial Narrow"/>
      <family val="2"/>
    </font>
    <font>
      <b/>
      <vertAlign val="superscript"/>
      <sz val="10"/>
      <color indexed="56"/>
      <name val="Arial Narrow"/>
      <family val="2"/>
    </font>
    <font>
      <b/>
      <sz val="10"/>
      <color indexed="56"/>
      <name val="Arial Narrow"/>
      <family val="2"/>
    </font>
    <font>
      <sz val="12"/>
      <color theme="3" tint="-0.499984740745262"/>
      <name val="Arial Narrow"/>
      <family val="2"/>
    </font>
    <font>
      <i/>
      <sz val="11"/>
      <color theme="3" tint="-0.499984740745262"/>
      <name val="Arial Narrow"/>
      <family val="2"/>
    </font>
    <font>
      <sz val="10"/>
      <color theme="3" tint="-0.499984740745262"/>
      <name val="Calibri Light"/>
      <family val="1"/>
      <scheme val="major"/>
    </font>
    <font>
      <sz val="12"/>
      <color rgb="FFFF0000"/>
      <name val="Arial Narrow"/>
      <family val="2"/>
    </font>
    <font>
      <sz val="12"/>
      <color rgb="FF0000FF"/>
      <name val="Arial Narrow"/>
      <family val="2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u/>
      <sz val="11"/>
      <color indexed="8"/>
      <name val="Cambria"/>
      <family val="1"/>
    </font>
    <font>
      <b/>
      <i/>
      <sz val="11"/>
      <color theme="1"/>
      <name val="Calibri Light"/>
      <family val="1"/>
      <scheme val="major"/>
    </font>
    <font>
      <i/>
      <sz val="11"/>
      <color theme="1"/>
      <name val="Calibri Light"/>
      <family val="1"/>
      <scheme val="major"/>
    </font>
    <font>
      <b/>
      <sz val="12"/>
      <color theme="3" tint="-0.499984740745262"/>
      <name val="Calibri Light"/>
      <family val="1"/>
      <scheme val="major"/>
    </font>
    <font>
      <b/>
      <u/>
      <sz val="10"/>
      <color indexed="56"/>
      <name val="Cambria"/>
      <family val="1"/>
    </font>
    <font>
      <b/>
      <sz val="10"/>
      <color theme="3" tint="-0.499984740745262"/>
      <name val="Calibri Light"/>
      <family val="1"/>
      <scheme val="major"/>
    </font>
    <font>
      <b/>
      <vertAlign val="superscript"/>
      <sz val="10"/>
      <color indexed="56"/>
      <name val="Cambria"/>
      <family val="1"/>
    </font>
    <font>
      <b/>
      <sz val="10"/>
      <color indexed="56"/>
      <name val="Cambria"/>
      <family val="1"/>
    </font>
    <font>
      <sz val="10"/>
      <color theme="3" tint="-0.499984740745262"/>
      <name val="Arial"/>
      <family val="2"/>
    </font>
    <font>
      <b/>
      <sz val="11"/>
      <color theme="3" tint="-0.499984740745262"/>
      <name val="Calibri Light"/>
      <family val="1"/>
      <scheme val="major"/>
    </font>
    <font>
      <sz val="11"/>
      <color theme="3" tint="-0.499984740745262"/>
      <name val="Calibri Light"/>
      <family val="1"/>
      <scheme val="major"/>
    </font>
    <font>
      <i/>
      <sz val="11"/>
      <color theme="3" tint="-0.499984740745262"/>
      <name val="Calibri Light"/>
      <family val="1"/>
      <scheme val="maj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indexed="8"/>
      <name val="Arial Narrow"/>
      <family val="2"/>
    </font>
    <font>
      <i/>
      <sz val="11"/>
      <color theme="1"/>
      <name val="Arial Narrow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i/>
      <sz val="10"/>
      <color indexed="6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</cellStyleXfs>
  <cellXfs count="1892">
    <xf numFmtId="0" fontId="0" fillId="0" borderId="0" xfId="0"/>
    <xf numFmtId="164" fontId="4" fillId="0" borderId="24" xfId="1" applyFont="1" applyFill="1" applyBorder="1" applyAlignment="1">
      <alignment horizontal="center" vertical="center" wrapText="1"/>
    </xf>
    <xf numFmtId="164" fontId="4" fillId="0" borderId="25" xfId="1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5" fillId="0" borderId="0" xfId="2" applyFont="1" applyFill="1"/>
    <xf numFmtId="4" fontId="5" fillId="0" borderId="0" xfId="2" applyNumberFormat="1" applyFont="1" applyFill="1"/>
    <xf numFmtId="165" fontId="5" fillId="0" borderId="0" xfId="2" applyNumberFormat="1" applyFont="1" applyFill="1"/>
    <xf numFmtId="0" fontId="5" fillId="0" borderId="0" xfId="2" applyNumberFormat="1" applyFont="1" applyFill="1" applyAlignment="1">
      <alignment horizontal="center"/>
    </xf>
    <xf numFmtId="0" fontId="5" fillId="0" borderId="0" xfId="2" applyNumberFormat="1" applyFont="1" applyFill="1"/>
    <xf numFmtId="164" fontId="7" fillId="0" borderId="0" xfId="2" applyFont="1" applyFill="1"/>
    <xf numFmtId="164" fontId="8" fillId="0" borderId="0" xfId="2" applyFont="1" applyFill="1" applyBorder="1" applyAlignment="1"/>
    <xf numFmtId="0" fontId="10" fillId="0" borderId="0" xfId="3" applyFont="1"/>
    <xf numFmtId="164" fontId="8" fillId="0" borderId="0" xfId="2" applyFont="1" applyBorder="1" applyAlignment="1">
      <alignment vertical="center" wrapText="1"/>
    </xf>
    <xf numFmtId="4" fontId="7" fillId="0" borderId="0" xfId="2" applyNumberFormat="1" applyFont="1" applyFill="1"/>
    <xf numFmtId="164" fontId="8" fillId="0" borderId="0" xfId="2" applyFont="1" applyBorder="1" applyAlignment="1">
      <alignment vertical="center"/>
    </xf>
    <xf numFmtId="166" fontId="7" fillId="0" borderId="0" xfId="2" applyNumberFormat="1" applyFont="1" applyFill="1"/>
    <xf numFmtId="164" fontId="11" fillId="0" borderId="0" xfId="2" applyFont="1" applyFill="1" applyBorder="1" applyAlignment="1"/>
    <xf numFmtId="164" fontId="8" fillId="0" borderId="0" xfId="2" applyFont="1" applyFill="1"/>
    <xf numFmtId="0" fontId="12" fillId="0" borderId="0" xfId="3" applyFont="1"/>
    <xf numFmtId="165" fontId="11" fillId="0" borderId="0" xfId="2" applyNumberFormat="1" applyFont="1" applyFill="1" applyBorder="1" applyAlignment="1"/>
    <xf numFmtId="164" fontId="7" fillId="0" borderId="0" xfId="2" applyFont="1" applyFill="1" applyBorder="1"/>
    <xf numFmtId="164" fontId="11" fillId="0" borderId="0" xfId="2" applyFont="1" applyFill="1" applyBorder="1"/>
    <xf numFmtId="165" fontId="11" fillId="0" borderId="0" xfId="2" applyNumberFormat="1" applyFont="1" applyFill="1" applyBorder="1"/>
    <xf numFmtId="164" fontId="11" fillId="0" borderId="0" xfId="2" applyFont="1" applyFill="1"/>
    <xf numFmtId="164" fontId="13" fillId="0" borderId="0" xfId="2" applyFont="1" applyFill="1"/>
    <xf numFmtId="0" fontId="13" fillId="0" borderId="0" xfId="4" applyFont="1"/>
    <xf numFmtId="164" fontId="13" fillId="0" borderId="0" xfId="2" applyFont="1" applyFill="1" applyBorder="1"/>
    <xf numFmtId="165" fontId="13" fillId="0" borderId="0" xfId="2" applyNumberFormat="1" applyFont="1" applyFill="1" applyBorder="1"/>
    <xf numFmtId="4" fontId="13" fillId="0" borderId="0" xfId="2" applyNumberFormat="1" applyFont="1" applyFill="1"/>
    <xf numFmtId="166" fontId="13" fillId="0" borderId="0" xfId="2" applyNumberFormat="1" applyFont="1" applyFill="1"/>
    <xf numFmtId="165" fontId="13" fillId="0" borderId="0" xfId="4" applyNumberFormat="1" applyFont="1"/>
    <xf numFmtId="164" fontId="13" fillId="0" borderId="0" xfId="2" quotePrefix="1" applyFont="1" applyFill="1" applyBorder="1" applyAlignment="1"/>
    <xf numFmtId="164" fontId="5" fillId="0" borderId="0" xfId="2" applyFont="1" applyFill="1" applyBorder="1"/>
    <xf numFmtId="164" fontId="5" fillId="0" borderId="0" xfId="5" applyFont="1" applyFill="1" applyBorder="1" applyAlignment="1">
      <alignment horizontal="center" vertical="center"/>
    </xf>
    <xf numFmtId="4" fontId="5" fillId="0" borderId="0" xfId="2" applyNumberFormat="1" applyFont="1" applyFill="1" applyBorder="1"/>
    <xf numFmtId="0" fontId="5" fillId="0" borderId="0" xfId="4" applyFont="1" applyAlignment="1">
      <alignment horizontal="left"/>
    </xf>
    <xf numFmtId="165" fontId="5" fillId="0" borderId="0" xfId="2" applyNumberFormat="1" applyFont="1" applyFill="1" applyBorder="1"/>
    <xf numFmtId="0" fontId="5" fillId="0" borderId="0" xfId="4" applyFont="1" applyAlignment="1">
      <alignment horizontal="center"/>
    </xf>
    <xf numFmtId="164" fontId="5" fillId="0" borderId="0" xfId="2" applyFont="1" applyFill="1" applyBorder="1" applyAlignment="1">
      <alignment horizontal="left"/>
    </xf>
    <xf numFmtId="0" fontId="5" fillId="0" borderId="0" xfId="4" applyFont="1"/>
    <xf numFmtId="164" fontId="5" fillId="0" borderId="0" xfId="2" quotePrefix="1" applyFont="1" applyFill="1" applyBorder="1" applyAlignment="1">
      <alignment horizontal="center"/>
    </xf>
    <xf numFmtId="0" fontId="14" fillId="0" borderId="0" xfId="6" applyFont="1" applyAlignment="1">
      <alignment horizontal="right" vertical="center"/>
    </xf>
    <xf numFmtId="4" fontId="14" fillId="0" borderId="6" xfId="5" applyNumberFormat="1" applyFont="1" applyFill="1" applyBorder="1" applyAlignment="1">
      <alignment horizontal="right" vertical="center"/>
    </xf>
    <xf numFmtId="4" fontId="5" fillId="0" borderId="6" xfId="5" applyNumberFormat="1" applyFont="1" applyFill="1" applyBorder="1" applyAlignment="1">
      <alignment horizontal="right" vertical="center"/>
    </xf>
    <xf numFmtId="4" fontId="5" fillId="0" borderId="6" xfId="6" applyNumberFormat="1" applyFont="1" applyBorder="1" applyAlignment="1">
      <alignment horizontal="right" vertical="center"/>
    </xf>
    <xf numFmtId="4" fontId="6" fillId="0" borderId="29" xfId="7" applyNumberFormat="1" applyFont="1" applyFill="1" applyBorder="1" applyAlignment="1">
      <alignment horizontal="right" vertical="center"/>
    </xf>
    <xf numFmtId="164" fontId="5" fillId="0" borderId="6" xfId="6" applyNumberFormat="1" applyFont="1" applyBorder="1" applyAlignment="1">
      <alignment horizontal="right" vertical="center"/>
    </xf>
    <xf numFmtId="3" fontId="5" fillId="0" borderId="6" xfId="6" applyNumberFormat="1" applyFont="1" applyBorder="1" applyAlignment="1">
      <alignment horizontal="right" vertical="center"/>
    </xf>
    <xf numFmtId="4" fontId="5" fillId="2" borderId="6" xfId="8" applyNumberFormat="1" applyFont="1" applyFill="1" applyBorder="1" applyAlignment="1">
      <alignment horizontal="right" vertical="center"/>
    </xf>
    <xf numFmtId="9" fontId="5" fillId="2" borderId="6" xfId="8" applyFont="1" applyFill="1" applyBorder="1" applyAlignment="1">
      <alignment horizontal="right" vertical="center"/>
    </xf>
    <xf numFmtId="2" fontId="14" fillId="2" borderId="6" xfId="6" applyNumberFormat="1" applyFont="1" applyFill="1" applyBorder="1" applyAlignment="1">
      <alignment horizontal="right" vertical="center"/>
    </xf>
    <xf numFmtId="4" fontId="5" fillId="2" borderId="6" xfId="6" applyNumberFormat="1" applyFont="1" applyFill="1" applyBorder="1" applyAlignment="1">
      <alignment horizontal="right" vertical="center"/>
    </xf>
    <xf numFmtId="4" fontId="5" fillId="0" borderId="6" xfId="7" applyNumberFormat="1" applyFont="1" applyFill="1" applyBorder="1" applyAlignment="1">
      <alignment horizontal="right" vertical="center"/>
    </xf>
    <xf numFmtId="4" fontId="5" fillId="2" borderId="6" xfId="5" applyNumberFormat="1" applyFont="1" applyFill="1" applyBorder="1" applyAlignment="1">
      <alignment horizontal="right" vertical="center"/>
    </xf>
    <xf numFmtId="0" fontId="5" fillId="0" borderId="6" xfId="6" applyFont="1" applyBorder="1" applyAlignment="1">
      <alignment horizontal="right" vertical="center"/>
    </xf>
    <xf numFmtId="167" fontId="5" fillId="0" borderId="6" xfId="6" applyNumberFormat="1" applyFont="1" applyBorder="1" applyAlignment="1">
      <alignment horizontal="right" vertical="center"/>
    </xf>
    <xf numFmtId="0" fontId="5" fillId="0" borderId="0" xfId="6" applyFont="1" applyAlignment="1">
      <alignment horizontal="right" vertical="center"/>
    </xf>
    <xf numFmtId="0" fontId="6" fillId="0" borderId="0" xfId="6" applyFont="1" applyAlignment="1">
      <alignment horizontal="right" vertical="center" wrapText="1"/>
    </xf>
    <xf numFmtId="164" fontId="6" fillId="0" borderId="6" xfId="2" applyFont="1" applyFill="1" applyBorder="1" applyAlignment="1">
      <alignment horizontal="right" vertical="center"/>
    </xf>
    <xf numFmtId="2" fontId="6" fillId="0" borderId="6" xfId="6" applyNumberFormat="1" applyFont="1" applyBorder="1" applyAlignment="1">
      <alignment horizontal="right" vertical="center"/>
    </xf>
    <xf numFmtId="165" fontId="5" fillId="0" borderId="6" xfId="5" applyNumberFormat="1" applyFont="1" applyFill="1" applyBorder="1" applyAlignment="1">
      <alignment horizontal="right" vertical="center"/>
    </xf>
    <xf numFmtId="2" fontId="5" fillId="2" borderId="6" xfId="6" applyNumberFormat="1" applyFont="1" applyFill="1" applyBorder="1" applyAlignment="1">
      <alignment horizontal="right" vertical="center"/>
    </xf>
    <xf numFmtId="168" fontId="5" fillId="2" borderId="6" xfId="6" applyNumberFormat="1" applyFont="1" applyFill="1" applyBorder="1" applyAlignment="1">
      <alignment horizontal="right" vertical="center"/>
    </xf>
    <xf numFmtId="0" fontId="6" fillId="0" borderId="6" xfId="6" applyFont="1" applyBorder="1" applyAlignment="1">
      <alignment horizontal="right" vertical="center"/>
    </xf>
    <xf numFmtId="167" fontId="14" fillId="0" borderId="6" xfId="6" applyNumberFormat="1" applyFont="1" applyBorder="1" applyAlignment="1">
      <alignment horizontal="right" vertical="center"/>
    </xf>
    <xf numFmtId="4" fontId="5" fillId="0" borderId="29" xfId="5" applyNumberFormat="1" applyFont="1" applyFill="1" applyBorder="1" applyAlignment="1">
      <alignment horizontal="right" vertical="center"/>
    </xf>
    <xf numFmtId="4" fontId="5" fillId="0" borderId="29" xfId="6" applyNumberFormat="1" applyFont="1" applyBorder="1" applyAlignment="1">
      <alignment horizontal="right" vertical="center"/>
    </xf>
    <xf numFmtId="4" fontId="5" fillId="0" borderId="29" xfId="7" applyNumberFormat="1" applyFont="1" applyFill="1" applyBorder="1" applyAlignment="1">
      <alignment horizontal="right" vertical="center"/>
    </xf>
    <xf numFmtId="164" fontId="14" fillId="0" borderId="6" xfId="6" applyNumberFormat="1" applyFont="1" applyBorder="1" applyAlignment="1">
      <alignment horizontal="right" vertical="center"/>
    </xf>
    <xf numFmtId="4" fontId="5" fillId="2" borderId="29" xfId="8" applyNumberFormat="1" applyFont="1" applyFill="1" applyBorder="1" applyAlignment="1">
      <alignment horizontal="right" vertical="center"/>
    </xf>
    <xf numFmtId="2" fontId="5" fillId="0" borderId="29" xfId="6" applyNumberFormat="1" applyFont="1" applyBorder="1" applyAlignment="1">
      <alignment horizontal="right" vertical="center"/>
    </xf>
    <xf numFmtId="9" fontId="5" fillId="2" borderId="29" xfId="8" applyFont="1" applyFill="1" applyBorder="1" applyAlignment="1">
      <alignment horizontal="right" vertical="center"/>
    </xf>
    <xf numFmtId="4" fontId="5" fillId="2" borderId="29" xfId="5" applyNumberFormat="1" applyFont="1" applyFill="1" applyBorder="1" applyAlignment="1">
      <alignment horizontal="right" vertical="center"/>
    </xf>
    <xf numFmtId="4" fontId="5" fillId="2" borderId="29" xfId="6" quotePrefix="1" applyNumberFormat="1" applyFont="1" applyFill="1" applyBorder="1" applyAlignment="1">
      <alignment horizontal="right" vertical="center"/>
    </xf>
    <xf numFmtId="49" fontId="5" fillId="0" borderId="29" xfId="6" applyNumberFormat="1" applyFont="1" applyBorder="1" applyAlignment="1">
      <alignment horizontal="right" vertical="center"/>
    </xf>
    <xf numFmtId="164" fontId="5" fillId="0" borderId="0" xfId="2" applyFont="1" applyFill="1" applyAlignment="1">
      <alignment horizontal="right" vertical="center"/>
    </xf>
    <xf numFmtId="43" fontId="6" fillId="0" borderId="6" xfId="7" applyFont="1" applyFill="1" applyBorder="1" applyAlignment="1">
      <alignment horizontal="right" vertical="center"/>
    </xf>
    <xf numFmtId="43" fontId="5" fillId="0" borderId="29" xfId="7" applyFont="1" applyFill="1" applyBorder="1" applyAlignment="1">
      <alignment horizontal="right" vertical="center"/>
    </xf>
    <xf numFmtId="164" fontId="5" fillId="0" borderId="29" xfId="7" applyNumberFormat="1" applyFont="1" applyFill="1" applyBorder="1" applyAlignment="1">
      <alignment horizontal="right" vertical="center"/>
    </xf>
    <xf numFmtId="4" fontId="6" fillId="0" borderId="6" xfId="7" applyNumberFormat="1" applyFont="1" applyFill="1" applyBorder="1" applyAlignment="1">
      <alignment horizontal="right" vertical="center"/>
    </xf>
    <xf numFmtId="49" fontId="5" fillId="0" borderId="29" xfId="3" quotePrefix="1" applyNumberFormat="1" applyFont="1" applyBorder="1" applyAlignment="1">
      <alignment horizontal="right" vertical="center"/>
    </xf>
    <xf numFmtId="43" fontId="6" fillId="0" borderId="29" xfId="7" applyFont="1" applyFill="1" applyBorder="1" applyAlignment="1">
      <alignment horizontal="right" vertical="center"/>
    </xf>
    <xf numFmtId="169" fontId="6" fillId="0" borderId="6" xfId="7" applyNumberFormat="1" applyFont="1" applyFill="1" applyBorder="1" applyAlignment="1">
      <alignment horizontal="right" vertical="center"/>
    </xf>
    <xf numFmtId="0" fontId="5" fillId="0" borderId="6" xfId="3" applyFont="1" applyBorder="1" applyAlignment="1">
      <alignment horizontal="right" vertical="center"/>
    </xf>
    <xf numFmtId="49" fontId="6" fillId="0" borderId="29" xfId="6" applyNumberFormat="1" applyFont="1" applyBorder="1" applyAlignment="1">
      <alignment horizontal="right" vertical="center"/>
    </xf>
    <xf numFmtId="2" fontId="5" fillId="0" borderId="6" xfId="6" applyNumberFormat="1" applyFont="1" applyBorder="1" applyAlignment="1">
      <alignment horizontal="right" vertical="center"/>
    </xf>
    <xf numFmtId="4" fontId="5" fillId="2" borderId="6" xfId="6" quotePrefix="1" applyNumberFormat="1" applyFont="1" applyFill="1" applyBorder="1" applyAlignment="1">
      <alignment horizontal="right" vertical="center"/>
    </xf>
    <xf numFmtId="49" fontId="5" fillId="0" borderId="6" xfId="6" applyNumberFormat="1" applyFont="1" applyBorder="1" applyAlignment="1">
      <alignment horizontal="right" vertical="center"/>
    </xf>
    <xf numFmtId="164" fontId="5" fillId="0" borderId="6" xfId="7" applyNumberFormat="1" applyFont="1" applyFill="1" applyBorder="1" applyAlignment="1">
      <alignment horizontal="right" vertical="center"/>
    </xf>
    <xf numFmtId="49" fontId="5" fillId="0" borderId="6" xfId="3" quotePrefix="1" applyNumberFormat="1" applyFont="1" applyBorder="1" applyAlignment="1">
      <alignment horizontal="right" vertical="center"/>
    </xf>
    <xf numFmtId="49" fontId="6" fillId="0" borderId="6" xfId="6" applyNumberFormat="1" applyFont="1" applyBorder="1" applyAlignment="1">
      <alignment horizontal="right"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horizontal="center" vertical="center" wrapText="1"/>
    </xf>
    <xf numFmtId="4" fontId="14" fillId="0" borderId="6" xfId="5" applyNumberFormat="1" applyFont="1" applyFill="1" applyBorder="1" applyAlignment="1">
      <alignment vertical="center"/>
    </xf>
    <xf numFmtId="4" fontId="5" fillId="0" borderId="6" xfId="5" applyNumberFormat="1" applyFont="1" applyFill="1" applyBorder="1" applyAlignment="1">
      <alignment vertical="center"/>
    </xf>
    <xf numFmtId="4" fontId="5" fillId="0" borderId="6" xfId="6" applyNumberFormat="1" applyFont="1" applyBorder="1" applyAlignment="1">
      <alignment vertical="center"/>
    </xf>
    <xf numFmtId="4" fontId="5" fillId="0" borderId="6" xfId="7" applyNumberFormat="1" applyFont="1" applyFill="1" applyBorder="1" applyAlignment="1">
      <alignment vertical="center"/>
    </xf>
    <xf numFmtId="3" fontId="5" fillId="0" borderId="6" xfId="6" applyNumberFormat="1" applyFont="1" applyBorder="1" applyAlignment="1">
      <alignment vertical="center"/>
    </xf>
    <xf numFmtId="164" fontId="14" fillId="0" borderId="6" xfId="6" applyNumberFormat="1" applyFont="1" applyBorder="1" applyAlignment="1">
      <alignment vertical="center"/>
    </xf>
    <xf numFmtId="164" fontId="5" fillId="0" borderId="6" xfId="5" applyFont="1" applyFill="1" applyBorder="1" applyAlignment="1">
      <alignment vertical="center"/>
    </xf>
    <xf numFmtId="2" fontId="5" fillId="2" borderId="6" xfId="6" applyNumberFormat="1" applyFont="1" applyFill="1" applyBorder="1" applyAlignment="1">
      <alignment vertical="center"/>
    </xf>
    <xf numFmtId="9" fontId="5" fillId="2" borderId="6" xfId="8" applyFont="1" applyFill="1" applyBorder="1" applyAlignment="1">
      <alignment vertical="center"/>
    </xf>
    <xf numFmtId="0" fontId="5" fillId="0" borderId="6" xfId="6" applyFont="1" applyBorder="1" applyAlignment="1">
      <alignment horizontal="center" vertical="center"/>
    </xf>
    <xf numFmtId="0" fontId="5" fillId="0" borderId="6" xfId="6" applyFont="1" applyBorder="1" applyAlignment="1">
      <alignment vertical="center"/>
    </xf>
    <xf numFmtId="167" fontId="14" fillId="0" borderId="6" xfId="6" applyNumberFormat="1" applyFont="1" applyBorder="1" applyAlignment="1">
      <alignment vertical="center"/>
    </xf>
    <xf numFmtId="1" fontId="5" fillId="0" borderId="6" xfId="5" applyNumberFormat="1" applyFont="1" applyFill="1" applyBorder="1" applyAlignment="1">
      <alignment vertical="center"/>
    </xf>
    <xf numFmtId="2" fontId="5" fillId="0" borderId="6" xfId="6" applyNumberFormat="1" applyFont="1" applyBorder="1" applyAlignment="1">
      <alignment horizontal="center" vertical="center"/>
    </xf>
    <xf numFmtId="49" fontId="5" fillId="0" borderId="6" xfId="6" applyNumberFormat="1" applyFont="1" applyBorder="1" applyAlignment="1">
      <alignment horizontal="center" vertical="center"/>
    </xf>
    <xf numFmtId="49" fontId="5" fillId="0" borderId="6" xfId="6" applyNumberFormat="1" applyFont="1" applyBorder="1" applyAlignment="1">
      <alignment horizontal="left" vertical="center"/>
    </xf>
    <xf numFmtId="164" fontId="5" fillId="0" borderId="0" xfId="2" applyFont="1" applyFill="1" applyAlignment="1">
      <alignment vertical="center"/>
    </xf>
    <xf numFmtId="4" fontId="6" fillId="0" borderId="29" xfId="7" applyNumberFormat="1" applyFont="1" applyFill="1" applyBorder="1" applyAlignment="1">
      <alignment vertical="center"/>
    </xf>
    <xf numFmtId="4" fontId="5" fillId="0" borderId="29" xfId="7" applyNumberFormat="1" applyFont="1" applyFill="1" applyBorder="1" applyAlignment="1">
      <alignment horizontal="left" vertical="center"/>
    </xf>
    <xf numFmtId="164" fontId="5" fillId="0" borderId="29" xfId="7" applyNumberFormat="1" applyFont="1" applyFill="1" applyBorder="1" applyAlignment="1">
      <alignment horizontal="left" vertical="center"/>
    </xf>
    <xf numFmtId="43" fontId="6" fillId="0" borderId="6" xfId="7" applyFont="1" applyFill="1" applyBorder="1" applyAlignment="1">
      <alignment horizontal="left" vertical="center"/>
    </xf>
    <xf numFmtId="49" fontId="5" fillId="0" borderId="29" xfId="3" quotePrefix="1" applyNumberFormat="1" applyFont="1" applyBorder="1" applyAlignment="1">
      <alignment horizontal="left" vertical="center"/>
    </xf>
    <xf numFmtId="43" fontId="6" fillId="0" borderId="29" xfId="7" applyFont="1" applyFill="1" applyBorder="1" applyAlignment="1">
      <alignment horizontal="left" vertical="center"/>
    </xf>
    <xf numFmtId="0" fontId="5" fillId="0" borderId="6" xfId="3" applyFont="1" applyBorder="1" applyAlignment="1">
      <alignment horizontal="left" vertical="center"/>
    </xf>
    <xf numFmtId="164" fontId="6" fillId="0" borderId="29" xfId="2" applyFont="1" applyFill="1" applyBorder="1" applyAlignment="1">
      <alignment horizontal="right" vertical="center"/>
    </xf>
    <xf numFmtId="4" fontId="14" fillId="0" borderId="6" xfId="6" applyNumberFormat="1" applyFont="1" applyBorder="1" applyAlignment="1">
      <alignment horizontal="right" vertical="center"/>
    </xf>
    <xf numFmtId="4" fontId="14" fillId="2" borderId="6" xfId="6" applyNumberFormat="1" applyFont="1" applyFill="1" applyBorder="1" applyAlignment="1">
      <alignment horizontal="right" vertical="center"/>
    </xf>
    <xf numFmtId="2" fontId="6" fillId="0" borderId="29" xfId="6" applyNumberFormat="1" applyFont="1" applyBorder="1" applyAlignment="1">
      <alignment horizontal="right" vertical="center"/>
    </xf>
    <xf numFmtId="1" fontId="6" fillId="0" borderId="29" xfId="6" applyNumberFormat="1" applyFont="1" applyBorder="1" applyAlignment="1">
      <alignment horizontal="right" vertical="center"/>
    </xf>
    <xf numFmtId="4" fontId="14" fillId="0" borderId="29" xfId="6" applyNumberFormat="1" applyFont="1" applyBorder="1" applyAlignment="1">
      <alignment horizontal="right" vertical="center"/>
    </xf>
    <xf numFmtId="4" fontId="14" fillId="2" borderId="6" xfId="5" applyNumberFormat="1" applyFont="1" applyFill="1" applyBorder="1" applyAlignment="1">
      <alignment horizontal="right" vertical="center"/>
    </xf>
    <xf numFmtId="1" fontId="5" fillId="0" borderId="29" xfId="6" applyNumberFormat="1" applyFont="1" applyBorder="1" applyAlignment="1">
      <alignment horizontal="right" vertical="center"/>
    </xf>
    <xf numFmtId="4" fontId="6" fillId="0" borderId="29" xfId="6" applyNumberFormat="1" applyFont="1" applyBorder="1" applyAlignment="1">
      <alignment horizontal="right" vertical="center"/>
    </xf>
    <xf numFmtId="164" fontId="5" fillId="0" borderId="29" xfId="6" applyNumberFormat="1" applyFont="1" applyBorder="1" applyAlignment="1">
      <alignment horizontal="right" vertical="center"/>
    </xf>
    <xf numFmtId="164" fontId="5" fillId="2" borderId="6" xfId="5" applyFont="1" applyFill="1" applyBorder="1" applyAlignment="1">
      <alignment horizontal="right" vertical="center"/>
    </xf>
    <xf numFmtId="43" fontId="6" fillId="0" borderId="29" xfId="5" applyNumberFormat="1" applyFont="1" applyFill="1" applyBorder="1" applyAlignment="1">
      <alignment horizontal="right" vertical="center"/>
    </xf>
    <xf numFmtId="164" fontId="5" fillId="0" borderId="29" xfId="2" applyFont="1" applyFill="1" applyBorder="1" applyAlignment="1">
      <alignment horizontal="right" vertical="center"/>
    </xf>
    <xf numFmtId="1" fontId="6" fillId="0" borderId="29" xfId="5" applyNumberFormat="1" applyFont="1" applyFill="1" applyBorder="1" applyAlignment="1">
      <alignment horizontal="right" vertical="center"/>
    </xf>
    <xf numFmtId="4" fontId="6" fillId="3" borderId="6" xfId="7" applyNumberFormat="1" applyFont="1" applyFill="1" applyBorder="1" applyAlignment="1">
      <alignment horizontal="right" vertical="center"/>
    </xf>
    <xf numFmtId="4" fontId="6" fillId="3" borderId="6" xfId="7" applyNumberFormat="1" applyFont="1" applyFill="1" applyBorder="1" applyAlignment="1">
      <alignment vertical="center"/>
    </xf>
    <xf numFmtId="4" fontId="5" fillId="3" borderId="29" xfId="7" applyNumberFormat="1" applyFont="1" applyFill="1" applyBorder="1" applyAlignment="1">
      <alignment horizontal="left" vertical="center"/>
    </xf>
    <xf numFmtId="164" fontId="5" fillId="3" borderId="29" xfId="7" applyNumberFormat="1" applyFont="1" applyFill="1" applyBorder="1" applyAlignment="1">
      <alignment horizontal="left" vertical="center"/>
    </xf>
    <xf numFmtId="43" fontId="6" fillId="3" borderId="6" xfId="7" applyFont="1" applyFill="1" applyBorder="1" applyAlignment="1">
      <alignment horizontal="left" vertical="center"/>
    </xf>
    <xf numFmtId="49" fontId="5" fillId="3" borderId="6" xfId="3" quotePrefix="1" applyNumberFormat="1" applyFont="1" applyFill="1" applyBorder="1" applyAlignment="1">
      <alignment horizontal="left" vertical="center"/>
    </xf>
    <xf numFmtId="169" fontId="6" fillId="3" borderId="6" xfId="7" applyNumberFormat="1" applyFont="1" applyFill="1" applyBorder="1" applyAlignment="1">
      <alignment horizontal="right" vertical="center"/>
    </xf>
    <xf numFmtId="0" fontId="5" fillId="3" borderId="6" xfId="3" applyFont="1" applyFill="1" applyBorder="1" applyAlignment="1">
      <alignment horizontal="left" vertical="center"/>
    </xf>
    <xf numFmtId="49" fontId="6" fillId="3" borderId="29" xfId="3" quotePrefix="1" applyNumberFormat="1" applyFont="1" applyFill="1" applyBorder="1" applyAlignment="1">
      <alignment horizontal="left" vertical="center"/>
    </xf>
    <xf numFmtId="49" fontId="5" fillId="3" borderId="29" xfId="3" quotePrefix="1" applyNumberFormat="1" applyFont="1" applyFill="1" applyBorder="1" applyAlignment="1">
      <alignment horizontal="left" vertical="center"/>
    </xf>
    <xf numFmtId="4" fontId="6" fillId="4" borderId="6" xfId="2" quotePrefix="1" applyNumberFormat="1" applyFont="1" applyFill="1" applyBorder="1" applyAlignment="1">
      <alignment vertical="center"/>
    </xf>
    <xf numFmtId="164" fontId="6" fillId="4" borderId="6" xfId="2" quotePrefix="1" applyFont="1" applyFill="1" applyBorder="1" applyAlignment="1">
      <alignment horizontal="center" vertical="center"/>
    </xf>
    <xf numFmtId="4" fontId="6" fillId="4" borderId="6" xfId="2" quotePrefix="1" applyNumberFormat="1" applyFont="1" applyFill="1" applyBorder="1" applyAlignment="1">
      <alignment horizontal="center" vertical="center"/>
    </xf>
    <xf numFmtId="4" fontId="6" fillId="4" borderId="6" xfId="2" quotePrefix="1" applyNumberFormat="1" applyFont="1" applyFill="1" applyBorder="1" applyAlignment="1">
      <alignment horizontal="right" vertical="center"/>
    </xf>
    <xf numFmtId="164" fontId="5" fillId="4" borderId="6" xfId="2" quotePrefix="1" applyFont="1" applyFill="1" applyBorder="1" applyAlignment="1">
      <alignment horizontal="center" vertical="center"/>
    </xf>
    <xf numFmtId="165" fontId="6" fillId="4" borderId="6" xfId="2" quotePrefix="1" applyNumberFormat="1" applyFont="1" applyFill="1" applyBorder="1" applyAlignment="1">
      <alignment horizontal="right" vertical="center"/>
    </xf>
    <xf numFmtId="164" fontId="6" fillId="4" borderId="6" xfId="2" applyFont="1" applyFill="1" applyBorder="1" applyAlignment="1">
      <alignment horizontal="center" vertical="center"/>
    </xf>
    <xf numFmtId="164" fontId="5" fillId="0" borderId="6" xfId="2" quotePrefix="1" applyFont="1" applyFill="1" applyBorder="1" applyAlignment="1">
      <alignment horizontal="center"/>
    </xf>
    <xf numFmtId="4" fontId="5" fillId="0" borderId="6" xfId="2" quotePrefix="1" applyNumberFormat="1" applyFont="1" applyFill="1" applyBorder="1" applyAlignment="1">
      <alignment horizontal="center"/>
    </xf>
    <xf numFmtId="0" fontId="6" fillId="0" borderId="6" xfId="6" applyFont="1" applyBorder="1"/>
    <xf numFmtId="164" fontId="6" fillId="0" borderId="6" xfId="2" applyFont="1" applyFill="1" applyBorder="1" applyAlignment="1">
      <alignment vertical="center"/>
    </xf>
    <xf numFmtId="0" fontId="14" fillId="0" borderId="6" xfId="6" applyFont="1" applyBorder="1"/>
    <xf numFmtId="4" fontId="6" fillId="0" borderId="6" xfId="2" applyNumberFormat="1" applyFont="1" applyFill="1" applyBorder="1" applyAlignment="1">
      <alignment horizontal="center" vertical="center" wrapText="1"/>
    </xf>
    <xf numFmtId="164" fontId="5" fillId="0" borderId="6" xfId="2" applyFont="1" applyFill="1" applyBorder="1"/>
    <xf numFmtId="4" fontId="5" fillId="0" borderId="6" xfId="2" applyNumberFormat="1" applyFont="1" applyFill="1" applyBorder="1"/>
    <xf numFmtId="165" fontId="5" fillId="0" borderId="6" xfId="2" applyNumberFormat="1" applyFont="1" applyFill="1" applyBorder="1"/>
    <xf numFmtId="0" fontId="5" fillId="0" borderId="6" xfId="2" applyNumberFormat="1" applyFont="1" applyFill="1" applyBorder="1" applyAlignment="1">
      <alignment horizontal="center"/>
    </xf>
    <xf numFmtId="164" fontId="6" fillId="0" borderId="6" xfId="2" applyFont="1" applyFill="1" applyBorder="1"/>
    <xf numFmtId="164" fontId="5" fillId="0" borderId="31" xfId="2" applyFont="1" applyFill="1" applyBorder="1"/>
    <xf numFmtId="164" fontId="5" fillId="0" borderId="13" xfId="2" applyFont="1" applyFill="1" applyBorder="1"/>
    <xf numFmtId="164" fontId="5" fillId="0" borderId="5" xfId="2" applyFont="1" applyFill="1" applyBorder="1"/>
    <xf numFmtId="164" fontId="5" fillId="0" borderId="5" xfId="2" quotePrefix="1" applyFont="1" applyFill="1" applyBorder="1"/>
    <xf numFmtId="164" fontId="6" fillId="0" borderId="5" xfId="2" quotePrefix="1" applyFont="1" applyFill="1" applyBorder="1" applyAlignment="1">
      <alignment horizontal="center"/>
    </xf>
    <xf numFmtId="164" fontId="6" fillId="0" borderId="12" xfId="2" applyFont="1" applyFill="1" applyBorder="1" applyAlignment="1">
      <alignment horizontal="center"/>
    </xf>
    <xf numFmtId="165" fontId="5" fillId="0" borderId="5" xfId="2" applyNumberFormat="1" applyFont="1" applyFill="1" applyBorder="1"/>
    <xf numFmtId="0" fontId="5" fillId="0" borderId="5" xfId="2" applyNumberFormat="1" applyFont="1" applyFill="1" applyBorder="1" applyAlignment="1">
      <alignment horizontal="center"/>
    </xf>
    <xf numFmtId="164" fontId="5" fillId="0" borderId="12" xfId="2" applyFont="1" applyFill="1" applyBorder="1"/>
    <xf numFmtId="164" fontId="5" fillId="0" borderId="11" xfId="2" applyFont="1" applyFill="1" applyBorder="1"/>
    <xf numFmtId="164" fontId="5" fillId="0" borderId="0" xfId="2" quotePrefix="1" applyFont="1" applyFill="1" applyBorder="1"/>
    <xf numFmtId="0" fontId="5" fillId="0" borderId="0" xfId="2" applyNumberFormat="1" applyFont="1" applyFill="1" applyBorder="1" applyAlignment="1">
      <alignment horizontal="center"/>
    </xf>
    <xf numFmtId="164" fontId="5" fillId="0" borderId="10" xfId="2" applyFont="1" applyFill="1" applyBorder="1"/>
    <xf numFmtId="164" fontId="5" fillId="0" borderId="9" xfId="2" applyFont="1" applyFill="1" applyBorder="1"/>
    <xf numFmtId="164" fontId="5" fillId="0" borderId="8" xfId="2" applyFont="1" applyFill="1" applyBorder="1"/>
    <xf numFmtId="4" fontId="5" fillId="0" borderId="8" xfId="2" applyNumberFormat="1" applyFont="1" applyFill="1" applyBorder="1"/>
    <xf numFmtId="164" fontId="5" fillId="0" borderId="7" xfId="2" applyFont="1" applyFill="1" applyBorder="1"/>
    <xf numFmtId="164" fontId="5" fillId="0" borderId="30" xfId="2" applyFont="1" applyFill="1" applyBorder="1"/>
    <xf numFmtId="4" fontId="6" fillId="0" borderId="30" xfId="2" applyNumberFormat="1" applyFont="1" applyFill="1" applyBorder="1"/>
    <xf numFmtId="164" fontId="6" fillId="0" borderId="30" xfId="2" applyFont="1" applyFill="1" applyBorder="1"/>
    <xf numFmtId="165" fontId="5" fillId="0" borderId="8" xfId="2" applyNumberFormat="1" applyFont="1" applyFill="1" applyBorder="1"/>
    <xf numFmtId="0" fontId="5" fillId="0" borderId="8" xfId="2" applyNumberFormat="1" applyFont="1" applyFill="1" applyBorder="1" applyAlignment="1">
      <alignment horizontal="center"/>
    </xf>
    <xf numFmtId="164" fontId="6" fillId="0" borderId="7" xfId="2" applyFont="1" applyFill="1" applyBorder="1"/>
    <xf numFmtId="164" fontId="5" fillId="0" borderId="0" xfId="2" applyFont="1" applyFill="1" applyAlignment="1"/>
    <xf numFmtId="0" fontId="2" fillId="0" borderId="0" xfId="6"/>
    <xf numFmtId="164" fontId="18" fillId="0" borderId="0" xfId="2" applyFont="1" applyFill="1" applyBorder="1" applyAlignment="1"/>
    <xf numFmtId="0" fontId="19" fillId="0" borderId="0" xfId="3" applyFont="1"/>
    <xf numFmtId="164" fontId="18" fillId="0" borderId="0" xfId="2" applyFont="1" applyBorder="1" applyAlignment="1">
      <alignment vertical="center" wrapText="1"/>
    </xf>
    <xf numFmtId="164" fontId="20" fillId="0" borderId="0" xfId="2" applyFont="1" applyFill="1"/>
    <xf numFmtId="164" fontId="18" fillId="0" borderId="0" xfId="2" applyFont="1" applyBorder="1" applyAlignment="1">
      <alignment vertical="center"/>
    </xf>
    <xf numFmtId="166" fontId="20" fillId="0" borderId="0" xfId="2" applyNumberFormat="1" applyFont="1" applyFill="1"/>
    <xf numFmtId="164" fontId="21" fillId="0" borderId="0" xfId="2" applyFont="1" applyFill="1" applyBorder="1" applyAlignment="1"/>
    <xf numFmtId="164" fontId="18" fillId="0" borderId="0" xfId="2" applyFont="1" applyFill="1"/>
    <xf numFmtId="0" fontId="22" fillId="0" borderId="0" xfId="3" applyFont="1"/>
    <xf numFmtId="165" fontId="21" fillId="0" borderId="0" xfId="2" applyNumberFormat="1" applyFont="1" applyFill="1" applyBorder="1" applyAlignment="1"/>
    <xf numFmtId="164" fontId="20" fillId="0" borderId="0" xfId="2" applyFont="1" applyFill="1" applyBorder="1"/>
    <xf numFmtId="164" fontId="21" fillId="0" borderId="0" xfId="2" applyFont="1" applyFill="1" applyBorder="1"/>
    <xf numFmtId="165" fontId="21" fillId="0" borderId="0" xfId="2" applyNumberFormat="1" applyFont="1" applyFill="1" applyBorder="1"/>
    <xf numFmtId="164" fontId="21" fillId="0" borderId="0" xfId="2" applyFont="1" applyFill="1"/>
    <xf numFmtId="0" fontId="20" fillId="0" borderId="0" xfId="4" applyFont="1"/>
    <xf numFmtId="165" fontId="20" fillId="0" borderId="0" xfId="2" applyNumberFormat="1" applyFont="1" applyFill="1" applyBorder="1"/>
    <xf numFmtId="165" fontId="20" fillId="0" borderId="0" xfId="4" applyNumberFormat="1" applyFont="1"/>
    <xf numFmtId="164" fontId="20" fillId="0" borderId="0" xfId="2" quotePrefix="1" applyFont="1" applyFill="1" applyBorder="1" applyAlignment="1"/>
    <xf numFmtId="164" fontId="23" fillId="0" borderId="0" xfId="2" applyFont="1" applyFill="1" applyBorder="1"/>
    <xf numFmtId="165" fontId="23" fillId="0" borderId="0" xfId="2" applyNumberFormat="1" applyFont="1" applyFill="1" applyBorder="1"/>
    <xf numFmtId="0" fontId="23" fillId="0" borderId="0" xfId="4" applyFont="1" applyAlignment="1">
      <alignment horizontal="center"/>
    </xf>
    <xf numFmtId="164" fontId="23" fillId="0" borderId="0" xfId="2" applyFont="1" applyFill="1" applyBorder="1" applyAlignment="1">
      <alignment horizontal="left"/>
    </xf>
    <xf numFmtId="0" fontId="23" fillId="0" borderId="0" xfId="4" applyFont="1"/>
    <xf numFmtId="164" fontId="23" fillId="0" borderId="0" xfId="2" quotePrefix="1" applyFont="1" applyFill="1" applyBorder="1" applyAlignment="1">
      <alignment horizontal="center"/>
    </xf>
    <xf numFmtId="4" fontId="24" fillId="0" borderId="6" xfId="5" applyNumberFormat="1" applyFont="1" applyFill="1" applyBorder="1" applyAlignment="1">
      <alignment vertical="center"/>
    </xf>
    <xf numFmtId="4" fontId="23" fillId="0" borderId="6" xfId="5" applyNumberFormat="1" applyFont="1" applyFill="1" applyBorder="1" applyAlignment="1">
      <alignment vertical="center"/>
    </xf>
    <xf numFmtId="4" fontId="23" fillId="0" borderId="6" xfId="6" applyNumberFormat="1" applyFont="1" applyBorder="1" applyAlignment="1">
      <alignment vertical="center"/>
    </xf>
    <xf numFmtId="164" fontId="23" fillId="0" borderId="6" xfId="6" applyNumberFormat="1" applyFont="1" applyBorder="1" applyAlignment="1">
      <alignment horizontal="center" vertical="center"/>
    </xf>
    <xf numFmtId="3" fontId="23" fillId="0" borderId="6" xfId="6" applyNumberFormat="1" applyFont="1" applyBorder="1" applyAlignment="1">
      <alignment vertical="center"/>
    </xf>
    <xf numFmtId="9" fontId="23" fillId="2" borderId="6" xfId="8" applyFont="1" applyFill="1" applyBorder="1" applyAlignment="1">
      <alignment vertical="center"/>
    </xf>
    <xf numFmtId="164" fontId="23" fillId="2" borderId="6" xfId="5" applyFont="1" applyFill="1" applyBorder="1" applyAlignment="1">
      <alignment horizontal="right" vertical="center"/>
    </xf>
    <xf numFmtId="4" fontId="23" fillId="2" borderId="6" xfId="6" applyNumberFormat="1" applyFont="1" applyFill="1" applyBorder="1" applyAlignment="1">
      <alignment horizontal="right" vertical="center"/>
    </xf>
    <xf numFmtId="4" fontId="23" fillId="0" borderId="6" xfId="7" applyNumberFormat="1" applyFont="1" applyFill="1" applyBorder="1" applyAlignment="1">
      <alignment horizontal="right" vertical="center"/>
    </xf>
    <xf numFmtId="4" fontId="23" fillId="0" borderId="6" xfId="6" applyNumberFormat="1" applyFont="1" applyBorder="1" applyAlignment="1">
      <alignment horizontal="right" vertical="center"/>
    </xf>
    <xf numFmtId="4" fontId="23" fillId="2" borderId="6" xfId="5" applyNumberFormat="1" applyFont="1" applyFill="1" applyBorder="1" applyAlignment="1">
      <alignment horizontal="right" vertical="center"/>
    </xf>
    <xf numFmtId="0" fontId="23" fillId="0" borderId="6" xfId="6" applyFont="1" applyBorder="1" applyAlignment="1">
      <alignment horizontal="center" vertical="center"/>
    </xf>
    <xf numFmtId="164" fontId="23" fillId="0" borderId="6" xfId="5" applyFont="1" applyFill="1" applyBorder="1" applyAlignment="1">
      <alignment vertical="center"/>
    </xf>
    <xf numFmtId="0" fontId="23" fillId="0" borderId="6" xfId="6" applyFont="1" applyBorder="1" applyAlignment="1">
      <alignment vertical="center"/>
    </xf>
    <xf numFmtId="167" fontId="23" fillId="0" borderId="6" xfId="6" applyNumberFormat="1" applyFont="1" applyBorder="1" applyAlignment="1">
      <alignment vertical="center"/>
    </xf>
    <xf numFmtId="4" fontId="25" fillId="0" borderId="6" xfId="6" applyNumberFormat="1" applyFont="1" applyBorder="1" applyAlignment="1">
      <alignment vertical="center"/>
    </xf>
    <xf numFmtId="165" fontId="23" fillId="0" borderId="6" xfId="5" applyNumberFormat="1" applyFont="1" applyFill="1" applyBorder="1" applyAlignment="1">
      <alignment vertical="center"/>
    </xf>
    <xf numFmtId="2" fontId="23" fillId="2" borderId="6" xfId="6" applyNumberFormat="1" applyFont="1" applyFill="1" applyBorder="1" applyAlignment="1">
      <alignment vertical="center"/>
    </xf>
    <xf numFmtId="168" fontId="23" fillId="2" borderId="6" xfId="6" applyNumberFormat="1" applyFont="1" applyFill="1" applyBorder="1" applyAlignment="1">
      <alignment horizontal="right" vertical="center"/>
    </xf>
    <xf numFmtId="4" fontId="25" fillId="0" borderId="6" xfId="7" applyNumberFormat="1" applyFont="1" applyFill="1" applyBorder="1" applyAlignment="1">
      <alignment horizontal="right" vertical="center"/>
    </xf>
    <xf numFmtId="4" fontId="25" fillId="0" borderId="6" xfId="6" applyNumberFormat="1" applyFont="1" applyBorder="1" applyAlignment="1">
      <alignment horizontal="right" vertical="center"/>
    </xf>
    <xf numFmtId="0" fontId="25" fillId="0" borderId="6" xfId="6" applyFont="1" applyBorder="1" applyAlignment="1">
      <alignment vertical="center"/>
    </xf>
    <xf numFmtId="167" fontId="24" fillId="0" borderId="6" xfId="6" applyNumberFormat="1" applyFont="1" applyBorder="1" applyAlignment="1">
      <alignment vertical="center"/>
    </xf>
    <xf numFmtId="0" fontId="23" fillId="0" borderId="6" xfId="6" applyFont="1" applyBorder="1" applyAlignment="1">
      <alignment horizontal="right" vertical="center"/>
    </xf>
    <xf numFmtId="4" fontId="23" fillId="0" borderId="29" xfId="5" applyNumberFormat="1" applyFont="1" applyFill="1" applyBorder="1" applyAlignment="1">
      <alignment vertical="center"/>
    </xf>
    <xf numFmtId="4" fontId="24" fillId="0" borderId="29" xfId="6" applyNumberFormat="1" applyFont="1" applyBorder="1" applyAlignment="1">
      <alignment vertical="center"/>
    </xf>
    <xf numFmtId="4" fontId="24" fillId="0" borderId="6" xfId="6" applyNumberFormat="1" applyFont="1" applyBorder="1" applyAlignment="1">
      <alignment vertical="center"/>
    </xf>
    <xf numFmtId="164" fontId="24" fillId="0" borderId="6" xfId="6" applyNumberFormat="1" applyFont="1" applyBorder="1" applyAlignment="1">
      <alignment vertical="center"/>
    </xf>
    <xf numFmtId="2" fontId="23" fillId="0" borderId="29" xfId="6" applyNumberFormat="1" applyFont="1" applyBorder="1" applyAlignment="1">
      <alignment horizontal="center" vertical="center"/>
    </xf>
    <xf numFmtId="9" fontId="23" fillId="2" borderId="29" xfId="8" applyFont="1" applyFill="1" applyBorder="1" applyAlignment="1">
      <alignment horizontal="right" vertical="center"/>
    </xf>
    <xf numFmtId="2" fontId="24" fillId="2" borderId="6" xfId="6" applyNumberFormat="1" applyFont="1" applyFill="1" applyBorder="1" applyAlignment="1">
      <alignment horizontal="right" vertical="center"/>
    </xf>
    <xf numFmtId="4" fontId="24" fillId="2" borderId="6" xfId="6" applyNumberFormat="1" applyFont="1" applyFill="1" applyBorder="1" applyAlignment="1">
      <alignment horizontal="right" vertical="center"/>
    </xf>
    <xf numFmtId="4" fontId="24" fillId="2" borderId="6" xfId="5" applyNumberFormat="1" applyFont="1" applyFill="1" applyBorder="1" applyAlignment="1">
      <alignment horizontal="right" vertical="center"/>
    </xf>
    <xf numFmtId="49" fontId="23" fillId="0" borderId="29" xfId="6" applyNumberFormat="1" applyFont="1" applyBorder="1" applyAlignment="1">
      <alignment horizontal="center" vertical="center"/>
    </xf>
    <xf numFmtId="164" fontId="23" fillId="0" borderId="29" xfId="5" applyFont="1" applyFill="1" applyBorder="1" applyAlignment="1">
      <alignment horizontal="center" vertical="center"/>
    </xf>
    <xf numFmtId="1" fontId="23" fillId="0" borderId="29" xfId="6" applyNumberFormat="1" applyFont="1" applyBorder="1" applyAlignment="1">
      <alignment horizontal="right" vertical="center"/>
    </xf>
    <xf numFmtId="0" fontId="23" fillId="0" borderId="29" xfId="6" applyFont="1" applyBorder="1" applyAlignment="1">
      <alignment vertical="center"/>
    </xf>
    <xf numFmtId="4" fontId="25" fillId="0" borderId="29" xfId="6" applyNumberFormat="1" applyFont="1" applyBorder="1" applyAlignment="1">
      <alignment vertical="center"/>
    </xf>
    <xf numFmtId="4" fontId="23" fillId="0" borderId="29" xfId="6" applyNumberFormat="1" applyFont="1" applyBorder="1" applyAlignment="1">
      <alignment vertical="center"/>
    </xf>
    <xf numFmtId="164" fontId="23" fillId="0" borderId="29" xfId="6" applyNumberFormat="1" applyFont="1" applyBorder="1" applyAlignment="1">
      <alignment horizontal="center" vertical="center"/>
    </xf>
    <xf numFmtId="9" fontId="23" fillId="2" borderId="29" xfId="8" applyFont="1" applyFill="1" applyBorder="1" applyAlignment="1">
      <alignment vertical="center"/>
    </xf>
    <xf numFmtId="4" fontId="25" fillId="0" borderId="29" xfId="6" applyNumberFormat="1" applyFont="1" applyBorder="1" applyAlignment="1">
      <alignment horizontal="right" vertical="center"/>
    </xf>
    <xf numFmtId="0" fontId="23" fillId="0" borderId="29" xfId="6" applyFont="1" applyBorder="1" applyAlignment="1">
      <alignment horizontal="center" vertical="center"/>
    </xf>
    <xf numFmtId="164" fontId="23" fillId="0" borderId="29" xfId="5" applyFont="1" applyFill="1" applyBorder="1" applyAlignment="1">
      <alignment vertical="center"/>
    </xf>
    <xf numFmtId="1" fontId="25" fillId="0" borderId="29" xfId="6" applyNumberFormat="1" applyFont="1" applyBorder="1" applyAlignment="1">
      <alignment horizontal="right" vertical="center"/>
    </xf>
    <xf numFmtId="49" fontId="23" fillId="0" borderId="29" xfId="6" applyNumberFormat="1" applyFont="1" applyBorder="1" applyAlignment="1">
      <alignment horizontal="right" vertical="center"/>
    </xf>
    <xf numFmtId="0" fontId="23" fillId="0" borderId="6" xfId="6" applyFont="1" applyBorder="1" applyAlignment="1">
      <alignment horizontal="left" vertical="center"/>
    </xf>
    <xf numFmtId="4" fontId="23" fillId="2" borderId="29" xfId="5" applyNumberFormat="1" applyFont="1" applyFill="1" applyBorder="1" applyAlignment="1">
      <alignment horizontal="right" vertical="center"/>
    </xf>
    <xf numFmtId="4" fontId="23" fillId="2" borderId="29" xfId="6" quotePrefix="1" applyNumberFormat="1" applyFont="1" applyFill="1" applyBorder="1" applyAlignment="1">
      <alignment horizontal="right" vertical="center"/>
    </xf>
    <xf numFmtId="1" fontId="23" fillId="0" borderId="29" xfId="5" applyNumberFormat="1" applyFont="1" applyFill="1" applyBorder="1" applyAlignment="1">
      <alignment horizontal="right" vertical="center"/>
    </xf>
    <xf numFmtId="49" fontId="23" fillId="0" borderId="29" xfId="6" applyNumberFormat="1" applyFont="1" applyBorder="1" applyAlignment="1">
      <alignment horizontal="left" vertical="center"/>
    </xf>
    <xf numFmtId="4" fontId="25" fillId="0" borderId="6" xfId="7" applyNumberFormat="1" applyFont="1" applyFill="1" applyBorder="1" applyAlignment="1">
      <alignment vertical="center"/>
    </xf>
    <xf numFmtId="4" fontId="25" fillId="0" borderId="29" xfId="7" applyNumberFormat="1" applyFont="1" applyFill="1" applyBorder="1" applyAlignment="1">
      <alignment vertical="center"/>
    </xf>
    <xf numFmtId="43" fontId="25" fillId="0" borderId="6" xfId="7" applyFont="1" applyFill="1" applyBorder="1" applyAlignment="1">
      <alignment horizontal="left" vertical="center"/>
    </xf>
    <xf numFmtId="43" fontId="23" fillId="0" borderId="29" xfId="7" applyFont="1" applyFill="1" applyBorder="1" applyAlignment="1">
      <alignment horizontal="left" vertical="center"/>
    </xf>
    <xf numFmtId="164" fontId="23" fillId="0" borderId="29" xfId="7" applyNumberFormat="1" applyFont="1" applyFill="1" applyBorder="1" applyAlignment="1">
      <alignment horizontal="left" vertical="center"/>
    </xf>
    <xf numFmtId="4" fontId="25" fillId="0" borderId="29" xfId="7" applyNumberFormat="1" applyFont="1" applyFill="1" applyBorder="1" applyAlignment="1">
      <alignment horizontal="right" vertical="center"/>
    </xf>
    <xf numFmtId="49" fontId="23" fillId="0" borderId="29" xfId="3" quotePrefix="1" applyNumberFormat="1" applyFont="1" applyBorder="1" applyAlignment="1">
      <alignment horizontal="left" vertical="center"/>
    </xf>
    <xf numFmtId="43" fontId="25" fillId="0" borderId="29" xfId="7" applyFont="1" applyFill="1" applyBorder="1" applyAlignment="1">
      <alignment horizontal="left" vertical="center"/>
    </xf>
    <xf numFmtId="169" fontId="25" fillId="0" borderId="6" xfId="7" applyNumberFormat="1" applyFont="1" applyFill="1" applyBorder="1" applyAlignment="1">
      <alignment horizontal="right" vertical="center"/>
    </xf>
    <xf numFmtId="0" fontId="23" fillId="0" borderId="6" xfId="3" applyFont="1" applyBorder="1" applyAlignment="1">
      <alignment horizontal="left" vertical="center"/>
    </xf>
    <xf numFmtId="4" fontId="25" fillId="3" borderId="6" xfId="7" applyNumberFormat="1" applyFont="1" applyFill="1" applyBorder="1" applyAlignment="1">
      <alignment vertical="center"/>
    </xf>
    <xf numFmtId="43" fontId="25" fillId="3" borderId="6" xfId="7" applyFont="1" applyFill="1" applyBorder="1" applyAlignment="1">
      <alignment horizontal="left" vertical="center"/>
    </xf>
    <xf numFmtId="43" fontId="23" fillId="3" borderId="29" xfId="7" applyFont="1" applyFill="1" applyBorder="1" applyAlignment="1">
      <alignment horizontal="left" vertical="center"/>
    </xf>
    <xf numFmtId="164" fontId="23" fillId="3" borderId="29" xfId="7" applyNumberFormat="1" applyFont="1" applyFill="1" applyBorder="1" applyAlignment="1">
      <alignment horizontal="left" vertical="center"/>
    </xf>
    <xf numFmtId="4" fontId="25" fillId="3" borderId="6" xfId="7" applyNumberFormat="1" applyFont="1" applyFill="1" applyBorder="1" applyAlignment="1">
      <alignment horizontal="right" vertical="center"/>
    </xf>
    <xf numFmtId="49" fontId="23" fillId="3" borderId="6" xfId="3" quotePrefix="1" applyNumberFormat="1" applyFont="1" applyFill="1" applyBorder="1" applyAlignment="1">
      <alignment horizontal="left" vertical="center"/>
    </xf>
    <xf numFmtId="169" fontId="25" fillId="3" borderId="6" xfId="7" applyNumberFormat="1" applyFont="1" applyFill="1" applyBorder="1" applyAlignment="1">
      <alignment horizontal="right" vertical="center"/>
    </xf>
    <xf numFmtId="0" fontId="23" fillId="3" borderId="6" xfId="3" applyFont="1" applyFill="1" applyBorder="1" applyAlignment="1">
      <alignment horizontal="left" vertical="center"/>
    </xf>
    <xf numFmtId="49" fontId="25" fillId="3" borderId="29" xfId="3" quotePrefix="1" applyNumberFormat="1" applyFont="1" applyFill="1" applyBorder="1" applyAlignment="1">
      <alignment horizontal="left" vertical="center"/>
    </xf>
    <xf numFmtId="49" fontId="23" fillId="3" borderId="29" xfId="3" quotePrefix="1" applyNumberFormat="1" applyFont="1" applyFill="1" applyBorder="1" applyAlignment="1">
      <alignment horizontal="left" vertical="center"/>
    </xf>
    <xf numFmtId="4" fontId="25" fillId="4" borderId="6" xfId="2" quotePrefix="1" applyNumberFormat="1" applyFont="1" applyFill="1" applyBorder="1" applyAlignment="1">
      <alignment vertical="center"/>
    </xf>
    <xf numFmtId="164" fontId="25" fillId="4" borderId="6" xfId="2" quotePrefix="1" applyFont="1" applyFill="1" applyBorder="1" applyAlignment="1">
      <alignment horizontal="center" vertical="center"/>
    </xf>
    <xf numFmtId="4" fontId="25" fillId="4" borderId="6" xfId="2" quotePrefix="1" applyNumberFormat="1" applyFont="1" applyFill="1" applyBorder="1" applyAlignment="1">
      <alignment horizontal="right" vertical="center"/>
    </xf>
    <xf numFmtId="164" fontId="23" fillId="4" borderId="6" xfId="2" quotePrefix="1" applyFont="1" applyFill="1" applyBorder="1" applyAlignment="1">
      <alignment horizontal="center" vertical="center"/>
    </xf>
    <xf numFmtId="165" fontId="25" fillId="4" borderId="6" xfId="2" quotePrefix="1" applyNumberFormat="1" applyFont="1" applyFill="1" applyBorder="1" applyAlignment="1">
      <alignment horizontal="right" vertical="center"/>
    </xf>
    <xf numFmtId="164" fontId="25" fillId="4" borderId="6" xfId="2" applyFont="1" applyFill="1" applyBorder="1" applyAlignment="1">
      <alignment horizontal="center" vertical="center"/>
    </xf>
    <xf numFmtId="164" fontId="23" fillId="0" borderId="6" xfId="2" quotePrefix="1" applyFont="1" applyFill="1" applyBorder="1" applyAlignment="1">
      <alignment horizontal="center"/>
    </xf>
    <xf numFmtId="0" fontId="25" fillId="0" borderId="6" xfId="6" applyFont="1" applyBorder="1"/>
    <xf numFmtId="164" fontId="25" fillId="0" borderId="6" xfId="2" applyFont="1" applyFill="1" applyBorder="1" applyAlignment="1">
      <alignment vertical="center"/>
    </xf>
    <xf numFmtId="0" fontId="24" fillId="0" borderId="5" xfId="6" applyFont="1" applyBorder="1"/>
    <xf numFmtId="164" fontId="23" fillId="0" borderId="6" xfId="2" applyFont="1" applyFill="1" applyBorder="1"/>
    <xf numFmtId="164" fontId="23" fillId="0" borderId="29" xfId="2" applyFont="1" applyFill="1" applyBorder="1"/>
    <xf numFmtId="165" fontId="23" fillId="0" borderId="6" xfId="2" applyNumberFormat="1" applyFont="1" applyFill="1" applyBorder="1"/>
    <xf numFmtId="0" fontId="23" fillId="0" borderId="6" xfId="2" applyNumberFormat="1" applyFont="1" applyFill="1" applyBorder="1" applyAlignment="1">
      <alignment horizontal="center"/>
    </xf>
    <xf numFmtId="164" fontId="25" fillId="0" borderId="6" xfId="2" applyFont="1" applyFill="1" applyBorder="1"/>
    <xf numFmtId="164" fontId="23" fillId="0" borderId="31" xfId="2" applyFont="1" applyFill="1" applyBorder="1"/>
    <xf numFmtId="164" fontId="23" fillId="0" borderId="13" xfId="2" applyFont="1" applyFill="1" applyBorder="1"/>
    <xf numFmtId="164" fontId="23" fillId="0" borderId="5" xfId="2" applyFont="1" applyFill="1" applyBorder="1"/>
    <xf numFmtId="164" fontId="23" fillId="0" borderId="5" xfId="2" quotePrefix="1" applyFont="1" applyFill="1" applyBorder="1"/>
    <xf numFmtId="164" fontId="25" fillId="0" borderId="5" xfId="2" quotePrefix="1" applyFont="1" applyFill="1" applyBorder="1" applyAlignment="1">
      <alignment horizontal="center"/>
    </xf>
    <xf numFmtId="164" fontId="25" fillId="0" borderId="5" xfId="2" applyFont="1" applyFill="1" applyBorder="1" applyAlignment="1">
      <alignment horizontal="center"/>
    </xf>
    <xf numFmtId="164" fontId="25" fillId="0" borderId="12" xfId="2" applyFont="1" applyFill="1" applyBorder="1" applyAlignment="1">
      <alignment horizontal="center"/>
    </xf>
    <xf numFmtId="165" fontId="23" fillId="0" borderId="5" xfId="2" applyNumberFormat="1" applyFont="1" applyFill="1" applyBorder="1"/>
    <xf numFmtId="0" fontId="23" fillId="0" borderId="5" xfId="2" applyNumberFormat="1" applyFont="1" applyFill="1" applyBorder="1" applyAlignment="1">
      <alignment horizontal="center"/>
    </xf>
    <xf numFmtId="164" fontId="23" fillId="0" borderId="12" xfId="2" applyFont="1" applyFill="1" applyBorder="1"/>
    <xf numFmtId="164" fontId="23" fillId="0" borderId="11" xfId="2" applyFont="1" applyFill="1" applyBorder="1"/>
    <xf numFmtId="164" fontId="23" fillId="0" borderId="0" xfId="2" quotePrefix="1" applyFont="1" applyFill="1" applyBorder="1"/>
    <xf numFmtId="164" fontId="25" fillId="0" borderId="0" xfId="2" applyFont="1" applyFill="1" applyBorder="1" applyAlignment="1">
      <alignment horizontal="center"/>
    </xf>
    <xf numFmtId="0" fontId="23" fillId="0" borderId="0" xfId="2" applyNumberFormat="1" applyFont="1" applyFill="1" applyBorder="1" applyAlignment="1">
      <alignment horizontal="center"/>
    </xf>
    <xf numFmtId="164" fontId="23" fillId="0" borderId="10" xfId="2" applyFont="1" applyFill="1" applyBorder="1"/>
    <xf numFmtId="164" fontId="23" fillId="0" borderId="9" xfId="2" applyFont="1" applyFill="1" applyBorder="1"/>
    <xf numFmtId="164" fontId="23" fillId="0" borderId="8" xfId="2" applyFont="1" applyFill="1" applyBorder="1"/>
    <xf numFmtId="164" fontId="23" fillId="0" borderId="7" xfId="2" applyFont="1" applyFill="1" applyBorder="1"/>
    <xf numFmtId="164" fontId="23" fillId="0" borderId="30" xfId="2" applyFont="1" applyFill="1" applyBorder="1"/>
    <xf numFmtId="164" fontId="25" fillId="0" borderId="30" xfId="2" applyFont="1" applyFill="1" applyBorder="1"/>
    <xf numFmtId="165" fontId="23" fillId="0" borderId="8" xfId="2" applyNumberFormat="1" applyFont="1" applyFill="1" applyBorder="1"/>
    <xf numFmtId="0" fontId="23" fillId="0" borderId="8" xfId="2" applyNumberFormat="1" applyFont="1" applyFill="1" applyBorder="1" applyAlignment="1">
      <alignment horizontal="center"/>
    </xf>
    <xf numFmtId="164" fontId="25" fillId="0" borderId="7" xfId="2" applyFont="1" applyFill="1" applyBorder="1"/>
    <xf numFmtId="164" fontId="23" fillId="0" borderId="0" xfId="2" applyFont="1" applyFill="1"/>
    <xf numFmtId="164" fontId="23" fillId="0" borderId="0" xfId="2" applyFont="1" applyFill="1" applyAlignment="1"/>
    <xf numFmtId="164" fontId="25" fillId="0" borderId="0" xfId="2" applyFont="1" applyFill="1" applyAlignment="1">
      <alignment horizontal="center"/>
    </xf>
    <xf numFmtId="9" fontId="20" fillId="0" borderId="0" xfId="8" applyFont="1" applyFill="1"/>
    <xf numFmtId="164" fontId="20" fillId="0" borderId="0" xfId="2" applyFont="1" applyFill="1" applyAlignment="1">
      <alignment horizontal="right"/>
    </xf>
    <xf numFmtId="164" fontId="21" fillId="0" borderId="0" xfId="2" applyFont="1" applyFill="1" applyBorder="1" applyAlignment="1">
      <alignment horizontal="right"/>
    </xf>
    <xf numFmtId="165" fontId="21" fillId="0" borderId="0" xfId="2" applyNumberFormat="1" applyFont="1" applyFill="1" applyBorder="1" applyAlignment="1">
      <alignment horizontal="right"/>
    </xf>
    <xf numFmtId="165" fontId="20" fillId="0" borderId="0" xfId="4" applyNumberFormat="1" applyFont="1" applyAlignment="1">
      <alignment horizontal="right"/>
    </xf>
    <xf numFmtId="166" fontId="20" fillId="0" borderId="0" xfId="2" applyNumberFormat="1" applyFont="1" applyFill="1" applyBorder="1"/>
    <xf numFmtId="43" fontId="13" fillId="0" borderId="0" xfId="7" applyFont="1" applyFill="1" applyBorder="1" applyAlignment="1">
      <alignment horizontal="left" vertical="center"/>
    </xf>
    <xf numFmtId="43" fontId="23" fillId="0" borderId="0" xfId="7" applyFont="1" applyFill="1" applyBorder="1" applyAlignment="1">
      <alignment horizontal="left" vertical="center"/>
    </xf>
    <xf numFmtId="43" fontId="13" fillId="2" borderId="0" xfId="7" applyFont="1" applyFill="1" applyBorder="1" applyAlignment="1">
      <alignment horizontal="left" vertical="center"/>
    </xf>
    <xf numFmtId="9" fontId="13" fillId="0" borderId="0" xfId="8" applyFont="1" applyFill="1" applyBorder="1" applyAlignment="1">
      <alignment horizontal="right" vertical="center"/>
    </xf>
    <xf numFmtId="43" fontId="13" fillId="2" borderId="0" xfId="7" quotePrefix="1" applyFont="1" applyFill="1" applyBorder="1" applyAlignment="1">
      <alignment horizontal="left" vertical="center"/>
    </xf>
    <xf numFmtId="49" fontId="13" fillId="0" borderId="0" xfId="3" applyNumberFormat="1" applyFont="1" applyAlignment="1">
      <alignment horizontal="left" vertical="center"/>
    </xf>
    <xf numFmtId="0" fontId="13" fillId="0" borderId="0" xfId="3" quotePrefix="1" applyFont="1" applyAlignment="1">
      <alignment horizontal="center" vertical="center"/>
    </xf>
    <xf numFmtId="0" fontId="13" fillId="0" borderId="0" xfId="3" quotePrefix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43" fontId="13" fillId="0" borderId="6" xfId="7" applyFont="1" applyFill="1" applyBorder="1" applyAlignment="1">
      <alignment horizontal="left" vertical="center"/>
    </xf>
    <xf numFmtId="43" fontId="23" fillId="0" borderId="6" xfId="7" applyFont="1" applyFill="1" applyBorder="1" applyAlignment="1">
      <alignment horizontal="left" vertical="center"/>
    </xf>
    <xf numFmtId="43" fontId="13" fillId="2" borderId="6" xfId="7" applyFont="1" applyFill="1" applyBorder="1" applyAlignment="1">
      <alignment horizontal="left" vertical="center"/>
    </xf>
    <xf numFmtId="9" fontId="13" fillId="0" borderId="6" xfId="8" applyFont="1" applyFill="1" applyBorder="1" applyAlignment="1">
      <alignment horizontal="right" vertical="center"/>
    </xf>
    <xf numFmtId="43" fontId="13" fillId="2" borderId="6" xfId="7" quotePrefix="1" applyFont="1" applyFill="1" applyBorder="1" applyAlignment="1">
      <alignment horizontal="left" vertical="center"/>
    </xf>
    <xf numFmtId="49" fontId="13" fillId="0" borderId="6" xfId="3" applyNumberFormat="1" applyFont="1" applyBorder="1" applyAlignment="1">
      <alignment horizontal="left" vertical="center"/>
    </xf>
    <xf numFmtId="169" fontId="13" fillId="0" borderId="6" xfId="7" applyNumberFormat="1" applyFont="1" applyFill="1" applyBorder="1" applyAlignment="1">
      <alignment horizontal="right" vertical="center"/>
    </xf>
    <xf numFmtId="0" fontId="13" fillId="0" borderId="6" xfId="3" applyFont="1" applyBorder="1" applyAlignment="1">
      <alignment horizontal="left" vertical="center"/>
    </xf>
    <xf numFmtId="43" fontId="27" fillId="0" borderId="6" xfId="7" applyFont="1" applyFill="1" applyBorder="1" applyAlignment="1">
      <alignment horizontal="left" vertical="center"/>
    </xf>
    <xf numFmtId="9" fontId="23" fillId="0" borderId="6" xfId="8" applyFont="1" applyFill="1" applyBorder="1" applyAlignment="1">
      <alignment horizontal="left" vertical="center"/>
    </xf>
    <xf numFmtId="49" fontId="13" fillId="0" borderId="6" xfId="3" quotePrefix="1" applyNumberFormat="1" applyFont="1" applyBorder="1" applyAlignment="1">
      <alignment horizontal="left" vertical="center"/>
    </xf>
    <xf numFmtId="43" fontId="27" fillId="0" borderId="6" xfId="7" applyFont="1" applyFill="1" applyBorder="1" applyAlignment="1">
      <alignment horizontal="right" vertical="center"/>
    </xf>
    <xf numFmtId="43" fontId="13" fillId="0" borderId="29" xfId="7" applyFont="1" applyFill="1" applyBorder="1" applyAlignment="1">
      <alignment horizontal="left" vertical="center"/>
    </xf>
    <xf numFmtId="9" fontId="13" fillId="0" borderId="29" xfId="8" applyFont="1" applyFill="1" applyBorder="1" applyAlignment="1">
      <alignment horizontal="right" vertical="center"/>
    </xf>
    <xf numFmtId="43" fontId="13" fillId="2" borderId="29" xfId="7" quotePrefix="1" applyFont="1" applyFill="1" applyBorder="1" applyAlignment="1">
      <alignment horizontal="left" vertical="center"/>
    </xf>
    <xf numFmtId="9" fontId="23" fillId="0" borderId="29" xfId="8" applyFont="1" applyFill="1" applyBorder="1" applyAlignment="1">
      <alignment horizontal="left" vertical="center"/>
    </xf>
    <xf numFmtId="0" fontId="13" fillId="0" borderId="6" xfId="3" quotePrefix="1" applyFont="1" applyBorder="1" applyAlignment="1">
      <alignment horizontal="center" vertical="center"/>
    </xf>
    <xf numFmtId="0" fontId="13" fillId="0" borderId="6" xfId="3" quotePrefix="1" applyFont="1" applyBorder="1" applyAlignment="1">
      <alignment vertical="center"/>
    </xf>
    <xf numFmtId="9" fontId="23" fillId="3" borderId="29" xfId="8" applyFont="1" applyFill="1" applyBorder="1" applyAlignment="1">
      <alignment horizontal="left" vertical="center"/>
    </xf>
    <xf numFmtId="43" fontId="25" fillId="4" borderId="6" xfId="2" quotePrefix="1" applyNumberFormat="1" applyFont="1" applyFill="1" applyBorder="1" applyAlignment="1">
      <alignment horizontal="center" vertical="center"/>
    </xf>
    <xf numFmtId="43" fontId="25" fillId="4" borderId="6" xfId="7" applyFont="1" applyFill="1" applyBorder="1" applyAlignment="1">
      <alignment horizontal="left" vertical="center"/>
    </xf>
    <xf numFmtId="9" fontId="25" fillId="4" borderId="6" xfId="8" quotePrefix="1" applyFont="1" applyFill="1" applyBorder="1" applyAlignment="1">
      <alignment horizontal="center" vertical="center"/>
    </xf>
    <xf numFmtId="43" fontId="25" fillId="4" borderId="29" xfId="7" quotePrefix="1" applyFont="1" applyFill="1" applyBorder="1" applyAlignment="1">
      <alignment horizontal="left" vertical="center"/>
    </xf>
    <xf numFmtId="164" fontId="25" fillId="4" borderId="32" xfId="2" applyFont="1" applyFill="1" applyBorder="1" applyAlignment="1">
      <alignment vertical="center"/>
    </xf>
    <xf numFmtId="164" fontId="25" fillId="4" borderId="34" xfId="2" applyFont="1" applyFill="1" applyBorder="1" applyAlignment="1">
      <alignment vertical="center"/>
    </xf>
    <xf numFmtId="9" fontId="23" fillId="0" borderId="6" xfId="8" quotePrefix="1" applyFont="1" applyFill="1" applyBorder="1" applyAlignment="1">
      <alignment horizontal="center"/>
    </xf>
    <xf numFmtId="165" fontId="23" fillId="0" borderId="6" xfId="2" quotePrefix="1" applyNumberFormat="1" applyFont="1" applyFill="1" applyBorder="1" applyAlignment="1">
      <alignment horizontal="right"/>
    </xf>
    <xf numFmtId="0" fontId="23" fillId="0" borderId="6" xfId="2" quotePrefix="1" applyNumberFormat="1" applyFont="1" applyFill="1" applyBorder="1" applyAlignment="1">
      <alignment horizontal="right"/>
    </xf>
    <xf numFmtId="164" fontId="15" fillId="0" borderId="32" xfId="2" applyFont="1" applyFill="1" applyBorder="1" applyAlignment="1">
      <alignment horizontal="center" vertical="center" wrapText="1"/>
    </xf>
    <xf numFmtId="164" fontId="15" fillId="0" borderId="34" xfId="2" applyFont="1" applyFill="1" applyBorder="1" applyAlignment="1">
      <alignment horizontal="center" vertical="center" wrapText="1"/>
    </xf>
    <xf numFmtId="164" fontId="15" fillId="0" borderId="30" xfId="2" applyFont="1" applyFill="1" applyBorder="1" applyAlignment="1">
      <alignment horizontal="center" vertical="center"/>
    </xf>
    <xf numFmtId="0" fontId="29" fillId="0" borderId="5" xfId="6" applyFont="1" applyBorder="1"/>
    <xf numFmtId="9" fontId="23" fillId="0" borderId="29" xfId="8" applyFont="1" applyFill="1" applyBorder="1"/>
    <xf numFmtId="165" fontId="23" fillId="0" borderId="6" xfId="2" applyNumberFormat="1" applyFont="1" applyFill="1" applyBorder="1" applyAlignment="1">
      <alignment horizontal="right"/>
    </xf>
    <xf numFmtId="0" fontId="23" fillId="0" borderId="6" xfId="2" applyNumberFormat="1" applyFont="1" applyFill="1" applyBorder="1" applyAlignment="1">
      <alignment horizontal="right"/>
    </xf>
    <xf numFmtId="9" fontId="25" fillId="0" borderId="12" xfId="8" applyFont="1" applyFill="1" applyBorder="1" applyAlignment="1">
      <alignment horizontal="center"/>
    </xf>
    <xf numFmtId="165" fontId="23" fillId="0" borderId="5" xfId="2" applyNumberFormat="1" applyFont="1" applyFill="1" applyBorder="1" applyAlignment="1">
      <alignment horizontal="right"/>
    </xf>
    <xf numFmtId="0" fontId="23" fillId="0" borderId="5" xfId="2" applyNumberFormat="1" applyFont="1" applyFill="1" applyBorder="1" applyAlignment="1">
      <alignment horizontal="right"/>
    </xf>
    <xf numFmtId="165" fontId="23" fillId="0" borderId="0" xfId="2" applyNumberFormat="1" applyFont="1" applyFill="1" applyBorder="1" applyAlignment="1">
      <alignment horizontal="right"/>
    </xf>
    <xf numFmtId="0" fontId="23" fillId="0" borderId="0" xfId="2" applyNumberFormat="1" applyFont="1" applyFill="1" applyBorder="1" applyAlignment="1">
      <alignment horizontal="right"/>
    </xf>
    <xf numFmtId="9" fontId="23" fillId="0" borderId="7" xfId="8" applyFont="1" applyFill="1" applyBorder="1"/>
    <xf numFmtId="9" fontId="25" fillId="0" borderId="30" xfId="8" applyFont="1" applyFill="1" applyBorder="1"/>
    <xf numFmtId="165" fontId="23" fillId="0" borderId="8" xfId="2" applyNumberFormat="1" applyFont="1" applyFill="1" applyBorder="1" applyAlignment="1">
      <alignment horizontal="right"/>
    </xf>
    <xf numFmtId="0" fontId="23" fillId="0" borderId="8" xfId="2" applyNumberFormat="1" applyFont="1" applyFill="1" applyBorder="1" applyAlignment="1">
      <alignment horizontal="right"/>
    </xf>
    <xf numFmtId="164" fontId="2" fillId="0" borderId="23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1" applyFont="1"/>
    <xf numFmtId="164" fontId="0" fillId="0" borderId="0" xfId="1" applyFont="1" applyAlignment="1">
      <alignment horizontal="center" vertical="center"/>
    </xf>
    <xf numFmtId="164" fontId="0" fillId="0" borderId="23" xfId="1" applyFont="1" applyBorder="1"/>
    <xf numFmtId="164" fontId="0" fillId="0" borderId="24" xfId="1" applyFont="1" applyBorder="1"/>
    <xf numFmtId="164" fontId="0" fillId="0" borderId="25" xfId="1" applyFont="1" applyBorder="1"/>
    <xf numFmtId="164" fontId="0" fillId="0" borderId="26" xfId="1" applyFont="1" applyBorder="1"/>
    <xf numFmtId="164" fontId="0" fillId="0" borderId="27" xfId="1" applyFont="1" applyBorder="1"/>
    <xf numFmtId="164" fontId="0" fillId="0" borderId="28" xfId="1" applyFont="1" applyBorder="1"/>
    <xf numFmtId="164" fontId="30" fillId="0" borderId="0" xfId="2" applyFont="1" applyFill="1"/>
    <xf numFmtId="164" fontId="30" fillId="0" borderId="0" xfId="9" applyFont="1" applyFill="1" applyAlignment="1"/>
    <xf numFmtId="164" fontId="30" fillId="0" borderId="0" xfId="9" applyFont="1" applyFill="1"/>
    <xf numFmtId="164" fontId="31" fillId="0" borderId="7" xfId="9" applyFont="1" applyFill="1" applyBorder="1"/>
    <xf numFmtId="164" fontId="30" fillId="0" borderId="8" xfId="9" applyFont="1" applyFill="1" applyBorder="1"/>
    <xf numFmtId="165" fontId="30" fillId="0" borderId="8" xfId="9" applyNumberFormat="1" applyFont="1" applyFill="1" applyBorder="1"/>
    <xf numFmtId="164" fontId="30" fillId="0" borderId="9" xfId="9" applyFont="1" applyFill="1" applyBorder="1"/>
    <xf numFmtId="164" fontId="31" fillId="0" borderId="30" xfId="9" applyFont="1" applyFill="1" applyBorder="1"/>
    <xf numFmtId="164" fontId="30" fillId="0" borderId="30" xfId="9" applyFont="1" applyFill="1" applyBorder="1"/>
    <xf numFmtId="164" fontId="30" fillId="0" borderId="6" xfId="9" applyFont="1" applyFill="1" applyBorder="1"/>
    <xf numFmtId="164" fontId="30" fillId="0" borderId="32" xfId="2" applyFont="1" applyFill="1" applyBorder="1"/>
    <xf numFmtId="164" fontId="30" fillId="0" borderId="10" xfId="9" applyFont="1" applyFill="1" applyBorder="1"/>
    <xf numFmtId="164" fontId="30" fillId="0" borderId="0" xfId="9" applyFont="1" applyFill="1" applyBorder="1"/>
    <xf numFmtId="165" fontId="30" fillId="0" borderId="0" xfId="9" applyNumberFormat="1" applyFont="1" applyFill="1" applyBorder="1"/>
    <xf numFmtId="164" fontId="30" fillId="0" borderId="7" xfId="9" applyFont="1" applyFill="1" applyBorder="1"/>
    <xf numFmtId="164" fontId="30" fillId="0" borderId="9" xfId="2" applyFont="1" applyFill="1" applyBorder="1"/>
    <xf numFmtId="164" fontId="31" fillId="0" borderId="10" xfId="9" applyFont="1" applyFill="1" applyBorder="1" applyAlignment="1">
      <alignment horizontal="center"/>
    </xf>
    <xf numFmtId="164" fontId="30" fillId="0" borderId="0" xfId="9" quotePrefix="1" applyFont="1" applyFill="1" applyBorder="1"/>
    <xf numFmtId="164" fontId="30" fillId="0" borderId="11" xfId="9" applyFont="1" applyFill="1" applyBorder="1"/>
    <xf numFmtId="164" fontId="30" fillId="0" borderId="11" xfId="2" applyFont="1" applyFill="1" applyBorder="1"/>
    <xf numFmtId="164" fontId="30" fillId="0" borderId="12" xfId="9" applyFont="1" applyFill="1" applyBorder="1"/>
    <xf numFmtId="164" fontId="30" fillId="0" borderId="5" xfId="9" applyFont="1" applyFill="1" applyBorder="1"/>
    <xf numFmtId="165" fontId="30" fillId="0" borderId="5" xfId="9" applyNumberFormat="1" applyFont="1" applyFill="1" applyBorder="1"/>
    <xf numFmtId="164" fontId="31" fillId="0" borderId="12" xfId="9" applyFont="1" applyFill="1" applyBorder="1" applyAlignment="1">
      <alignment horizontal="center"/>
    </xf>
    <xf numFmtId="164" fontId="30" fillId="0" borderId="5" xfId="9" quotePrefix="1" applyFont="1" applyFill="1" applyBorder="1"/>
    <xf numFmtId="164" fontId="31" fillId="0" borderId="5" xfId="9" quotePrefix="1" applyFont="1" applyFill="1" applyBorder="1" applyAlignment="1">
      <alignment horizontal="center"/>
    </xf>
    <xf numFmtId="164" fontId="30" fillId="0" borderId="13" xfId="9" applyFont="1" applyFill="1" applyBorder="1"/>
    <xf numFmtId="164" fontId="30" fillId="0" borderId="13" xfId="2" applyFont="1" applyFill="1" applyBorder="1"/>
    <xf numFmtId="164" fontId="31" fillId="0" borderId="6" xfId="9" applyFont="1" applyFill="1" applyBorder="1"/>
    <xf numFmtId="165" fontId="30" fillId="0" borderId="6" xfId="9" applyNumberFormat="1" applyFont="1" applyFill="1" applyBorder="1"/>
    <xf numFmtId="164" fontId="30" fillId="0" borderId="29" xfId="9" applyFont="1" applyFill="1" applyBorder="1"/>
    <xf numFmtId="164" fontId="30" fillId="0" borderId="6" xfId="9" quotePrefix="1" applyFont="1" applyFill="1" applyBorder="1" applyAlignment="1">
      <alignment horizontal="center"/>
    </xf>
    <xf numFmtId="165" fontId="30" fillId="0" borderId="6" xfId="9" quotePrefix="1" applyNumberFormat="1" applyFont="1" applyFill="1" applyBorder="1" applyAlignment="1">
      <alignment horizontal="center"/>
    </xf>
    <xf numFmtId="164" fontId="30" fillId="4" borderId="6" xfId="9" quotePrefix="1" applyFont="1" applyFill="1" applyBorder="1" applyAlignment="1">
      <alignment horizontal="center"/>
    </xf>
    <xf numFmtId="164" fontId="31" fillId="4" borderId="6" xfId="9" applyFont="1" applyFill="1" applyBorder="1" applyAlignment="1">
      <alignment horizontal="center"/>
    </xf>
    <xf numFmtId="165" fontId="31" fillId="4" borderId="6" xfId="9" quotePrefix="1" applyNumberFormat="1" applyFont="1" applyFill="1" applyBorder="1" applyAlignment="1">
      <alignment horizontal="center"/>
    </xf>
    <xf numFmtId="164" fontId="31" fillId="4" borderId="6" xfId="9" quotePrefix="1" applyFont="1" applyFill="1" applyBorder="1" applyAlignment="1">
      <alignment horizontal="center"/>
    </xf>
    <xf numFmtId="164" fontId="35" fillId="5" borderId="6" xfId="9" quotePrefix="1" applyFont="1" applyFill="1" applyBorder="1" applyAlignment="1">
      <alignment horizontal="center"/>
    </xf>
    <xf numFmtId="164" fontId="31" fillId="5" borderId="6" xfId="9" applyFont="1" applyFill="1" applyBorder="1" applyAlignment="1">
      <alignment horizontal="left"/>
    </xf>
    <xf numFmtId="165" fontId="31" fillId="5" borderId="6" xfId="9" applyNumberFormat="1" applyFont="1" applyFill="1" applyBorder="1"/>
    <xf numFmtId="164" fontId="30" fillId="5" borderId="6" xfId="9" applyFont="1" applyFill="1" applyBorder="1" applyAlignment="1">
      <alignment horizontal="left"/>
    </xf>
    <xf numFmtId="164" fontId="31" fillId="5" borderId="6" xfId="9" applyFont="1" applyFill="1" applyBorder="1"/>
    <xf numFmtId="164" fontId="31" fillId="5" borderId="6" xfId="9" quotePrefix="1" applyFont="1" applyFill="1" applyBorder="1" applyAlignment="1">
      <alignment horizontal="center"/>
    </xf>
    <xf numFmtId="164" fontId="36" fillId="6" borderId="6" xfId="9" quotePrefix="1" applyFont="1" applyFill="1" applyBorder="1" applyAlignment="1">
      <alignment horizontal="center"/>
    </xf>
    <xf numFmtId="164" fontId="31" fillId="6" borderId="6" xfId="9" applyFont="1" applyFill="1" applyBorder="1" applyAlignment="1">
      <alignment horizontal="left"/>
    </xf>
    <xf numFmtId="165" fontId="31" fillId="6" borderId="6" xfId="9" applyNumberFormat="1" applyFont="1" applyFill="1" applyBorder="1"/>
    <xf numFmtId="164" fontId="31" fillId="6" borderId="29" xfId="9" applyFont="1" applyFill="1" applyBorder="1" applyAlignment="1">
      <alignment horizontal="left"/>
    </xf>
    <xf numFmtId="164" fontId="31" fillId="6" borderId="6" xfId="9" applyFont="1" applyFill="1" applyBorder="1"/>
    <xf numFmtId="164" fontId="31" fillId="6" borderId="29" xfId="9" quotePrefix="1" applyFont="1" applyFill="1" applyBorder="1" applyAlignment="1">
      <alignment horizontal="center"/>
    </xf>
    <xf numFmtId="43" fontId="31" fillId="5" borderId="32" xfId="7" quotePrefix="1" applyFont="1" applyFill="1" applyBorder="1" applyAlignment="1">
      <alignment horizontal="right"/>
    </xf>
    <xf numFmtId="43" fontId="30" fillId="0" borderId="0" xfId="7" applyFont="1" applyFill="1"/>
    <xf numFmtId="0" fontId="30" fillId="0" borderId="29" xfId="6" applyFont="1" applyBorder="1" applyAlignment="1">
      <alignment horizontal="left"/>
    </xf>
    <xf numFmtId="164" fontId="30" fillId="0" borderId="6" xfId="9" applyFont="1" applyFill="1" applyBorder="1" applyAlignment="1">
      <alignment horizontal="left"/>
    </xf>
    <xf numFmtId="170" fontId="31" fillId="0" borderId="6" xfId="9" applyNumberFormat="1" applyFont="1" applyFill="1" applyBorder="1"/>
    <xf numFmtId="0" fontId="30" fillId="0" borderId="29" xfId="6" applyFont="1" applyBorder="1"/>
    <xf numFmtId="164" fontId="34" fillId="2" borderId="29" xfId="9" applyFont="1" applyFill="1" applyBorder="1" applyAlignment="1"/>
    <xf numFmtId="164" fontId="30" fillId="2" borderId="29" xfId="9" applyFont="1" applyFill="1" applyBorder="1" applyAlignment="1">
      <alignment horizontal="center" vertical="center"/>
    </xf>
    <xf numFmtId="2" fontId="30" fillId="2" borderId="29" xfId="10" quotePrefix="1" applyNumberFormat="1" applyFont="1" applyFill="1" applyBorder="1" applyAlignment="1">
      <alignment horizontal="center" vertical="center"/>
    </xf>
    <xf numFmtId="164" fontId="30" fillId="0" borderId="6" xfId="5" applyFont="1" applyFill="1" applyBorder="1" applyAlignment="1">
      <alignment horizontal="center" vertical="center"/>
    </xf>
    <xf numFmtId="2" fontId="30" fillId="0" borderId="29" xfId="10" applyNumberFormat="1" applyFont="1" applyBorder="1" applyAlignment="1">
      <alignment horizontal="right" vertical="center"/>
    </xf>
    <xf numFmtId="164" fontId="30" fillId="0" borderId="29" xfId="9" quotePrefix="1" applyFont="1" applyFill="1" applyBorder="1" applyAlignment="1">
      <alignment horizontal="right" vertical="center"/>
    </xf>
    <xf numFmtId="164" fontId="30" fillId="7" borderId="0" xfId="2" applyFont="1" applyFill="1"/>
    <xf numFmtId="164" fontId="31" fillId="6" borderId="6" xfId="9" quotePrefix="1" applyFont="1" applyFill="1" applyBorder="1" applyAlignment="1">
      <alignment horizontal="center"/>
    </xf>
    <xf numFmtId="170" fontId="31" fillId="6" borderId="6" xfId="9" applyNumberFormat="1" applyFont="1" applyFill="1" applyBorder="1"/>
    <xf numFmtId="0" fontId="31" fillId="6" borderId="29" xfId="6" applyFont="1" applyFill="1" applyBorder="1"/>
    <xf numFmtId="164" fontId="31" fillId="6" borderId="29" xfId="9" applyFont="1" applyFill="1" applyBorder="1" applyAlignment="1">
      <alignment horizontal="center" vertical="center"/>
    </xf>
    <xf numFmtId="2" fontId="31" fillId="6" borderId="29" xfId="10" quotePrefix="1" applyNumberFormat="1" applyFont="1" applyFill="1" applyBorder="1" applyAlignment="1">
      <alignment horizontal="center" vertical="center"/>
    </xf>
    <xf numFmtId="164" fontId="31" fillId="6" borderId="6" xfId="5" applyFont="1" applyFill="1" applyBorder="1" applyAlignment="1">
      <alignment horizontal="center" vertical="center"/>
    </xf>
    <xf numFmtId="164" fontId="35" fillId="6" borderId="6" xfId="9" quotePrefix="1" applyFont="1" applyFill="1" applyBorder="1" applyAlignment="1">
      <alignment horizontal="center"/>
    </xf>
    <xf numFmtId="164" fontId="30" fillId="6" borderId="29" xfId="9" applyFont="1" applyFill="1" applyBorder="1" applyAlignment="1">
      <alignment horizontal="left"/>
    </xf>
    <xf numFmtId="164" fontId="35" fillId="0" borderId="6" xfId="9" quotePrefix="1" applyFont="1" applyFill="1" applyBorder="1" applyAlignment="1">
      <alignment horizontal="center"/>
    </xf>
    <xf numFmtId="165" fontId="30" fillId="6" borderId="6" xfId="9" applyNumberFormat="1" applyFont="1" applyFill="1" applyBorder="1"/>
    <xf numFmtId="164" fontId="30" fillId="6" borderId="6" xfId="9" applyFont="1" applyFill="1" applyBorder="1" applyAlignment="1">
      <alignment horizontal="left"/>
    </xf>
    <xf numFmtId="164" fontId="31" fillId="0" borderId="6" xfId="9" applyFont="1" applyFill="1" applyBorder="1" applyAlignment="1">
      <alignment horizontal="left"/>
    </xf>
    <xf numFmtId="2" fontId="30" fillId="0" borderId="29" xfId="10" quotePrefix="1" applyNumberFormat="1" applyFont="1" applyBorder="1" applyAlignment="1">
      <alignment horizontal="right" vertical="center"/>
    </xf>
    <xf numFmtId="0" fontId="30" fillId="0" borderId="6" xfId="6" applyFont="1" applyBorder="1"/>
    <xf numFmtId="165" fontId="31" fillId="0" borderId="6" xfId="9" applyNumberFormat="1" applyFont="1" applyFill="1" applyBorder="1"/>
    <xf numFmtId="164" fontId="34" fillId="2" borderId="6" xfId="9" applyFont="1" applyFill="1" applyBorder="1" applyAlignment="1"/>
    <xf numFmtId="164" fontId="35" fillId="7" borderId="6" xfId="9" quotePrefix="1" applyFont="1" applyFill="1" applyBorder="1" applyAlignment="1">
      <alignment horizontal="center"/>
    </xf>
    <xf numFmtId="0" fontId="30" fillId="7" borderId="29" xfId="6" applyFont="1" applyFill="1" applyBorder="1" applyAlignment="1">
      <alignment horizontal="left"/>
    </xf>
    <xf numFmtId="165" fontId="30" fillId="7" borderId="6" xfId="9" applyNumberFormat="1" applyFont="1" applyFill="1" applyBorder="1"/>
    <xf numFmtId="165" fontId="31" fillId="7" borderId="6" xfId="9" applyNumberFormat="1" applyFont="1" applyFill="1" applyBorder="1"/>
    <xf numFmtId="0" fontId="30" fillId="7" borderId="6" xfId="6" applyFont="1" applyFill="1" applyBorder="1"/>
    <xf numFmtId="164" fontId="30" fillId="7" borderId="6" xfId="9" applyFont="1" applyFill="1" applyBorder="1"/>
    <xf numFmtId="164" fontId="34" fillId="7" borderId="6" xfId="9" applyFont="1" applyFill="1" applyBorder="1" applyAlignment="1"/>
    <xf numFmtId="164" fontId="30" fillId="7" borderId="29" xfId="9" applyFont="1" applyFill="1" applyBorder="1" applyAlignment="1">
      <alignment horizontal="center" vertical="center"/>
    </xf>
    <xf numFmtId="2" fontId="30" fillId="7" borderId="29" xfId="10" quotePrefix="1" applyNumberFormat="1" applyFont="1" applyFill="1" applyBorder="1" applyAlignment="1">
      <alignment horizontal="center" vertical="center"/>
    </xf>
    <xf numFmtId="164" fontId="30" fillId="7" borderId="6" xfId="5" applyFont="1" applyFill="1" applyBorder="1" applyAlignment="1">
      <alignment horizontal="center" vertical="center"/>
    </xf>
    <xf numFmtId="2" fontId="30" fillId="7" borderId="29" xfId="10" applyNumberFormat="1" applyFont="1" applyFill="1" applyBorder="1" applyAlignment="1">
      <alignment horizontal="right" vertical="center"/>
    </xf>
    <xf numFmtId="164" fontId="30" fillId="7" borderId="29" xfId="9" quotePrefix="1" applyFont="1" applyFill="1" applyBorder="1" applyAlignment="1">
      <alignment horizontal="right" vertical="center"/>
    </xf>
    <xf numFmtId="164" fontId="31" fillId="7" borderId="6" xfId="9" applyFont="1" applyFill="1" applyBorder="1" applyAlignment="1">
      <alignment horizontal="left"/>
    </xf>
    <xf numFmtId="0" fontId="30" fillId="7" borderId="29" xfId="6" applyFont="1" applyFill="1" applyBorder="1"/>
    <xf numFmtId="164" fontId="35" fillId="7" borderId="6" xfId="9" quotePrefix="1" applyFont="1" applyFill="1" applyBorder="1" applyAlignment="1">
      <alignment horizontal="center" vertical="center"/>
    </xf>
    <xf numFmtId="0" fontId="30" fillId="7" borderId="29" xfId="6" applyFont="1" applyFill="1" applyBorder="1" applyAlignment="1">
      <alignment horizontal="left" vertical="center"/>
    </xf>
    <xf numFmtId="164" fontId="31" fillId="7" borderId="6" xfId="9" applyFont="1" applyFill="1" applyBorder="1" applyAlignment="1">
      <alignment horizontal="left" vertical="center"/>
    </xf>
    <xf numFmtId="165" fontId="30" fillId="7" borderId="6" xfId="9" applyNumberFormat="1" applyFont="1" applyFill="1" applyBorder="1" applyAlignment="1">
      <alignment vertical="center"/>
    </xf>
    <xf numFmtId="165" fontId="31" fillId="7" borderId="6" xfId="9" applyNumberFormat="1" applyFont="1" applyFill="1" applyBorder="1" applyAlignment="1">
      <alignment vertical="center"/>
    </xf>
    <xf numFmtId="0" fontId="30" fillId="7" borderId="29" xfId="6" applyFont="1" applyFill="1" applyBorder="1" applyAlignment="1">
      <alignment vertical="center" wrapText="1"/>
    </xf>
    <xf numFmtId="164" fontId="34" fillId="7" borderId="6" xfId="9" applyFont="1" applyFill="1" applyBorder="1" applyAlignment="1">
      <alignment vertical="center"/>
    </xf>
    <xf numFmtId="164" fontId="30" fillId="7" borderId="6" xfId="9" applyFont="1" applyFill="1" applyBorder="1" applyAlignment="1">
      <alignment vertical="center"/>
    </xf>
    <xf numFmtId="164" fontId="30" fillId="0" borderId="6" xfId="9" applyFont="1" applyFill="1" applyBorder="1" applyAlignment="1">
      <alignment vertical="center"/>
    </xf>
    <xf numFmtId="164" fontId="31" fillId="0" borderId="0" xfId="9" quotePrefix="1" applyFont="1" applyFill="1" applyBorder="1" applyAlignment="1">
      <alignment horizontal="left"/>
    </xf>
    <xf numFmtId="0" fontId="30" fillId="0" borderId="0" xfId="4" applyFont="1"/>
    <xf numFmtId="165" fontId="30" fillId="0" borderId="0" xfId="4" applyNumberFormat="1" applyFont="1"/>
    <xf numFmtId="164" fontId="31" fillId="0" borderId="0" xfId="9" applyFont="1" applyFill="1" applyBorder="1"/>
    <xf numFmtId="165" fontId="31" fillId="0" borderId="0" xfId="9" applyNumberFormat="1" applyFont="1" applyFill="1" applyBorder="1"/>
    <xf numFmtId="165" fontId="31" fillId="0" borderId="0" xfId="9" applyNumberFormat="1" applyFont="1" applyBorder="1"/>
    <xf numFmtId="164" fontId="31" fillId="0" borderId="0" xfId="9" applyFont="1" applyBorder="1" applyAlignment="1">
      <alignment wrapText="1"/>
    </xf>
    <xf numFmtId="165" fontId="38" fillId="0" borderId="0" xfId="9" applyNumberFormat="1" applyFont="1" applyBorder="1" applyAlignment="1">
      <alignment horizontal="center"/>
    </xf>
    <xf numFmtId="164" fontId="38" fillId="0" borderId="0" xfId="9" applyFont="1" applyBorder="1" applyAlignment="1"/>
    <xf numFmtId="164" fontId="31" fillId="0" borderId="0" xfId="2" applyFont="1" applyFill="1"/>
    <xf numFmtId="165" fontId="31" fillId="0" borderId="0" xfId="2" applyNumberFormat="1" applyFont="1" applyFill="1" applyAlignment="1">
      <alignment horizontal="center"/>
    </xf>
    <xf numFmtId="165" fontId="31" fillId="0" borderId="0" xfId="2" applyNumberFormat="1" applyFont="1" applyFill="1" applyAlignment="1">
      <alignment horizontal="left"/>
    </xf>
    <xf numFmtId="164" fontId="31" fillId="0" borderId="0" xfId="2" applyFont="1" applyFill="1" applyAlignment="1">
      <alignment horizontal="center"/>
    </xf>
    <xf numFmtId="165" fontId="30" fillId="0" borderId="0" xfId="2" applyNumberFormat="1" applyFont="1" applyFill="1" applyAlignment="1">
      <alignment horizontal="center"/>
    </xf>
    <xf numFmtId="165" fontId="30" fillId="0" borderId="0" xfId="2" applyNumberFormat="1" applyFont="1" applyFill="1" applyAlignment="1">
      <alignment horizontal="left"/>
    </xf>
    <xf numFmtId="164" fontId="30" fillId="0" borderId="0" xfId="2" applyFont="1" applyFill="1" applyAlignment="1">
      <alignment horizontal="center"/>
    </xf>
    <xf numFmtId="165" fontId="30" fillId="0" borderId="0" xfId="2" applyNumberFormat="1" applyFont="1" applyFill="1"/>
    <xf numFmtId="164" fontId="30" fillId="7" borderId="0" xfId="9" applyFont="1" applyFill="1"/>
    <xf numFmtId="0" fontId="30" fillId="0" borderId="6" xfId="4" applyFont="1" applyBorder="1"/>
    <xf numFmtId="165" fontId="30" fillId="0" borderId="6" xfId="4" applyNumberFormat="1" applyFont="1" applyBorder="1"/>
    <xf numFmtId="0" fontId="31" fillId="0" borderId="6" xfId="4" applyFont="1" applyBorder="1"/>
    <xf numFmtId="164" fontId="30" fillId="0" borderId="6" xfId="4" applyNumberFormat="1" applyFont="1" applyBorder="1"/>
    <xf numFmtId="2" fontId="30" fillId="0" borderId="6" xfId="4" applyNumberFormat="1" applyFont="1" applyBorder="1"/>
    <xf numFmtId="164" fontId="30" fillId="14" borderId="0" xfId="9" applyFont="1" applyFill="1"/>
    <xf numFmtId="0" fontId="30" fillId="14" borderId="6" xfId="4" applyFont="1" applyFill="1" applyBorder="1"/>
    <xf numFmtId="165" fontId="30" fillId="14" borderId="6" xfId="4" applyNumberFormat="1" applyFont="1" applyFill="1" applyBorder="1"/>
    <xf numFmtId="0" fontId="30" fillId="14" borderId="6" xfId="6" applyFont="1" applyFill="1" applyBorder="1"/>
    <xf numFmtId="164" fontId="34" fillId="14" borderId="6" xfId="1" applyFont="1" applyFill="1" applyBorder="1" applyAlignment="1">
      <alignment horizontal="center"/>
    </xf>
    <xf numFmtId="164" fontId="30" fillId="0" borderId="0" xfId="1" applyFont="1" applyFill="1"/>
    <xf numFmtId="164" fontId="34" fillId="0" borderId="0" xfId="1" applyFont="1" applyFill="1" applyBorder="1" applyAlignment="1"/>
    <xf numFmtId="164" fontId="34" fillId="0" borderId="0" xfId="1" applyFont="1" applyFill="1" applyBorder="1"/>
    <xf numFmtId="164" fontId="39" fillId="0" borderId="7" xfId="1" applyFont="1" applyFill="1" applyBorder="1"/>
    <xf numFmtId="164" fontId="34" fillId="0" borderId="8" xfId="1" applyFont="1" applyFill="1" applyBorder="1"/>
    <xf numFmtId="164" fontId="34" fillId="0" borderId="8" xfId="1" applyFont="1" applyFill="1" applyBorder="1" applyAlignment="1">
      <alignment horizontal="center"/>
    </xf>
    <xf numFmtId="164" fontId="34" fillId="0" borderId="9" xfId="1" applyFont="1" applyFill="1" applyBorder="1"/>
    <xf numFmtId="164" fontId="39" fillId="0" borderId="30" xfId="1" applyFont="1" applyFill="1" applyBorder="1"/>
    <xf numFmtId="164" fontId="34" fillId="0" borderId="30" xfId="1" applyFont="1" applyFill="1" applyBorder="1"/>
    <xf numFmtId="164" fontId="34" fillId="0" borderId="6" xfId="1" applyFont="1" applyFill="1" applyBorder="1"/>
    <xf numFmtId="164" fontId="30" fillId="0" borderId="32" xfId="1" applyFont="1" applyFill="1" applyBorder="1"/>
    <xf numFmtId="164" fontId="34" fillId="0" borderId="10" xfId="1" applyFont="1" applyFill="1" applyBorder="1"/>
    <xf numFmtId="164" fontId="34" fillId="0" borderId="7" xfId="1" applyFont="1" applyFill="1" applyBorder="1"/>
    <xf numFmtId="164" fontId="30" fillId="0" borderId="9" xfId="1" applyFont="1" applyFill="1" applyBorder="1"/>
    <xf numFmtId="164" fontId="39" fillId="0" borderId="10" xfId="1" applyFont="1" applyFill="1" applyBorder="1" applyAlignment="1">
      <alignment horizontal="center"/>
    </xf>
    <xf numFmtId="164" fontId="34" fillId="0" borderId="0" xfId="1" quotePrefix="1" applyFont="1" applyFill="1" applyBorder="1"/>
    <xf numFmtId="164" fontId="34" fillId="0" borderId="11" xfId="1" applyFont="1" applyFill="1" applyBorder="1"/>
    <xf numFmtId="164" fontId="30" fillId="0" borderId="11" xfId="1" applyFont="1" applyFill="1" applyBorder="1"/>
    <xf numFmtId="164" fontId="34" fillId="0" borderId="12" xfId="1" applyFont="1" applyFill="1" applyBorder="1"/>
    <xf numFmtId="164" fontId="34" fillId="0" borderId="5" xfId="1" applyFont="1" applyFill="1" applyBorder="1"/>
    <xf numFmtId="164" fontId="34" fillId="0" borderId="5" xfId="1" applyFont="1" applyFill="1" applyBorder="1" applyAlignment="1">
      <alignment horizontal="center"/>
    </xf>
    <xf numFmtId="164" fontId="39" fillId="0" borderId="12" xfId="1" applyFont="1" applyFill="1" applyBorder="1" applyAlignment="1">
      <alignment horizontal="center"/>
    </xf>
    <xf numFmtId="164" fontId="34" fillId="0" borderId="5" xfId="1" quotePrefix="1" applyFont="1" applyFill="1" applyBorder="1"/>
    <xf numFmtId="164" fontId="39" fillId="0" borderId="5" xfId="1" quotePrefix="1" applyFont="1" applyFill="1" applyBorder="1" applyAlignment="1">
      <alignment horizontal="center"/>
    </xf>
    <xf numFmtId="164" fontId="34" fillId="0" borderId="13" xfId="1" applyFont="1" applyFill="1" applyBorder="1"/>
    <xf numFmtId="164" fontId="30" fillId="0" borderId="13" xfId="1" applyFont="1" applyFill="1" applyBorder="1"/>
    <xf numFmtId="164" fontId="39" fillId="0" borderId="6" xfId="1" applyFont="1" applyFill="1" applyBorder="1"/>
    <xf numFmtId="164" fontId="34" fillId="0" borderId="6" xfId="1" applyFont="1" applyFill="1" applyBorder="1" applyAlignment="1">
      <alignment horizontal="center"/>
    </xf>
    <xf numFmtId="164" fontId="34" fillId="0" borderId="29" xfId="1" applyFont="1" applyFill="1" applyBorder="1"/>
    <xf numFmtId="164" fontId="39" fillId="0" borderId="30" xfId="1" applyFont="1" applyFill="1" applyBorder="1" applyAlignment="1">
      <alignment horizontal="center" vertical="center"/>
    </xf>
    <xf numFmtId="164" fontId="39" fillId="0" borderId="30" xfId="1" applyFont="1" applyFill="1" applyBorder="1" applyAlignment="1">
      <alignment horizontal="center" vertical="center" wrapText="1"/>
    </xf>
    <xf numFmtId="164" fontId="34" fillId="0" borderId="6" xfId="1" quotePrefix="1" applyFont="1" applyFill="1" applyBorder="1" applyAlignment="1">
      <alignment horizontal="center"/>
    </xf>
    <xf numFmtId="164" fontId="34" fillId="8" borderId="6" xfId="1" quotePrefix="1" applyFont="1" applyFill="1" applyBorder="1" applyAlignment="1">
      <alignment horizontal="center"/>
    </xf>
    <xf numFmtId="164" fontId="39" fillId="8" borderId="6" xfId="1" applyFont="1" applyFill="1" applyBorder="1" applyAlignment="1">
      <alignment horizontal="center"/>
    </xf>
    <xf numFmtId="164" fontId="39" fillId="8" borderId="6" xfId="1" quotePrefix="1" applyFont="1" applyFill="1" applyBorder="1" applyAlignment="1">
      <alignment horizontal="center"/>
    </xf>
    <xf numFmtId="164" fontId="39" fillId="4" borderId="6" xfId="1" quotePrefix="1" applyFont="1" applyFill="1" applyBorder="1" applyAlignment="1">
      <alignment horizontal="center"/>
    </xf>
    <xf numFmtId="164" fontId="34" fillId="9" borderId="6" xfId="1" quotePrefix="1" applyFont="1" applyFill="1" applyBorder="1" applyAlignment="1">
      <alignment horizontal="center"/>
    </xf>
    <xf numFmtId="164" fontId="39" fillId="9" borderId="6" xfId="1" applyFont="1" applyFill="1" applyBorder="1" applyAlignment="1">
      <alignment horizontal="left"/>
    </xf>
    <xf numFmtId="164" fontId="39" fillId="9" borderId="6" xfId="1" applyFont="1" applyFill="1" applyBorder="1"/>
    <xf numFmtId="164" fontId="34" fillId="9" borderId="6" xfId="1" applyFont="1" applyFill="1" applyBorder="1" applyAlignment="1">
      <alignment horizontal="left"/>
    </xf>
    <xf numFmtId="164" fontId="39" fillId="5" borderId="6" xfId="1" applyFont="1" applyFill="1" applyBorder="1"/>
    <xf numFmtId="164" fontId="39" fillId="9" borderId="6" xfId="1" quotePrefix="1" applyFont="1" applyFill="1" applyBorder="1" applyAlignment="1">
      <alignment horizontal="center"/>
    </xf>
    <xf numFmtId="164" fontId="30" fillId="0" borderId="0" xfId="1" applyFont="1" applyFill="1" applyBorder="1"/>
    <xf numFmtId="164" fontId="34" fillId="10" borderId="6" xfId="1" quotePrefix="1" applyFont="1" applyFill="1" applyBorder="1" applyAlignment="1">
      <alignment horizontal="center"/>
    </xf>
    <xf numFmtId="164" fontId="39" fillId="10" borderId="6" xfId="1" applyFont="1" applyFill="1" applyBorder="1" applyAlignment="1">
      <alignment horizontal="left"/>
    </xf>
    <xf numFmtId="164" fontId="39" fillId="10" borderId="6" xfId="1" applyFont="1" applyFill="1" applyBorder="1"/>
    <xf numFmtId="164" fontId="34" fillId="10" borderId="29" xfId="1" applyFont="1" applyFill="1" applyBorder="1" applyAlignment="1">
      <alignment horizontal="left"/>
    </xf>
    <xf numFmtId="164" fontId="39" fillId="6" borderId="6" xfId="1" applyFont="1" applyFill="1" applyBorder="1"/>
    <xf numFmtId="164" fontId="39" fillId="10" borderId="6" xfId="1" quotePrefix="1" applyFont="1" applyFill="1" applyBorder="1" applyAlignment="1">
      <alignment horizontal="center"/>
    </xf>
    <xf numFmtId="164" fontId="39" fillId="10" borderId="29" xfId="1" applyFont="1" applyFill="1" applyBorder="1"/>
    <xf numFmtId="164" fontId="34" fillId="0" borderId="6" xfId="1" applyFont="1" applyBorder="1" applyAlignment="1">
      <alignment horizontal="left"/>
    </xf>
    <xf numFmtId="164" fontId="39" fillId="0" borderId="6" xfId="1" applyFont="1" applyFill="1" applyBorder="1" applyAlignment="1">
      <alignment horizontal="left"/>
    </xf>
    <xf numFmtId="164" fontId="34" fillId="0" borderId="29" xfId="1" applyFont="1" applyBorder="1"/>
    <xf numFmtId="164" fontId="34" fillId="0" borderId="6" xfId="1" applyFont="1" applyFill="1" applyBorder="1" applyAlignment="1"/>
    <xf numFmtId="164" fontId="34" fillId="11" borderId="29" xfId="1" applyFont="1" applyFill="1" applyBorder="1" applyAlignment="1">
      <alignment horizontal="center" vertical="center"/>
    </xf>
    <xf numFmtId="164" fontId="34" fillId="11" borderId="29" xfId="1" quotePrefix="1" applyFont="1" applyFill="1" applyBorder="1" applyAlignment="1">
      <alignment horizontal="center" vertical="center"/>
    </xf>
    <xf numFmtId="164" fontId="34" fillId="0" borderId="6" xfId="1" applyFont="1" applyFill="1" applyBorder="1" applyAlignment="1">
      <alignment horizontal="center" vertical="center"/>
    </xf>
    <xf numFmtId="164" fontId="34" fillId="0" borderId="29" xfId="1" applyFont="1" applyBorder="1" applyAlignment="1">
      <alignment horizontal="right" vertical="center"/>
    </xf>
    <xf numFmtId="164" fontId="34" fillId="0" borderId="29" xfId="1" quotePrefix="1" applyFont="1" applyFill="1" applyBorder="1" applyAlignment="1">
      <alignment horizontal="right" vertical="center"/>
    </xf>
    <xf numFmtId="164" fontId="34" fillId="0" borderId="29" xfId="1" applyFont="1" applyBorder="1" applyAlignment="1">
      <alignment horizontal="left"/>
    </xf>
    <xf numFmtId="164" fontId="34" fillId="0" borderId="6" xfId="1" applyFont="1" applyBorder="1"/>
    <xf numFmtId="164" fontId="34" fillId="0" borderId="29" xfId="1" applyFont="1" applyFill="1" applyBorder="1" applyAlignment="1"/>
    <xf numFmtId="164" fontId="34" fillId="11" borderId="29" xfId="1" applyFont="1" applyFill="1" applyBorder="1" applyAlignment="1"/>
    <xf numFmtId="164" fontId="34" fillId="0" borderId="29" xfId="1" quotePrefix="1" applyFont="1" applyBorder="1" applyAlignment="1">
      <alignment horizontal="right" vertical="center"/>
    </xf>
    <xf numFmtId="164" fontId="34" fillId="7" borderId="6" xfId="1" quotePrefix="1" applyFont="1" applyFill="1" applyBorder="1" applyAlignment="1">
      <alignment horizontal="center"/>
    </xf>
    <xf numFmtId="164" fontId="39" fillId="7" borderId="6" xfId="1" applyFont="1" applyFill="1" applyBorder="1" applyAlignment="1">
      <alignment horizontal="left"/>
    </xf>
    <xf numFmtId="164" fontId="39" fillId="7" borderId="6" xfId="1" applyFont="1" applyFill="1" applyBorder="1"/>
    <xf numFmtId="164" fontId="34" fillId="7" borderId="6" xfId="1" applyFont="1" applyFill="1" applyBorder="1" applyAlignment="1">
      <alignment horizontal="left"/>
    </xf>
    <xf numFmtId="164" fontId="39" fillId="7" borderId="6" xfId="1" quotePrefix="1" applyFont="1" applyFill="1" applyBorder="1" applyAlignment="1">
      <alignment horizontal="center"/>
    </xf>
    <xf numFmtId="164" fontId="34" fillId="7" borderId="6" xfId="1" applyFont="1" applyFill="1" applyBorder="1"/>
    <xf numFmtId="164" fontId="34" fillId="14" borderId="6" xfId="1" quotePrefix="1" applyFont="1" applyFill="1" applyBorder="1" applyAlignment="1">
      <alignment horizontal="center"/>
    </xf>
    <xf numFmtId="164" fontId="34" fillId="14" borderId="6" xfId="1" applyFont="1" applyFill="1" applyBorder="1" applyAlignment="1">
      <alignment horizontal="left"/>
    </xf>
    <xf numFmtId="164" fontId="39" fillId="14" borderId="6" xfId="1" applyFont="1" applyFill="1" applyBorder="1" applyAlignment="1">
      <alignment horizontal="left"/>
    </xf>
    <xf numFmtId="164" fontId="39" fillId="14" borderId="6" xfId="1" applyFont="1" applyFill="1" applyBorder="1"/>
    <xf numFmtId="164" fontId="34" fillId="14" borderId="6" xfId="1" applyFont="1" applyFill="1" applyBorder="1"/>
    <xf numFmtId="164" fontId="30" fillId="14" borderId="0" xfId="1" applyFont="1" applyFill="1"/>
    <xf numFmtId="164" fontId="30" fillId="7" borderId="0" xfId="1" applyFont="1" applyFill="1"/>
    <xf numFmtId="164" fontId="34" fillId="7" borderId="29" xfId="1" applyFont="1" applyFill="1" applyBorder="1"/>
    <xf numFmtId="164" fontId="34" fillId="7" borderId="6" xfId="1" applyFont="1" applyFill="1" applyBorder="1" applyAlignment="1"/>
    <xf numFmtId="164" fontId="34" fillId="7" borderId="6" xfId="1" quotePrefix="1" applyFont="1" applyFill="1" applyBorder="1" applyAlignment="1">
      <alignment horizontal="center" vertical="center"/>
    </xf>
    <xf numFmtId="164" fontId="34" fillId="7" borderId="6" xfId="1" applyFont="1" applyFill="1" applyBorder="1" applyAlignment="1">
      <alignment horizontal="center" vertical="center"/>
    </xf>
    <xf numFmtId="164" fontId="34" fillId="7" borderId="0" xfId="1" applyFont="1" applyFill="1"/>
    <xf numFmtId="164" fontId="34" fillId="15" borderId="6" xfId="1" quotePrefix="1" applyFont="1" applyFill="1" applyBorder="1" applyAlignment="1">
      <alignment horizontal="center"/>
    </xf>
    <xf numFmtId="164" fontId="39" fillId="15" borderId="6" xfId="1" applyFont="1" applyFill="1" applyBorder="1" applyAlignment="1">
      <alignment horizontal="left"/>
    </xf>
    <xf numFmtId="164" fontId="34" fillId="0" borderId="6" xfId="1" quotePrefix="1" applyFont="1" applyFill="1" applyBorder="1" applyAlignment="1">
      <alignment horizontal="right"/>
    </xf>
    <xf numFmtId="164" fontId="34" fillId="0" borderId="6" xfId="1" applyFont="1" applyFill="1" applyBorder="1" applyAlignment="1">
      <alignment horizontal="left"/>
    </xf>
    <xf numFmtId="164" fontId="34" fillId="0" borderId="6" xfId="1" applyFont="1" applyFill="1" applyBorder="1" applyAlignment="1">
      <alignment horizontal="right"/>
    </xf>
    <xf numFmtId="164" fontId="34" fillId="0" borderId="29" xfId="1" applyFont="1" applyFill="1" applyBorder="1" applyAlignment="1">
      <alignment horizontal="left"/>
    </xf>
    <xf numFmtId="164" fontId="34" fillId="7" borderId="6" xfId="1" applyFont="1" applyFill="1" applyBorder="1" applyAlignment="1">
      <alignment horizontal="right" vertical="center"/>
    </xf>
    <xf numFmtId="164" fontId="34" fillId="7" borderId="6" xfId="1" applyFont="1" applyFill="1" applyBorder="1" applyAlignment="1">
      <alignment horizontal="right"/>
    </xf>
    <xf numFmtId="164" fontId="34" fillId="0" borderId="29" xfId="1" quotePrefix="1" applyFont="1" applyFill="1" applyBorder="1" applyAlignment="1">
      <alignment horizontal="right"/>
    </xf>
    <xf numFmtId="164" fontId="34" fillId="0" borderId="29" xfId="1" applyFont="1" applyFill="1" applyBorder="1" applyAlignment="1">
      <alignment horizontal="right"/>
    </xf>
    <xf numFmtId="164" fontId="34" fillId="0" borderId="6" xfId="1" applyFont="1" applyBorder="1" applyAlignment="1">
      <alignment horizontal="center"/>
    </xf>
    <xf numFmtId="164" fontId="34" fillId="0" borderId="29" xfId="1" applyFont="1" applyBorder="1" applyAlignment="1">
      <alignment horizontal="right"/>
    </xf>
    <xf numFmtId="164" fontId="34" fillId="0" borderId="6" xfId="1" applyFont="1" applyBorder="1" applyAlignment="1">
      <alignment horizontal="right"/>
    </xf>
    <xf numFmtId="164" fontId="34" fillId="7" borderId="29" xfId="1" applyFont="1" applyFill="1" applyBorder="1" applyAlignment="1">
      <alignment horizontal="right"/>
    </xf>
    <xf numFmtId="164" fontId="34" fillId="14" borderId="29" xfId="1" applyFont="1" applyFill="1" applyBorder="1" applyAlignment="1">
      <alignment horizontal="right"/>
    </xf>
    <xf numFmtId="164" fontId="34" fillId="14" borderId="6" xfId="1" applyFont="1" applyFill="1" applyBorder="1" applyAlignment="1">
      <alignment horizontal="right"/>
    </xf>
    <xf numFmtId="164" fontId="34" fillId="7" borderId="6" xfId="1" applyFont="1" applyFill="1" applyBorder="1" applyAlignment="1">
      <alignment horizontal="center"/>
    </xf>
    <xf numFmtId="164" fontId="34" fillId="0" borderId="29" xfId="1" applyFont="1" applyFill="1" applyBorder="1" applyAlignment="1">
      <alignment horizontal="right" vertical="center"/>
    </xf>
    <xf numFmtId="164" fontId="34" fillId="0" borderId="29" xfId="1" applyFont="1" applyBorder="1" applyAlignment="1">
      <alignment horizontal="center"/>
    </xf>
    <xf numFmtId="164" fontId="34" fillId="14" borderId="29" xfId="1" applyFont="1" applyFill="1" applyBorder="1" applyAlignment="1">
      <alignment horizontal="center"/>
    </xf>
    <xf numFmtId="164" fontId="34" fillId="12" borderId="6" xfId="1" quotePrefix="1" applyFont="1" applyFill="1" applyBorder="1" applyAlignment="1">
      <alignment horizontal="center"/>
    </xf>
    <xf numFmtId="164" fontId="39" fillId="12" borderId="6" xfId="1" applyFont="1" applyFill="1" applyBorder="1" applyAlignment="1">
      <alignment horizontal="left"/>
    </xf>
    <xf numFmtId="164" fontId="39" fillId="12" borderId="6" xfId="1" applyFont="1" applyFill="1" applyBorder="1"/>
    <xf numFmtId="164" fontId="34" fillId="6" borderId="29" xfId="1" applyFont="1" applyFill="1" applyBorder="1" applyAlignment="1">
      <alignment horizontal="left"/>
    </xf>
    <xf numFmtId="164" fontId="39" fillId="6" borderId="6" xfId="1" quotePrefix="1" applyFont="1" applyFill="1" applyBorder="1" applyAlignment="1">
      <alignment horizontal="center"/>
    </xf>
    <xf numFmtId="164" fontId="39" fillId="12" borderId="6" xfId="1" quotePrefix="1" applyFont="1" applyFill="1" applyBorder="1" applyAlignment="1">
      <alignment horizontal="center"/>
    </xf>
    <xf numFmtId="164" fontId="34" fillId="13" borderId="6" xfId="1" applyFont="1" applyFill="1" applyBorder="1"/>
    <xf numFmtId="164" fontId="39" fillId="12" borderId="29" xfId="1" applyFont="1" applyFill="1" applyBorder="1"/>
    <xf numFmtId="164" fontId="39" fillId="13" borderId="6" xfId="1" applyFont="1" applyFill="1" applyBorder="1"/>
    <xf numFmtId="164" fontId="34" fillId="0" borderId="29" xfId="1" applyFont="1" applyFill="1" applyBorder="1" applyAlignment="1">
      <alignment horizontal="center"/>
    </xf>
    <xf numFmtId="164" fontId="34" fillId="4" borderId="6" xfId="1" applyFont="1" applyFill="1" applyBorder="1" applyAlignment="1">
      <alignment horizontal="right"/>
    </xf>
    <xf numFmtId="164" fontId="34" fillId="4" borderId="6" xfId="1" applyFont="1" applyFill="1" applyBorder="1" applyAlignment="1">
      <alignment horizontal="center"/>
    </xf>
    <xf numFmtId="164" fontId="35" fillId="5" borderId="6" xfId="1" quotePrefix="1" applyFont="1" applyFill="1" applyBorder="1" applyAlignment="1">
      <alignment horizontal="center"/>
    </xf>
    <xf numFmtId="164" fontId="31" fillId="5" borderId="6" xfId="1" applyFont="1" applyFill="1" applyBorder="1" applyAlignment="1">
      <alignment horizontal="left"/>
    </xf>
    <xf numFmtId="164" fontId="31" fillId="5" borderId="6" xfId="1" applyFont="1" applyFill="1" applyBorder="1"/>
    <xf numFmtId="164" fontId="30" fillId="6" borderId="6" xfId="1" quotePrefix="1" applyFont="1" applyFill="1" applyBorder="1" applyAlignment="1">
      <alignment horizontal="center"/>
    </xf>
    <xf numFmtId="164" fontId="31" fillId="6" borderId="6" xfId="1" applyFont="1" applyFill="1" applyBorder="1" applyAlignment="1">
      <alignment horizontal="left"/>
    </xf>
    <xf numFmtId="164" fontId="31" fillId="6" borderId="6" xfId="1" applyFont="1" applyFill="1" applyBorder="1"/>
    <xf numFmtId="164" fontId="30" fillId="14" borderId="6" xfId="1" quotePrefix="1" applyFont="1" applyFill="1" applyBorder="1" applyAlignment="1">
      <alignment horizontal="center"/>
    </xf>
    <xf numFmtId="164" fontId="30" fillId="0" borderId="6" xfId="1" applyFont="1" applyFill="1" applyBorder="1" applyAlignment="1">
      <alignment horizontal="left"/>
    </xf>
    <xf numFmtId="164" fontId="31" fillId="14" borderId="6" xfId="1" applyFont="1" applyFill="1" applyBorder="1" applyAlignment="1">
      <alignment horizontal="left"/>
    </xf>
    <xf numFmtId="164" fontId="31" fillId="14" borderId="6" xfId="1" applyFont="1" applyFill="1" applyBorder="1"/>
    <xf numFmtId="164" fontId="30" fillId="14" borderId="6" xfId="1" applyFont="1" applyFill="1" applyBorder="1"/>
    <xf numFmtId="164" fontId="30" fillId="0" borderId="6" xfId="1" quotePrefix="1" applyFont="1" applyFill="1" applyBorder="1" applyAlignment="1">
      <alignment horizontal="center"/>
    </xf>
    <xf numFmtId="164" fontId="31" fillId="0" borderId="6" xfId="1" applyFont="1" applyFill="1" applyBorder="1" applyAlignment="1">
      <alignment horizontal="left"/>
    </xf>
    <xf numFmtId="164" fontId="31" fillId="0" borderId="6" xfId="1" applyFont="1" applyFill="1" applyBorder="1"/>
    <xf numFmtId="164" fontId="30" fillId="0" borderId="6" xfId="1" applyFont="1" applyFill="1" applyBorder="1"/>
    <xf numFmtId="164" fontId="1" fillId="0" borderId="6" xfId="1" applyFont="1" applyBorder="1" applyAlignment="1">
      <alignment horizontal="right"/>
    </xf>
    <xf numFmtId="164" fontId="1" fillId="14" borderId="6" xfId="1" applyFont="1" applyFill="1" applyBorder="1" applyAlignment="1">
      <alignment horizontal="right"/>
    </xf>
    <xf numFmtId="164" fontId="30" fillId="0" borderId="6" xfId="1" applyFont="1" applyFill="1" applyBorder="1" applyAlignment="1">
      <alignment shrinkToFit="1"/>
    </xf>
    <xf numFmtId="164" fontId="30" fillId="0" borderId="6" xfId="1" applyFont="1" applyBorder="1"/>
    <xf numFmtId="164" fontId="30" fillId="0" borderId="6" xfId="1" applyFont="1" applyFill="1" applyBorder="1" applyAlignment="1">
      <alignment horizontal="center" vertical="center"/>
    </xf>
    <xf numFmtId="164" fontId="30" fillId="14" borderId="6" xfId="1" applyFont="1" applyFill="1" applyBorder="1" applyAlignment="1">
      <alignment horizontal="left"/>
    </xf>
    <xf numFmtId="164" fontId="30" fillId="0" borderId="6" xfId="1" applyFont="1" applyBorder="1" applyAlignment="1">
      <alignment shrinkToFit="1"/>
    </xf>
    <xf numFmtId="164" fontId="31" fillId="0" borderId="6" xfId="1" applyFont="1" applyBorder="1"/>
    <xf numFmtId="164" fontId="30" fillId="0" borderId="6" xfId="1" quotePrefix="1" applyFont="1" applyFill="1" applyBorder="1" applyAlignment="1">
      <alignment horizontal="left"/>
    </xf>
    <xf numFmtId="164" fontId="30" fillId="0" borderId="30" xfId="1" applyFont="1" applyFill="1" applyBorder="1"/>
    <xf numFmtId="164" fontId="30" fillId="0" borderId="30" xfId="1" applyFont="1" applyFill="1" applyBorder="1" applyAlignment="1">
      <alignment horizontal="center" vertical="center"/>
    </xf>
    <xf numFmtId="164" fontId="30" fillId="14" borderId="29" xfId="1" quotePrefix="1" applyFont="1" applyFill="1" applyBorder="1" applyAlignment="1">
      <alignment horizontal="left"/>
    </xf>
    <xf numFmtId="164" fontId="30" fillId="0" borderId="29" xfId="1" applyFont="1" applyFill="1" applyBorder="1"/>
    <xf numFmtId="164" fontId="30" fillId="14" borderId="29" xfId="1" applyFont="1" applyFill="1" applyBorder="1"/>
    <xf numFmtId="164" fontId="31" fillId="0" borderId="29" xfId="1" applyFont="1" applyFill="1" applyBorder="1"/>
    <xf numFmtId="164" fontId="30" fillId="0" borderId="29" xfId="1" applyFont="1" applyFill="1" applyBorder="1" applyAlignment="1">
      <alignment horizontal="center"/>
    </xf>
    <xf numFmtId="164" fontId="31" fillId="0" borderId="6" xfId="1" applyFont="1" applyFill="1" applyBorder="1" applyAlignment="1"/>
    <xf numFmtId="164" fontId="30" fillId="0" borderId="6" xfId="1" applyFont="1" applyBorder="1" applyAlignment="1"/>
    <xf numFmtId="164" fontId="30" fillId="0" borderId="6" xfId="1" applyFont="1" applyBorder="1" applyAlignment="1">
      <alignment horizontal="center" wrapText="1"/>
    </xf>
    <xf numFmtId="164" fontId="30" fillId="0" borderId="6" xfId="1" applyFont="1" applyBorder="1" applyAlignment="1">
      <alignment wrapText="1"/>
    </xf>
    <xf numFmtId="164" fontId="31" fillId="0" borderId="6" xfId="1" applyFont="1" applyBorder="1" applyAlignment="1">
      <alignment wrapText="1"/>
    </xf>
    <xf numFmtId="164" fontId="30" fillId="0" borderId="6" xfId="1" applyFont="1" applyFill="1" applyBorder="1" applyAlignment="1">
      <alignment horizontal="center"/>
    </xf>
    <xf numFmtId="164" fontId="30" fillId="0" borderId="6" xfId="1" applyFont="1" applyBorder="1" applyAlignment="1">
      <alignment horizontal="center"/>
    </xf>
    <xf numFmtId="164" fontId="31" fillId="0" borderId="0" xfId="1" quotePrefix="1" applyFont="1" applyFill="1" applyBorder="1" applyAlignment="1">
      <alignment horizontal="left"/>
    </xf>
    <xf numFmtId="164" fontId="30" fillId="0" borderId="0" xfId="1" applyFont="1"/>
    <xf numFmtId="164" fontId="31" fillId="0" borderId="0" xfId="1" applyFont="1" applyFill="1" applyBorder="1"/>
    <xf numFmtId="164" fontId="30" fillId="0" borderId="0" xfId="1" quotePrefix="1" applyFont="1" applyFill="1" applyBorder="1" applyAlignment="1">
      <alignment horizontal="left"/>
    </xf>
    <xf numFmtId="164" fontId="31" fillId="0" borderId="0" xfId="1" applyFont="1" applyBorder="1"/>
    <xf numFmtId="164" fontId="31" fillId="0" borderId="0" xfId="1" applyFont="1" applyBorder="1" applyAlignment="1"/>
    <xf numFmtId="164" fontId="38" fillId="0" borderId="0" xfId="1" applyFont="1" applyBorder="1" applyAlignment="1"/>
    <xf numFmtId="164" fontId="30" fillId="0" borderId="0" xfId="1" applyFont="1" applyFill="1" applyAlignment="1">
      <alignment horizontal="center"/>
    </xf>
    <xf numFmtId="164" fontId="30" fillId="0" borderId="0" xfId="1" applyFont="1" applyFill="1" applyAlignment="1">
      <alignment horizontal="left"/>
    </xf>
    <xf numFmtId="165" fontId="2" fillId="0" borderId="23" xfId="1" applyNumberFormat="1" applyFont="1" applyFill="1" applyBorder="1" applyAlignment="1">
      <alignment horizontal="center" vertical="center" wrapText="1"/>
    </xf>
    <xf numFmtId="165" fontId="0" fillId="0" borderId="23" xfId="1" applyNumberFormat="1" applyFont="1" applyBorder="1"/>
    <xf numFmtId="165" fontId="0" fillId="0" borderId="0" xfId="1" applyNumberFormat="1" applyFont="1"/>
    <xf numFmtId="170" fontId="30" fillId="0" borderId="8" xfId="9" applyNumberFormat="1" applyFont="1" applyFill="1" applyBorder="1"/>
    <xf numFmtId="170" fontId="30" fillId="0" borderId="0" xfId="9" applyNumberFormat="1" applyFont="1" applyFill="1" applyBorder="1"/>
    <xf numFmtId="170" fontId="30" fillId="0" borderId="5" xfId="9" applyNumberFormat="1" applyFont="1" applyFill="1" applyBorder="1"/>
    <xf numFmtId="164" fontId="30" fillId="0" borderId="12" xfId="9" applyFont="1" applyFill="1" applyBorder="1" applyAlignment="1">
      <alignment horizontal="center"/>
    </xf>
    <xf numFmtId="170" fontId="30" fillId="0" borderId="6" xfId="9" applyNumberFormat="1" applyFont="1" applyFill="1" applyBorder="1"/>
    <xf numFmtId="170" fontId="31" fillId="0" borderId="30" xfId="9" applyNumberFormat="1" applyFont="1" applyFill="1" applyBorder="1" applyAlignment="1">
      <alignment horizontal="center" vertical="center" wrapText="1"/>
    </xf>
    <xf numFmtId="170" fontId="30" fillId="0" borderId="6" xfId="9" quotePrefix="1" applyNumberFormat="1" applyFont="1" applyFill="1" applyBorder="1" applyAlignment="1">
      <alignment horizontal="center"/>
    </xf>
    <xf numFmtId="164" fontId="31" fillId="0" borderId="6" xfId="9" quotePrefix="1" applyFont="1" applyFill="1" applyBorder="1" applyAlignment="1">
      <alignment horizontal="center"/>
    </xf>
    <xf numFmtId="164" fontId="30" fillId="4" borderId="6" xfId="9" applyFont="1" applyFill="1" applyBorder="1"/>
    <xf numFmtId="164" fontId="30" fillId="4" borderId="0" xfId="9" applyFont="1" applyFill="1"/>
    <xf numFmtId="164" fontId="31" fillId="7" borderId="6" xfId="9" applyFont="1" applyFill="1" applyBorder="1"/>
    <xf numFmtId="164" fontId="31" fillId="7" borderId="6" xfId="9" quotePrefix="1" applyFont="1" applyFill="1" applyBorder="1" applyAlignment="1">
      <alignment horizontal="center"/>
    </xf>
    <xf numFmtId="164" fontId="30" fillId="7" borderId="6" xfId="9" applyFont="1" applyFill="1" applyBorder="1" applyAlignment="1">
      <alignment horizontal="left"/>
    </xf>
    <xf numFmtId="164" fontId="30" fillId="7" borderId="6" xfId="9" quotePrefix="1" applyFont="1" applyFill="1" applyBorder="1" applyAlignment="1">
      <alignment horizontal="center"/>
    </xf>
    <xf numFmtId="164" fontId="44" fillId="0" borderId="36" xfId="9" applyFont="1" applyFill="1" applyBorder="1"/>
    <xf numFmtId="164" fontId="44" fillId="0" borderId="0" xfId="9" applyFont="1" applyFill="1"/>
    <xf numFmtId="164" fontId="42" fillId="0" borderId="6" xfId="9" applyFont="1" applyFill="1" applyBorder="1" applyAlignment="1">
      <alignment vertical="center"/>
    </xf>
    <xf numFmtId="164" fontId="42" fillId="0" borderId="6" xfId="9" applyFont="1" applyFill="1" applyBorder="1" applyAlignment="1">
      <alignment vertical="center" wrapText="1"/>
    </xf>
    <xf numFmtId="164" fontId="42" fillId="0" borderId="34" xfId="9" applyFont="1" applyFill="1" applyBorder="1" applyAlignment="1">
      <alignment horizontal="center" vertical="center" wrapText="1"/>
    </xf>
    <xf numFmtId="165" fontId="30" fillId="7" borderId="32" xfId="9" quotePrefix="1" applyNumberFormat="1" applyFont="1" applyFill="1" applyBorder="1" applyAlignment="1">
      <alignment horizontal="center"/>
    </xf>
    <xf numFmtId="164" fontId="30" fillId="0" borderId="32" xfId="9" applyFont="1" applyFill="1" applyBorder="1" applyAlignment="1">
      <alignment horizontal="left"/>
    </xf>
    <xf numFmtId="164" fontId="30" fillId="0" borderId="6" xfId="9" applyFont="1" applyFill="1" applyBorder="1" applyAlignment="1">
      <alignment horizontal="center"/>
    </xf>
    <xf numFmtId="165" fontId="31" fillId="7" borderId="34" xfId="9" quotePrefix="1" applyNumberFormat="1" applyFont="1" applyFill="1" applyBorder="1" applyAlignment="1">
      <alignment horizontal="center"/>
    </xf>
    <xf numFmtId="165" fontId="31" fillId="7" borderId="32" xfId="9" quotePrefix="1" applyNumberFormat="1" applyFont="1" applyFill="1" applyBorder="1" applyAlignment="1">
      <alignment horizontal="center"/>
    </xf>
    <xf numFmtId="164" fontId="31" fillId="0" borderId="32" xfId="9" applyFont="1" applyFill="1" applyBorder="1" applyAlignment="1">
      <alignment horizontal="left"/>
    </xf>
    <xf numFmtId="164" fontId="31" fillId="0" borderId="6" xfId="9" applyFont="1" applyFill="1" applyBorder="1" applyAlignment="1">
      <alignment horizontal="center"/>
    </xf>
    <xf numFmtId="165" fontId="31" fillId="0" borderId="6" xfId="9" quotePrefix="1" applyNumberFormat="1" applyFont="1" applyFill="1" applyBorder="1" applyAlignment="1">
      <alignment horizontal="center"/>
    </xf>
    <xf numFmtId="165" fontId="30" fillId="0" borderId="37" xfId="9" quotePrefix="1" applyNumberFormat="1" applyFont="1" applyFill="1" applyBorder="1" applyAlignment="1">
      <alignment horizontal="center"/>
    </xf>
    <xf numFmtId="165" fontId="30" fillId="7" borderId="34" xfId="9" quotePrefix="1" applyNumberFormat="1" applyFont="1" applyFill="1" applyBorder="1" applyAlignment="1">
      <alignment horizontal="center"/>
    </xf>
    <xf numFmtId="164" fontId="30" fillId="0" borderId="39" xfId="9" applyFont="1" applyFill="1" applyBorder="1"/>
    <xf numFmtId="164" fontId="30" fillId="0" borderId="0" xfId="9" quotePrefix="1" applyFont="1" applyFill="1" applyBorder="1" applyAlignment="1">
      <alignment horizontal="center"/>
    </xf>
    <xf numFmtId="170" fontId="31" fillId="0" borderId="0" xfId="9" applyNumberFormat="1" applyFont="1" applyFill="1" applyBorder="1"/>
    <xf numFmtId="164" fontId="38" fillId="0" borderId="0" xfId="9" applyFont="1" applyBorder="1" applyAlignment="1">
      <alignment horizontal="center"/>
    </xf>
    <xf numFmtId="164" fontId="38" fillId="0" borderId="0" xfId="9" applyFont="1" applyBorder="1" applyAlignment="1">
      <alignment horizontal="left"/>
    </xf>
    <xf numFmtId="165" fontId="30" fillId="0" borderId="0" xfId="9" applyNumberFormat="1" applyFont="1" applyFill="1"/>
    <xf numFmtId="165" fontId="30" fillId="0" borderId="0" xfId="9" applyNumberFormat="1" applyFont="1" applyFill="1" applyAlignment="1">
      <alignment horizontal="center"/>
    </xf>
    <xf numFmtId="164" fontId="30" fillId="0" borderId="0" xfId="9" applyFont="1" applyFill="1" applyAlignment="1">
      <alignment horizontal="center"/>
    </xf>
    <xf numFmtId="170" fontId="30" fillId="0" borderId="0" xfId="9" applyNumberFormat="1" applyFont="1" applyFill="1"/>
    <xf numFmtId="171" fontId="30" fillId="0" borderId="7" xfId="9" applyNumberFormat="1" applyFont="1" applyFill="1" applyBorder="1"/>
    <xf numFmtId="171" fontId="30" fillId="0" borderId="8" xfId="9" applyNumberFormat="1" applyFont="1" applyFill="1" applyBorder="1"/>
    <xf numFmtId="171" fontId="30" fillId="0" borderId="32" xfId="9" applyNumberFormat="1" applyFont="1" applyFill="1" applyBorder="1"/>
    <xf numFmtId="171" fontId="30" fillId="0" borderId="9" xfId="9" applyNumberFormat="1" applyFont="1" applyFill="1" applyBorder="1"/>
    <xf numFmtId="171" fontId="30" fillId="0" borderId="10" xfId="9" applyNumberFormat="1" applyFont="1" applyFill="1" applyBorder="1"/>
    <xf numFmtId="171" fontId="30" fillId="0" borderId="0" xfId="9" applyNumberFormat="1" applyFont="1" applyFill="1" applyBorder="1"/>
    <xf numFmtId="171" fontId="30" fillId="0" borderId="11" xfId="9" applyNumberFormat="1" applyFont="1" applyFill="1" applyBorder="1"/>
    <xf numFmtId="171" fontId="30" fillId="0" borderId="12" xfId="9" applyNumberFormat="1" applyFont="1" applyFill="1" applyBorder="1"/>
    <xf numFmtId="171" fontId="30" fillId="0" borderId="5" xfId="9" applyNumberFormat="1" applyFont="1" applyFill="1" applyBorder="1"/>
    <xf numFmtId="171" fontId="30" fillId="0" borderId="13" xfId="9" applyNumberFormat="1" applyFont="1" applyFill="1" applyBorder="1"/>
    <xf numFmtId="164" fontId="35" fillId="16" borderId="6" xfId="9" quotePrefix="1" applyFont="1" applyFill="1" applyBorder="1" applyAlignment="1">
      <alignment horizontal="center"/>
    </xf>
    <xf numFmtId="164" fontId="31" fillId="16" borderId="6" xfId="9" applyFont="1" applyFill="1" applyBorder="1" applyAlignment="1">
      <alignment horizontal="left"/>
    </xf>
    <xf numFmtId="164" fontId="31" fillId="16" borderId="6" xfId="9" applyFont="1" applyFill="1" applyBorder="1"/>
    <xf numFmtId="165" fontId="31" fillId="16" borderId="6" xfId="9" applyNumberFormat="1" applyFont="1" applyFill="1" applyBorder="1"/>
    <xf numFmtId="0" fontId="30" fillId="0" borderId="6" xfId="4" applyFont="1" applyBorder="1" applyAlignment="1">
      <alignment vertical="center"/>
    </xf>
    <xf numFmtId="164" fontId="30" fillId="16" borderId="6" xfId="9" quotePrefix="1" applyFont="1" applyFill="1" applyBorder="1" applyAlignment="1">
      <alignment horizontal="center"/>
    </xf>
    <xf numFmtId="0" fontId="31" fillId="16" borderId="6" xfId="4" applyFont="1" applyFill="1" applyBorder="1"/>
    <xf numFmtId="0" fontId="30" fillId="16" borderId="6" xfId="4" applyFont="1" applyFill="1" applyBorder="1"/>
    <xf numFmtId="170" fontId="31" fillId="16" borderId="6" xfId="9" applyNumberFormat="1" applyFont="1" applyFill="1" applyBorder="1"/>
    <xf numFmtId="0" fontId="30" fillId="0" borderId="6" xfId="4" applyFont="1" applyBorder="1" applyAlignment="1">
      <alignment vertical="top"/>
    </xf>
    <xf numFmtId="164" fontId="30" fillId="0" borderId="6" xfId="9" applyFont="1" applyFill="1" applyBorder="1" applyAlignment="1">
      <alignment vertical="top"/>
    </xf>
    <xf numFmtId="164" fontId="30" fillId="2" borderId="29" xfId="9" quotePrefix="1" applyFont="1" applyFill="1" applyBorder="1" applyAlignment="1">
      <alignment horizontal="right" vertical="center"/>
    </xf>
    <xf numFmtId="43" fontId="30" fillId="0" borderId="6" xfId="4" applyNumberFormat="1" applyFont="1" applyBorder="1"/>
    <xf numFmtId="9" fontId="30" fillId="0" borderId="6" xfId="8" applyFont="1" applyFill="1" applyBorder="1"/>
    <xf numFmtId="164" fontId="31" fillId="0" borderId="0" xfId="9" applyFont="1" applyBorder="1"/>
    <xf numFmtId="164" fontId="35" fillId="14" borderId="6" xfId="9" quotePrefix="1" applyFont="1" applyFill="1" applyBorder="1" applyAlignment="1">
      <alignment horizontal="center"/>
    </xf>
    <xf numFmtId="164" fontId="30" fillId="14" borderId="6" xfId="9" applyFont="1" applyFill="1" applyBorder="1" applyAlignment="1">
      <alignment horizontal="left"/>
    </xf>
    <xf numFmtId="164" fontId="44" fillId="14" borderId="0" xfId="9" applyFont="1" applyFill="1"/>
    <xf numFmtId="164" fontId="31" fillId="14" borderId="6" xfId="9" applyFont="1" applyFill="1" applyBorder="1" applyAlignment="1">
      <alignment horizontal="left"/>
    </xf>
    <xf numFmtId="164" fontId="30" fillId="14" borderId="6" xfId="9" quotePrefix="1" applyFont="1" applyFill="1" applyBorder="1" applyAlignment="1">
      <alignment horizontal="center"/>
    </xf>
    <xf numFmtId="0" fontId="30" fillId="14" borderId="6" xfId="4" applyFont="1" applyFill="1" applyBorder="1" applyAlignment="1">
      <alignment vertical="center"/>
    </xf>
    <xf numFmtId="0" fontId="30" fillId="0" borderId="6" xfId="4" applyFont="1" applyFill="1" applyBorder="1"/>
    <xf numFmtId="165" fontId="30" fillId="0" borderId="6" xfId="4" applyNumberFormat="1" applyFont="1" applyFill="1" applyBorder="1"/>
    <xf numFmtId="2" fontId="30" fillId="0" borderId="6" xfId="4" applyNumberFormat="1" applyFont="1" applyFill="1" applyBorder="1"/>
    <xf numFmtId="164" fontId="30" fillId="0" borderId="6" xfId="4" applyNumberFormat="1" applyFont="1" applyFill="1" applyBorder="1"/>
    <xf numFmtId="165" fontId="30" fillId="0" borderId="0" xfId="9" applyNumberFormat="1" applyFont="1" applyFill="1" applyAlignment="1"/>
    <xf numFmtId="164" fontId="31" fillId="0" borderId="0" xfId="9" applyFont="1" applyFill="1" applyAlignment="1"/>
    <xf numFmtId="165" fontId="31" fillId="0" borderId="0" xfId="9" applyNumberFormat="1" applyFont="1" applyFill="1" applyAlignment="1"/>
    <xf numFmtId="16" fontId="31" fillId="0" borderId="0" xfId="9" applyNumberFormat="1" applyFont="1" applyFill="1" applyAlignment="1"/>
    <xf numFmtId="16" fontId="30" fillId="0" borderId="0" xfId="9" applyNumberFormat="1" applyFont="1" applyFill="1" applyAlignment="1"/>
    <xf numFmtId="15" fontId="30" fillId="0" borderId="0" xfId="9" applyNumberFormat="1" applyFont="1" applyFill="1" applyAlignment="1"/>
    <xf numFmtId="165" fontId="31" fillId="0" borderId="14" xfId="9" applyNumberFormat="1" applyFont="1" applyFill="1" applyBorder="1"/>
    <xf numFmtId="164" fontId="30" fillId="0" borderId="2" xfId="9" applyFont="1" applyFill="1" applyBorder="1"/>
    <xf numFmtId="165" fontId="30" fillId="0" borderId="2" xfId="9" applyNumberFormat="1" applyFont="1" applyFill="1" applyBorder="1"/>
    <xf numFmtId="164" fontId="30" fillId="0" borderId="2" xfId="9" applyFont="1" applyFill="1" applyBorder="1" applyAlignment="1">
      <alignment horizontal="center"/>
    </xf>
    <xf numFmtId="164" fontId="30" fillId="0" borderId="15" xfId="9" applyFont="1" applyFill="1" applyBorder="1"/>
    <xf numFmtId="165" fontId="30" fillId="0" borderId="18" xfId="9" applyNumberFormat="1" applyFont="1" applyFill="1" applyBorder="1"/>
    <xf numFmtId="164" fontId="30" fillId="0" borderId="0" xfId="9" applyFont="1" applyFill="1" applyBorder="1" applyAlignment="1">
      <alignment horizontal="center"/>
    </xf>
    <xf numFmtId="164" fontId="30" fillId="0" borderId="40" xfId="9" applyFont="1" applyFill="1" applyBorder="1"/>
    <xf numFmtId="164" fontId="30" fillId="0" borderId="33" xfId="9" applyFont="1" applyFill="1" applyBorder="1"/>
    <xf numFmtId="165" fontId="30" fillId="0" borderId="33" xfId="9" applyNumberFormat="1" applyFont="1" applyFill="1" applyBorder="1"/>
    <xf numFmtId="164" fontId="30" fillId="0" borderId="10" xfId="9" applyFont="1" applyFill="1" applyBorder="1" applyAlignment="1">
      <alignment horizontal="center"/>
    </xf>
    <xf numFmtId="164" fontId="48" fillId="0" borderId="0" xfId="9" applyFont="1" applyFill="1" applyBorder="1" applyAlignment="1">
      <alignment horizontal="center"/>
    </xf>
    <xf numFmtId="164" fontId="30" fillId="0" borderId="19" xfId="9" applyFont="1" applyFill="1" applyBorder="1"/>
    <xf numFmtId="164" fontId="31" fillId="0" borderId="0" xfId="9" quotePrefix="1" applyFont="1" applyFill="1" applyBorder="1"/>
    <xf numFmtId="164" fontId="30" fillId="0" borderId="36" xfId="9" applyFont="1" applyFill="1" applyBorder="1"/>
    <xf numFmtId="164" fontId="31" fillId="0" borderId="30" xfId="9" applyFont="1" applyFill="1" applyBorder="1" applyAlignment="1">
      <alignment vertical="center"/>
    </xf>
    <xf numFmtId="164" fontId="31" fillId="0" borderId="30" xfId="9" applyFont="1" applyFill="1" applyBorder="1" applyAlignment="1">
      <alignment vertical="center" wrapText="1"/>
    </xf>
    <xf numFmtId="164" fontId="31" fillId="0" borderId="34" xfId="9" applyFont="1" applyFill="1" applyBorder="1" applyAlignment="1">
      <alignment horizontal="center" vertical="center" wrapText="1"/>
    </xf>
    <xf numFmtId="164" fontId="30" fillId="0" borderId="34" xfId="9" quotePrefix="1" applyFont="1" applyFill="1" applyBorder="1" applyAlignment="1">
      <alignment horizontal="center"/>
    </xf>
    <xf numFmtId="165" fontId="30" fillId="4" borderId="37" xfId="9" quotePrefix="1" applyNumberFormat="1" applyFont="1" applyFill="1" applyBorder="1" applyAlignment="1">
      <alignment horizontal="center"/>
    </xf>
    <xf numFmtId="164" fontId="51" fillId="4" borderId="6" xfId="9" applyFont="1" applyFill="1" applyBorder="1" applyAlignment="1">
      <alignment horizontal="center"/>
    </xf>
    <xf numFmtId="165" fontId="30" fillId="4" borderId="6" xfId="9" quotePrefix="1" applyNumberFormat="1" applyFont="1" applyFill="1" applyBorder="1" applyAlignment="1">
      <alignment horizontal="center"/>
    </xf>
    <xf numFmtId="164" fontId="31" fillId="4" borderId="34" xfId="9" quotePrefix="1" applyFont="1" applyFill="1" applyBorder="1" applyAlignment="1">
      <alignment horizontal="center"/>
    </xf>
    <xf numFmtId="164" fontId="31" fillId="4" borderId="39" xfId="9" quotePrefix="1" applyFont="1" applyFill="1" applyBorder="1" applyAlignment="1">
      <alignment horizontal="center"/>
    </xf>
    <xf numFmtId="165" fontId="30" fillId="17" borderId="37" xfId="9" quotePrefix="1" applyNumberFormat="1" applyFont="1" applyFill="1" applyBorder="1" applyAlignment="1">
      <alignment horizontal="center"/>
    </xf>
    <xf numFmtId="164" fontId="51" fillId="17" borderId="6" xfId="9" applyFont="1" applyFill="1" applyBorder="1" applyAlignment="1">
      <alignment horizontal="left"/>
    </xf>
    <xf numFmtId="164" fontId="30" fillId="17" borderId="6" xfId="9" quotePrefix="1" applyFont="1" applyFill="1" applyBorder="1" applyAlignment="1">
      <alignment horizontal="center"/>
    </xf>
    <xf numFmtId="165" fontId="30" fillId="17" borderId="6" xfId="9" quotePrefix="1" applyNumberFormat="1" applyFont="1" applyFill="1" applyBorder="1" applyAlignment="1">
      <alignment horizontal="center"/>
    </xf>
    <xf numFmtId="164" fontId="31" fillId="17" borderId="34" xfId="9" quotePrefix="1" applyFont="1" applyFill="1" applyBorder="1" applyAlignment="1">
      <alignment horizontal="center"/>
    </xf>
    <xf numFmtId="164" fontId="31" fillId="17" borderId="39" xfId="9" quotePrefix="1" applyFont="1" applyFill="1" applyBorder="1" applyAlignment="1">
      <alignment horizontal="center"/>
    </xf>
    <xf numFmtId="164" fontId="30" fillId="17" borderId="0" xfId="9" applyFont="1" applyFill="1"/>
    <xf numFmtId="165" fontId="30" fillId="7" borderId="37" xfId="9" quotePrefix="1" applyNumberFormat="1" applyFont="1" applyFill="1" applyBorder="1" applyAlignment="1">
      <alignment horizontal="center"/>
    </xf>
    <xf numFmtId="164" fontId="52" fillId="7" borderId="6" xfId="9" applyFont="1" applyFill="1" applyBorder="1" applyAlignment="1">
      <alignment horizontal="center"/>
    </xf>
    <xf numFmtId="164" fontId="30" fillId="7" borderId="6" xfId="9" applyFont="1" applyFill="1" applyBorder="1" applyAlignment="1">
      <alignment horizontal="center"/>
    </xf>
    <xf numFmtId="165" fontId="30" fillId="7" borderId="6" xfId="9" quotePrefix="1" applyNumberFormat="1" applyFont="1" applyFill="1" applyBorder="1" applyAlignment="1">
      <alignment horizontal="center"/>
    </xf>
    <xf numFmtId="165" fontId="30" fillId="7" borderId="6" xfId="9" applyNumberFormat="1" applyFont="1" applyFill="1" applyBorder="1" applyAlignment="1">
      <alignment horizontal="center"/>
    </xf>
    <xf numFmtId="164" fontId="31" fillId="7" borderId="34" xfId="9" quotePrefix="1" applyFont="1" applyFill="1" applyBorder="1" applyAlignment="1">
      <alignment horizontal="center"/>
    </xf>
    <xf numFmtId="164" fontId="31" fillId="0" borderId="39" xfId="9" applyFont="1" applyFill="1" applyBorder="1"/>
    <xf numFmtId="164" fontId="51" fillId="7" borderId="6" xfId="9" applyFont="1" applyFill="1" applyBorder="1" applyAlignment="1">
      <alignment horizontal="center"/>
    </xf>
    <xf numFmtId="164" fontId="31" fillId="7" borderId="39" xfId="9" quotePrefix="1" applyFont="1" applyFill="1" applyBorder="1" applyAlignment="1">
      <alignment horizontal="center"/>
    </xf>
    <xf numFmtId="165" fontId="31" fillId="17" borderId="37" xfId="9" quotePrefix="1" applyNumberFormat="1" applyFont="1" applyFill="1" applyBorder="1" applyAlignment="1">
      <alignment horizontal="center"/>
    </xf>
    <xf numFmtId="164" fontId="31" fillId="17" borderId="6" xfId="9" applyFont="1" applyFill="1" applyBorder="1" applyAlignment="1">
      <alignment horizontal="left"/>
    </xf>
    <xf numFmtId="165" fontId="31" fillId="18" borderId="37" xfId="9" quotePrefix="1" applyNumberFormat="1" applyFont="1" applyFill="1" applyBorder="1" applyAlignment="1">
      <alignment horizontal="center"/>
    </xf>
    <xf numFmtId="164" fontId="31" fillId="18" borderId="6" xfId="9" applyFont="1" applyFill="1" applyBorder="1" applyAlignment="1">
      <alignment horizontal="left"/>
    </xf>
    <xf numFmtId="164" fontId="30" fillId="18" borderId="6" xfId="9" quotePrefix="1" applyFont="1" applyFill="1" applyBorder="1" applyAlignment="1">
      <alignment horizontal="center"/>
    </xf>
    <xf numFmtId="165" fontId="30" fillId="18" borderId="6" xfId="9" quotePrefix="1" applyNumberFormat="1" applyFont="1" applyFill="1" applyBorder="1" applyAlignment="1">
      <alignment horizontal="center"/>
    </xf>
    <xf numFmtId="164" fontId="31" fillId="18" borderId="6" xfId="9" quotePrefix="1" applyFont="1" applyFill="1" applyBorder="1" applyAlignment="1">
      <alignment horizontal="center"/>
    </xf>
    <xf numFmtId="164" fontId="31" fillId="18" borderId="39" xfId="9" quotePrefix="1" applyFont="1" applyFill="1" applyBorder="1" applyAlignment="1">
      <alignment horizontal="center"/>
    </xf>
    <xf numFmtId="164" fontId="30" fillId="18" borderId="0" xfId="9" applyFont="1" applyFill="1"/>
    <xf numFmtId="165" fontId="31" fillId="7" borderId="6" xfId="9" quotePrefix="1" applyNumberFormat="1" applyFont="1" applyFill="1" applyBorder="1" applyAlignment="1">
      <alignment horizontal="center"/>
    </xf>
    <xf numFmtId="164" fontId="31" fillId="0" borderId="34" xfId="9" quotePrefix="1" applyFont="1" applyFill="1" applyBorder="1" applyAlignment="1">
      <alignment horizontal="center"/>
    </xf>
    <xf numFmtId="164" fontId="38" fillId="0" borderId="6" xfId="9" applyFont="1" applyFill="1" applyBorder="1" applyAlignment="1">
      <alignment horizontal="left"/>
    </xf>
    <xf numFmtId="164" fontId="38" fillId="17" borderId="6" xfId="9" applyFont="1" applyFill="1" applyBorder="1" applyAlignment="1">
      <alignment horizontal="left"/>
    </xf>
    <xf numFmtId="164" fontId="31" fillId="17" borderId="6" xfId="9" quotePrefix="1" applyFont="1" applyFill="1" applyBorder="1" applyAlignment="1">
      <alignment horizontal="center"/>
    </xf>
    <xf numFmtId="164" fontId="30" fillId="17" borderId="6" xfId="9" applyFont="1" applyFill="1" applyBorder="1" applyAlignment="1">
      <alignment horizontal="center"/>
    </xf>
    <xf numFmtId="165" fontId="31" fillId="17" borderId="6" xfId="9" quotePrefix="1" applyNumberFormat="1" applyFont="1" applyFill="1" applyBorder="1" applyAlignment="1">
      <alignment horizontal="center"/>
    </xf>
    <xf numFmtId="165" fontId="31" fillId="17" borderId="34" xfId="9" quotePrefix="1" applyNumberFormat="1" applyFont="1" applyFill="1" applyBorder="1" applyAlignment="1">
      <alignment horizontal="center"/>
    </xf>
    <xf numFmtId="165" fontId="30" fillId="7" borderId="42" xfId="9" quotePrefix="1" applyNumberFormat="1" applyFont="1" applyFill="1" applyBorder="1" applyAlignment="1">
      <alignment horizontal="center"/>
    </xf>
    <xf numFmtId="164" fontId="30" fillId="7" borderId="30" xfId="9" quotePrefix="1" applyFont="1" applyFill="1" applyBorder="1" applyAlignment="1">
      <alignment horizontal="center"/>
    </xf>
    <xf numFmtId="165" fontId="30" fillId="7" borderId="30" xfId="9" quotePrefix="1" applyNumberFormat="1" applyFont="1" applyFill="1" applyBorder="1" applyAlignment="1">
      <alignment horizontal="center"/>
    </xf>
    <xf numFmtId="164" fontId="31" fillId="7" borderId="30" xfId="9" quotePrefix="1" applyFont="1" applyFill="1" applyBorder="1" applyAlignment="1">
      <alignment horizontal="center"/>
    </xf>
    <xf numFmtId="164" fontId="30" fillId="7" borderId="30" xfId="9" applyFont="1" applyFill="1" applyBorder="1" applyAlignment="1">
      <alignment horizontal="center"/>
    </xf>
    <xf numFmtId="165" fontId="31" fillId="7" borderId="30" xfId="9" quotePrefix="1" applyNumberFormat="1" applyFont="1" applyFill="1" applyBorder="1" applyAlignment="1">
      <alignment horizontal="center"/>
    </xf>
    <xf numFmtId="165" fontId="31" fillId="7" borderId="7" xfId="9" quotePrefix="1" applyNumberFormat="1" applyFont="1" applyFill="1" applyBorder="1" applyAlignment="1">
      <alignment horizontal="center"/>
    </xf>
    <xf numFmtId="164" fontId="38" fillId="7" borderId="30" xfId="9" applyFont="1" applyFill="1" applyBorder="1" applyAlignment="1">
      <alignment horizontal="left"/>
    </xf>
    <xf numFmtId="165" fontId="30" fillId="7" borderId="43" xfId="9" quotePrefix="1" applyNumberFormat="1" applyFont="1" applyFill="1" applyBorder="1" applyAlignment="1">
      <alignment horizontal="center"/>
    </xf>
    <xf numFmtId="164" fontId="31" fillId="0" borderId="44" xfId="9" applyFont="1" applyFill="1" applyBorder="1" applyAlignment="1">
      <alignment horizontal="left"/>
    </xf>
    <xf numFmtId="164" fontId="30" fillId="0" borderId="44" xfId="9" applyFont="1" applyFill="1" applyBorder="1" applyAlignment="1">
      <alignment horizontal="left"/>
    </xf>
    <xf numFmtId="165" fontId="30" fillId="0" borderId="44" xfId="9" quotePrefix="1" applyNumberFormat="1" applyFont="1" applyFill="1" applyBorder="1" applyAlignment="1">
      <alignment horizontal="center"/>
    </xf>
    <xf numFmtId="164" fontId="30" fillId="7" borderId="44" xfId="9" applyFont="1" applyFill="1" applyBorder="1" applyAlignment="1">
      <alignment horizontal="center"/>
    </xf>
    <xf numFmtId="164" fontId="30" fillId="7" borderId="44" xfId="9" applyFont="1" applyFill="1" applyBorder="1" applyAlignment="1">
      <alignment horizontal="left"/>
    </xf>
    <xf numFmtId="164" fontId="31" fillId="7" borderId="44" xfId="9" quotePrefix="1" applyFont="1" applyFill="1" applyBorder="1" applyAlignment="1">
      <alignment horizontal="center"/>
    </xf>
    <xf numFmtId="165" fontId="53" fillId="7" borderId="2" xfId="9" applyNumberFormat="1" applyFont="1" applyFill="1" applyBorder="1" applyAlignment="1"/>
    <xf numFmtId="165" fontId="44" fillId="7" borderId="2" xfId="9" applyNumberFormat="1" applyFont="1" applyFill="1" applyBorder="1" applyAlignment="1"/>
    <xf numFmtId="165" fontId="44" fillId="7" borderId="0" xfId="9" applyNumberFormat="1" applyFont="1" applyFill="1" applyBorder="1" applyAlignment="1"/>
    <xf numFmtId="165" fontId="44" fillId="0" borderId="0" xfId="9" quotePrefix="1" applyNumberFormat="1" applyFont="1" applyFill="1" applyBorder="1" applyAlignment="1">
      <alignment horizontal="center"/>
    </xf>
    <xf numFmtId="164" fontId="44" fillId="0" borderId="0" xfId="9" applyFont="1" applyFill="1" applyBorder="1" applyAlignment="1">
      <alignment horizontal="left"/>
    </xf>
    <xf numFmtId="164" fontId="44" fillId="7" borderId="0" xfId="9" applyFont="1" applyFill="1" applyBorder="1" applyAlignment="1">
      <alignment horizontal="center"/>
    </xf>
    <xf numFmtId="164" fontId="31" fillId="7" borderId="0" xfId="9" quotePrefix="1" applyFont="1" applyFill="1" applyBorder="1" applyAlignment="1">
      <alignment horizontal="center"/>
    </xf>
    <xf numFmtId="165" fontId="31" fillId="7" borderId="0" xfId="9" quotePrefix="1" applyNumberFormat="1" applyFont="1" applyFill="1" applyBorder="1" applyAlignment="1">
      <alignment horizontal="center"/>
    </xf>
    <xf numFmtId="165" fontId="53" fillId="7" borderId="0" xfId="9" applyNumberFormat="1" applyFont="1" applyFill="1" applyBorder="1" applyAlignment="1"/>
    <xf numFmtId="164" fontId="44" fillId="0" borderId="0" xfId="9" applyFont="1" applyFill="1" applyBorder="1" applyAlignment="1">
      <alignment horizontal="left" indent="3"/>
    </xf>
    <xf numFmtId="164" fontId="44" fillId="7" borderId="0" xfId="9" applyFont="1" applyFill="1" applyBorder="1" applyAlignment="1">
      <alignment horizontal="left"/>
    </xf>
    <xf numFmtId="164" fontId="30" fillId="7" borderId="0" xfId="9" quotePrefix="1" applyFont="1" applyFill="1" applyBorder="1" applyAlignment="1">
      <alignment horizontal="center"/>
    </xf>
    <xf numFmtId="165" fontId="30" fillId="7" borderId="0" xfId="9" quotePrefix="1" applyNumberFormat="1" applyFont="1" applyFill="1" applyBorder="1" applyAlignment="1">
      <alignment horizontal="center"/>
    </xf>
    <xf numFmtId="165" fontId="53" fillId="7" borderId="0" xfId="9" quotePrefix="1" applyNumberFormat="1" applyFont="1" applyFill="1" applyBorder="1" applyAlignment="1">
      <alignment horizontal="center"/>
    </xf>
    <xf numFmtId="164" fontId="42" fillId="0" borderId="0" xfId="9" applyFont="1" applyFill="1" applyBorder="1" applyAlignment="1">
      <alignment horizontal="left"/>
    </xf>
    <xf numFmtId="164" fontId="42" fillId="0" borderId="0" xfId="9" quotePrefix="1" applyFont="1" applyFill="1" applyBorder="1" applyAlignment="1">
      <alignment horizontal="center"/>
    </xf>
    <xf numFmtId="164" fontId="42" fillId="7" borderId="0" xfId="9" applyFont="1" applyFill="1" applyBorder="1" applyAlignment="1">
      <alignment horizontal="center"/>
    </xf>
    <xf numFmtId="164" fontId="54" fillId="0" borderId="0" xfId="9" applyFont="1" applyFill="1" applyBorder="1" applyAlignment="1">
      <alignment horizontal="left"/>
    </xf>
    <xf numFmtId="164" fontId="53" fillId="0" borderId="0" xfId="9" applyFont="1" applyFill="1" applyBorder="1" applyAlignment="1">
      <alignment horizontal="left"/>
    </xf>
    <xf numFmtId="165" fontId="53" fillId="0" borderId="0" xfId="9" quotePrefix="1" applyNumberFormat="1" applyFont="1" applyFill="1" applyBorder="1" applyAlignment="1">
      <alignment horizontal="center"/>
    </xf>
    <xf numFmtId="164" fontId="54" fillId="0" borderId="0" xfId="9" quotePrefix="1" applyFont="1" applyFill="1" applyBorder="1" applyAlignment="1">
      <alignment horizontal="center"/>
    </xf>
    <xf numFmtId="164" fontId="53" fillId="7" borderId="0" xfId="9" applyFont="1" applyFill="1" applyBorder="1" applyAlignment="1">
      <alignment horizontal="center"/>
    </xf>
    <xf numFmtId="164" fontId="54" fillId="7" borderId="0" xfId="9" applyFont="1" applyFill="1" applyBorder="1" applyAlignment="1">
      <alignment horizontal="center"/>
    </xf>
    <xf numFmtId="164" fontId="30" fillId="0" borderId="0" xfId="9" applyFont="1" applyFill="1" applyBorder="1" applyAlignment="1">
      <alignment horizontal="left" indent="3"/>
    </xf>
    <xf numFmtId="165" fontId="30" fillId="0" borderId="0" xfId="9" quotePrefix="1" applyNumberFormat="1" applyFont="1" applyFill="1" applyBorder="1" applyAlignment="1">
      <alignment horizontal="center"/>
    </xf>
    <xf numFmtId="164" fontId="30" fillId="7" borderId="0" xfId="9" applyFont="1" applyFill="1" applyBorder="1" applyAlignment="1">
      <alignment horizontal="center"/>
    </xf>
    <xf numFmtId="164" fontId="30" fillId="7" borderId="0" xfId="9" applyFont="1" applyFill="1" applyBorder="1" applyAlignment="1">
      <alignment horizontal="left"/>
    </xf>
    <xf numFmtId="164" fontId="31" fillId="7" borderId="0" xfId="9" applyFont="1" applyFill="1" applyBorder="1" applyAlignment="1">
      <alignment horizontal="center"/>
    </xf>
    <xf numFmtId="164" fontId="31" fillId="7" borderId="0" xfId="9" applyFont="1" applyFill="1" applyBorder="1" applyAlignment="1">
      <alignment horizontal="left"/>
    </xf>
    <xf numFmtId="164" fontId="31" fillId="0" borderId="0" xfId="9" applyFont="1" applyFill="1" applyBorder="1" applyAlignment="1">
      <alignment horizontal="left"/>
    </xf>
    <xf numFmtId="164" fontId="51" fillId="0" borderId="0" xfId="9" applyFont="1" applyFill="1" applyBorder="1"/>
    <xf numFmtId="165" fontId="30" fillId="0" borderId="0" xfId="9" applyNumberFormat="1" applyFont="1" applyFill="1" applyBorder="1" applyAlignment="1"/>
    <xf numFmtId="164" fontId="31" fillId="0" borderId="0" xfId="9" applyFont="1" applyBorder="1" applyAlignment="1"/>
    <xf numFmtId="164" fontId="30" fillId="0" borderId="0" xfId="9" applyFont="1" applyBorder="1" applyAlignment="1"/>
    <xf numFmtId="165" fontId="37" fillId="0" borderId="0" xfId="9" applyNumberFormat="1" applyFont="1" applyFill="1" applyBorder="1" applyAlignment="1">
      <alignment vertical="center"/>
    </xf>
    <xf numFmtId="164" fontId="37" fillId="0" borderId="0" xfId="9" applyFont="1" applyFill="1" applyBorder="1" applyAlignment="1">
      <alignment vertical="center"/>
    </xf>
    <xf numFmtId="164" fontId="37" fillId="0" borderId="0" xfId="9" applyFont="1" applyFill="1" applyBorder="1"/>
    <xf numFmtId="165" fontId="37" fillId="0" borderId="0" xfId="9" applyNumberFormat="1" applyFont="1" applyFill="1" applyBorder="1"/>
    <xf numFmtId="164" fontId="37" fillId="0" borderId="0" xfId="9" applyFont="1" applyBorder="1" applyAlignment="1"/>
    <xf numFmtId="165" fontId="31" fillId="0" borderId="0" xfId="9" applyNumberFormat="1" applyFont="1" applyFill="1"/>
    <xf numFmtId="164" fontId="31" fillId="0" borderId="0" xfId="9" applyFont="1" applyFill="1"/>
    <xf numFmtId="165" fontId="31" fillId="0" borderId="0" xfId="9" applyNumberFormat="1" applyFont="1" applyFill="1" applyAlignment="1">
      <alignment horizontal="center"/>
    </xf>
    <xf numFmtId="164" fontId="34" fillId="0" borderId="0" xfId="9" applyFont="1" applyFill="1" applyAlignment="1"/>
    <xf numFmtId="164" fontId="39" fillId="0" borderId="0" xfId="9" applyFont="1" applyFill="1" applyAlignment="1"/>
    <xf numFmtId="164" fontId="34" fillId="0" borderId="2" xfId="9" applyFont="1" applyFill="1" applyBorder="1"/>
    <xf numFmtId="164" fontId="34" fillId="0" borderId="0" xfId="9" applyFont="1" applyFill="1" applyBorder="1"/>
    <xf numFmtId="164" fontId="39" fillId="0" borderId="30" xfId="9" applyFont="1" applyFill="1" applyBorder="1" applyAlignment="1">
      <alignment vertical="center"/>
    </xf>
    <xf numFmtId="164" fontId="39" fillId="4" borderId="34" xfId="9" quotePrefix="1" applyFont="1" applyFill="1" applyBorder="1" applyAlignment="1">
      <alignment horizontal="center"/>
    </xf>
    <xf numFmtId="164" fontId="39" fillId="4" borderId="39" xfId="9" quotePrefix="1" applyFont="1" applyFill="1" applyBorder="1" applyAlignment="1">
      <alignment horizontal="center"/>
    </xf>
    <xf numFmtId="164" fontId="39" fillId="7" borderId="34" xfId="9" quotePrefix="1" applyFont="1" applyFill="1" applyBorder="1" applyAlignment="1">
      <alignment horizontal="center"/>
    </xf>
    <xf numFmtId="164" fontId="39" fillId="7" borderId="39" xfId="9" quotePrefix="1" applyFont="1" applyFill="1" applyBorder="1" applyAlignment="1">
      <alignment horizontal="center"/>
    </xf>
    <xf numFmtId="39" fontId="30" fillId="7" borderId="6" xfId="9" quotePrefix="1" applyNumberFormat="1" applyFont="1" applyFill="1" applyBorder="1" applyAlignment="1">
      <alignment horizontal="right"/>
    </xf>
    <xf numFmtId="164" fontId="34" fillId="7" borderId="34" xfId="9" quotePrefix="1" applyFont="1" applyFill="1" applyBorder="1" applyAlignment="1">
      <alignment horizontal="center"/>
    </xf>
    <xf numFmtId="164" fontId="30" fillId="7" borderId="34" xfId="9" quotePrefix="1" applyFont="1" applyFill="1" applyBorder="1" applyAlignment="1">
      <alignment horizontal="center"/>
    </xf>
    <xf numFmtId="164" fontId="34" fillId="7" borderId="39" xfId="9" quotePrefix="1" applyFont="1" applyFill="1" applyBorder="1" applyAlignment="1">
      <alignment horizontal="center"/>
    </xf>
    <xf numFmtId="164" fontId="30" fillId="7" borderId="39" xfId="9" quotePrefix="1" applyFont="1" applyFill="1" applyBorder="1" applyAlignment="1">
      <alignment horizontal="center"/>
    </xf>
    <xf numFmtId="164" fontId="55" fillId="7" borderId="6" xfId="9" applyFont="1" applyFill="1" applyBorder="1" applyAlignment="1">
      <alignment horizontal="center"/>
    </xf>
    <xf numFmtId="165" fontId="30" fillId="7" borderId="6" xfId="9" quotePrefix="1" applyNumberFormat="1" applyFont="1" applyFill="1" applyBorder="1" applyAlignment="1">
      <alignment horizontal="right"/>
    </xf>
    <xf numFmtId="165" fontId="30" fillId="17" borderId="42" xfId="9" quotePrefix="1" applyNumberFormat="1" applyFont="1" applyFill="1" applyBorder="1" applyAlignment="1">
      <alignment horizontal="center"/>
    </xf>
    <xf numFmtId="164" fontId="31" fillId="7" borderId="30" xfId="9" applyFont="1" applyFill="1" applyBorder="1" applyAlignment="1">
      <alignment horizontal="left"/>
    </xf>
    <xf numFmtId="164" fontId="39" fillId="7" borderId="7" xfId="9" quotePrefix="1" applyFont="1" applyFill="1" applyBorder="1" applyAlignment="1">
      <alignment horizontal="center"/>
    </xf>
    <xf numFmtId="164" fontId="31" fillId="7" borderId="7" xfId="9" quotePrefix="1" applyFont="1" applyFill="1" applyBorder="1" applyAlignment="1">
      <alignment horizontal="center"/>
    </xf>
    <xf numFmtId="164" fontId="31" fillId="7" borderId="45" xfId="9" quotePrefix="1" applyFont="1" applyFill="1" applyBorder="1" applyAlignment="1">
      <alignment horizontal="center"/>
    </xf>
    <xf numFmtId="164" fontId="34" fillId="7" borderId="6" xfId="9" quotePrefix="1" applyFont="1" applyFill="1" applyBorder="1" applyAlignment="1">
      <alignment horizontal="center"/>
    </xf>
    <xf numFmtId="164" fontId="30" fillId="7" borderId="39" xfId="9" applyFont="1" applyFill="1" applyBorder="1" applyAlignment="1">
      <alignment vertical="center"/>
    </xf>
    <xf numFmtId="164" fontId="30" fillId="7" borderId="38" xfId="9" applyFont="1" applyFill="1" applyBorder="1" applyAlignment="1">
      <alignment vertical="center"/>
    </xf>
    <xf numFmtId="165" fontId="30" fillId="7" borderId="35" xfId="9" quotePrefix="1" applyNumberFormat="1" applyFont="1" applyFill="1" applyBorder="1" applyAlignment="1">
      <alignment horizontal="center"/>
    </xf>
    <xf numFmtId="164" fontId="30" fillId="7" borderId="29" xfId="9" applyFont="1" applyFill="1" applyBorder="1" applyAlignment="1">
      <alignment horizontal="left"/>
    </xf>
    <xf numFmtId="164" fontId="30" fillId="7" borderId="0" xfId="9" applyFont="1" applyFill="1" applyBorder="1"/>
    <xf numFmtId="165" fontId="30" fillId="7" borderId="29" xfId="9" quotePrefix="1" applyNumberFormat="1" applyFont="1" applyFill="1" applyBorder="1" applyAlignment="1">
      <alignment horizontal="center"/>
    </xf>
    <xf numFmtId="165" fontId="30" fillId="7" borderId="29" xfId="9" applyNumberFormat="1" applyFont="1" applyFill="1" applyBorder="1" applyAlignment="1">
      <alignment horizontal="center"/>
    </xf>
    <xf numFmtId="164" fontId="30" fillId="7" borderId="29" xfId="9" applyFont="1" applyFill="1" applyBorder="1" applyAlignment="1">
      <alignment horizontal="center"/>
    </xf>
    <xf numFmtId="164" fontId="31" fillId="7" borderId="29" xfId="9" applyFont="1" applyFill="1" applyBorder="1" applyAlignment="1">
      <alignment horizontal="center"/>
    </xf>
    <xf numFmtId="164" fontId="34" fillId="7" borderId="29" xfId="9" quotePrefix="1" applyFont="1" applyFill="1" applyBorder="1" applyAlignment="1">
      <alignment horizontal="center"/>
    </xf>
    <xf numFmtId="164" fontId="30" fillId="7" borderId="29" xfId="9" quotePrefix="1" applyFont="1" applyFill="1" applyBorder="1" applyAlignment="1">
      <alignment horizontal="center"/>
    </xf>
    <xf numFmtId="39" fontId="30" fillId="7" borderId="29" xfId="9" quotePrefix="1" applyNumberFormat="1" applyFont="1" applyFill="1" applyBorder="1" applyAlignment="1">
      <alignment horizontal="center"/>
    </xf>
    <xf numFmtId="164" fontId="30" fillId="7" borderId="29" xfId="9" quotePrefix="1" applyFont="1" applyFill="1" applyBorder="1" applyAlignment="1">
      <alignment horizontal="center" vertical="center"/>
    </xf>
    <xf numFmtId="164" fontId="30" fillId="7" borderId="12" xfId="9" quotePrefix="1" applyFont="1" applyFill="1" applyBorder="1" applyAlignment="1">
      <alignment horizontal="center" vertical="center"/>
    </xf>
    <xf numFmtId="39" fontId="30" fillId="7" borderId="6" xfId="9" quotePrefix="1" applyNumberFormat="1" applyFont="1" applyFill="1" applyBorder="1" applyAlignment="1">
      <alignment horizontal="center"/>
    </xf>
    <xf numFmtId="164" fontId="30" fillId="7" borderId="39" xfId="9" applyFont="1" applyFill="1" applyBorder="1"/>
    <xf numFmtId="164" fontId="39" fillId="7" borderId="6" xfId="9" applyFont="1" applyFill="1" applyBorder="1" applyAlignment="1">
      <alignment horizontal="center"/>
    </xf>
    <xf numFmtId="164" fontId="31" fillId="7" borderId="39" xfId="9" applyFont="1" applyFill="1" applyBorder="1"/>
    <xf numFmtId="164" fontId="34" fillId="7" borderId="6" xfId="9" applyFont="1" applyFill="1" applyBorder="1" applyAlignment="1">
      <alignment horizontal="center"/>
    </xf>
    <xf numFmtId="165" fontId="30" fillId="0" borderId="42" xfId="9" quotePrefix="1" applyNumberFormat="1" applyFont="1" applyFill="1" applyBorder="1" applyAlignment="1">
      <alignment horizontal="center"/>
    </xf>
    <xf numFmtId="164" fontId="30" fillId="7" borderId="30" xfId="9" applyFont="1" applyFill="1" applyBorder="1" applyAlignment="1">
      <alignment horizontal="left"/>
    </xf>
    <xf numFmtId="164" fontId="34" fillId="7" borderId="30" xfId="9" quotePrefix="1" applyFont="1" applyFill="1" applyBorder="1" applyAlignment="1">
      <alignment horizontal="center"/>
    </xf>
    <xf numFmtId="164" fontId="30" fillId="7" borderId="45" xfId="9" applyFont="1" applyFill="1" applyBorder="1"/>
    <xf numFmtId="39" fontId="30" fillId="7" borderId="30" xfId="9" quotePrefix="1" applyNumberFormat="1" applyFont="1" applyFill="1" applyBorder="1" applyAlignment="1">
      <alignment horizontal="center"/>
    </xf>
    <xf numFmtId="164" fontId="30" fillId="7" borderId="7" xfId="9" quotePrefix="1" applyFont="1" applyFill="1" applyBorder="1" applyAlignment="1">
      <alignment horizontal="center"/>
    </xf>
    <xf numFmtId="164" fontId="39" fillId="7" borderId="30" xfId="9" quotePrefix="1" applyFont="1" applyFill="1" applyBorder="1" applyAlignment="1">
      <alignment horizontal="center"/>
    </xf>
    <xf numFmtId="164" fontId="31" fillId="7" borderId="30" xfId="9" applyFont="1" applyFill="1" applyBorder="1" applyAlignment="1">
      <alignment horizontal="center"/>
    </xf>
    <xf numFmtId="39" fontId="31" fillId="7" borderId="30" xfId="9" quotePrefix="1" applyNumberFormat="1" applyFont="1" applyFill="1" applyBorder="1" applyAlignment="1">
      <alignment horizontal="center"/>
    </xf>
    <xf numFmtId="164" fontId="31" fillId="7" borderId="45" xfId="9" applyFont="1" applyFill="1" applyBorder="1"/>
    <xf numFmtId="164" fontId="30" fillId="7" borderId="31" xfId="9" applyFont="1" applyFill="1" applyBorder="1" applyAlignment="1">
      <alignment horizontal="center"/>
    </xf>
    <xf numFmtId="164" fontId="34" fillId="7" borderId="31" xfId="9" quotePrefix="1" applyFont="1" applyFill="1" applyBorder="1" applyAlignment="1">
      <alignment horizontal="center"/>
    </xf>
    <xf numFmtId="164" fontId="30" fillId="7" borderId="31" xfId="9" quotePrefix="1" applyFont="1" applyFill="1" applyBorder="1" applyAlignment="1">
      <alignment horizontal="center"/>
    </xf>
    <xf numFmtId="39" fontId="30" fillId="7" borderId="31" xfId="9" quotePrefix="1" applyNumberFormat="1" applyFont="1" applyFill="1" applyBorder="1" applyAlignment="1">
      <alignment horizontal="center"/>
    </xf>
    <xf numFmtId="165" fontId="30" fillId="0" borderId="43" xfId="9" quotePrefix="1" applyNumberFormat="1" applyFont="1" applyFill="1" applyBorder="1" applyAlignment="1">
      <alignment horizontal="center"/>
    </xf>
    <xf numFmtId="164" fontId="30" fillId="0" borderId="44" xfId="9" applyFont="1" applyFill="1" applyBorder="1" applyAlignment="1">
      <alignment horizontal="center"/>
    </xf>
    <xf numFmtId="164" fontId="31" fillId="0" borderId="44" xfId="9" quotePrefix="1" applyFont="1" applyFill="1" applyBorder="1" applyAlignment="1">
      <alignment horizontal="center"/>
    </xf>
    <xf numFmtId="164" fontId="34" fillId="7" borderId="44" xfId="9" quotePrefix="1" applyFont="1" applyFill="1" applyBorder="1" applyAlignment="1">
      <alignment horizontal="center"/>
    </xf>
    <xf numFmtId="164" fontId="30" fillId="7" borderId="44" xfId="9" quotePrefix="1" applyFont="1" applyFill="1" applyBorder="1" applyAlignment="1">
      <alignment horizontal="center"/>
    </xf>
    <xf numFmtId="39" fontId="30" fillId="7" borderId="44" xfId="9" quotePrefix="1" applyNumberFormat="1" applyFont="1" applyFill="1" applyBorder="1" applyAlignment="1">
      <alignment horizontal="center"/>
    </xf>
    <xf numFmtId="164" fontId="30" fillId="0" borderId="44" xfId="9" quotePrefix="1" applyFont="1" applyFill="1" applyBorder="1" applyAlignment="1">
      <alignment horizontal="center"/>
    </xf>
    <xf numFmtId="164" fontId="30" fillId="0" borderId="46" xfId="9" quotePrefix="1" applyFont="1" applyFill="1" applyBorder="1" applyAlignment="1">
      <alignment horizontal="center"/>
    </xf>
    <xf numFmtId="164" fontId="30" fillId="0" borderId="47" xfId="9" applyFont="1" applyFill="1" applyBorder="1"/>
    <xf numFmtId="165" fontId="53" fillId="7" borderId="18" xfId="9" applyNumberFormat="1" applyFont="1" applyFill="1" applyBorder="1" applyAlignment="1"/>
    <xf numFmtId="165" fontId="30" fillId="7" borderId="0" xfId="9" applyNumberFormat="1" applyFont="1" applyFill="1" applyBorder="1" applyAlignment="1"/>
    <xf numFmtId="164" fontId="56" fillId="7" borderId="0" xfId="9" applyFont="1" applyFill="1" applyBorder="1" applyAlignment="1">
      <alignment horizontal="center"/>
    </xf>
    <xf numFmtId="164" fontId="31" fillId="0" borderId="19" xfId="9" applyFont="1" applyFill="1" applyBorder="1"/>
    <xf numFmtId="164" fontId="31" fillId="7" borderId="18" xfId="9" applyFont="1" applyFill="1" applyBorder="1" applyAlignment="1">
      <alignment horizontal="left"/>
    </xf>
    <xf numFmtId="164" fontId="57" fillId="0" borderId="0" xfId="9" applyFont="1" applyFill="1" applyBorder="1"/>
    <xf numFmtId="164" fontId="31" fillId="7" borderId="18" xfId="9" quotePrefix="1" applyFont="1" applyFill="1" applyBorder="1" applyAlignment="1">
      <alignment horizontal="left" indent="7"/>
    </xf>
    <xf numFmtId="165" fontId="30" fillId="0" borderId="18" xfId="9" applyNumberFormat="1" applyFont="1" applyFill="1" applyBorder="1" applyAlignment="1"/>
    <xf numFmtId="164" fontId="39" fillId="0" borderId="0" xfId="9" applyFont="1" applyBorder="1" applyAlignment="1"/>
    <xf numFmtId="165" fontId="37" fillId="0" borderId="18" xfId="9" applyNumberFormat="1" applyFont="1" applyFill="1" applyBorder="1" applyAlignment="1">
      <alignment vertical="center"/>
    </xf>
    <xf numFmtId="164" fontId="58" fillId="0" borderId="0" xfId="9" applyFont="1" applyBorder="1" applyAlignment="1"/>
    <xf numFmtId="165" fontId="30" fillId="0" borderId="16" xfId="9" applyNumberFormat="1" applyFont="1" applyFill="1" applyBorder="1"/>
    <xf numFmtId="165" fontId="30" fillId="0" borderId="3" xfId="9" applyNumberFormat="1" applyFont="1" applyFill="1" applyBorder="1"/>
    <xf numFmtId="164" fontId="30" fillId="0" borderId="3" xfId="9" applyFont="1" applyFill="1" applyBorder="1"/>
    <xf numFmtId="164" fontId="30" fillId="0" borderId="17" xfId="9" applyFont="1" applyFill="1" applyBorder="1"/>
    <xf numFmtId="0" fontId="9" fillId="0" borderId="0" xfId="10"/>
    <xf numFmtId="0" fontId="62" fillId="0" borderId="48" xfId="10" applyFont="1" applyBorder="1"/>
    <xf numFmtId="0" fontId="9" fillId="0" borderId="8" xfId="10" applyBorder="1" applyAlignment="1">
      <alignment horizontal="center"/>
    </xf>
    <xf numFmtId="164" fontId="9" fillId="0" borderId="8" xfId="9" applyFont="1" applyFill="1" applyBorder="1" applyAlignment="1">
      <alignment horizontal="center"/>
    </xf>
    <xf numFmtId="0" fontId="9" fillId="0" borderId="8" xfId="10" applyBorder="1"/>
    <xf numFmtId="0" fontId="9" fillId="0" borderId="30" xfId="10" applyBorder="1"/>
    <xf numFmtId="0" fontId="9" fillId="0" borderId="18" xfId="10" applyBorder="1"/>
    <xf numFmtId="0" fontId="9" fillId="0" borderId="0" xfId="10" applyAlignment="1">
      <alignment horizontal="center"/>
    </xf>
    <xf numFmtId="164" fontId="9" fillId="0" borderId="0" xfId="9" applyFont="1" applyFill="1" applyBorder="1" applyAlignment="1">
      <alignment horizontal="center"/>
    </xf>
    <xf numFmtId="0" fontId="9" fillId="0" borderId="30" xfId="10" applyBorder="1" applyAlignment="1">
      <alignment horizontal="left"/>
    </xf>
    <xf numFmtId="0" fontId="9" fillId="0" borderId="8" xfId="10" applyBorder="1" applyAlignment="1">
      <alignment horizontal="left"/>
    </xf>
    <xf numFmtId="0" fontId="9" fillId="0" borderId="8" xfId="10" applyBorder="1" applyAlignment="1">
      <alignment horizontal="left" indent="2"/>
    </xf>
    <xf numFmtId="0" fontId="9" fillId="0" borderId="31" xfId="10" applyBorder="1"/>
    <xf numFmtId="0" fontId="9" fillId="0" borderId="10" xfId="10" applyBorder="1"/>
    <xf numFmtId="0" fontId="9" fillId="0" borderId="0" xfId="10" quotePrefix="1"/>
    <xf numFmtId="164" fontId="9" fillId="0" borderId="0" xfId="9" applyFont="1" applyFill="1" applyBorder="1"/>
    <xf numFmtId="0" fontId="9" fillId="0" borderId="10" xfId="10" applyBorder="1" applyAlignment="1">
      <alignment horizontal="center"/>
    </xf>
    <xf numFmtId="0" fontId="9" fillId="0" borderId="12" xfId="10" applyBorder="1"/>
    <xf numFmtId="0" fontId="9" fillId="0" borderId="5" xfId="10" quotePrefix="1" applyBorder="1"/>
    <xf numFmtId="0" fontId="9" fillId="0" borderId="5" xfId="10" applyBorder="1"/>
    <xf numFmtId="0" fontId="9" fillId="0" borderId="5" xfId="10" applyBorder="1" applyAlignment="1">
      <alignment horizontal="center"/>
    </xf>
    <xf numFmtId="0" fontId="63" fillId="0" borderId="31" xfId="10" applyFont="1" applyBorder="1"/>
    <xf numFmtId="0" fontId="63" fillId="0" borderId="29" xfId="10" applyFont="1" applyBorder="1"/>
    <xf numFmtId="0" fontId="9" fillId="0" borderId="33" xfId="10" applyBorder="1"/>
    <xf numFmtId="49" fontId="64" fillId="0" borderId="35" xfId="10" quotePrefix="1" applyNumberFormat="1" applyFont="1" applyBorder="1" applyAlignment="1">
      <alignment horizontal="center" vertical="center"/>
    </xf>
    <xf numFmtId="49" fontId="64" fillId="0" borderId="29" xfId="10" quotePrefix="1" applyNumberFormat="1" applyFont="1" applyBorder="1" applyAlignment="1">
      <alignment horizontal="center" vertical="center"/>
    </xf>
    <xf numFmtId="49" fontId="64" fillId="2" borderId="29" xfId="10" applyNumberFormat="1" applyFont="1" applyFill="1" applyBorder="1" applyAlignment="1">
      <alignment horizontal="center" vertical="center"/>
    </xf>
    <xf numFmtId="49" fontId="64" fillId="2" borderId="29" xfId="10" quotePrefix="1" applyNumberFormat="1" applyFont="1" applyFill="1" applyBorder="1" applyAlignment="1">
      <alignment horizontal="center" vertical="center"/>
    </xf>
    <xf numFmtId="164" fontId="64" fillId="2" borderId="29" xfId="9" quotePrefix="1" applyFont="1" applyFill="1" applyBorder="1" applyAlignment="1">
      <alignment horizontal="center" vertical="center"/>
    </xf>
    <xf numFmtId="49" fontId="64" fillId="0" borderId="12" xfId="10" quotePrefix="1" applyNumberFormat="1" applyFont="1" applyBorder="1" applyAlignment="1">
      <alignment horizontal="center" vertical="center"/>
    </xf>
    <xf numFmtId="0" fontId="64" fillId="0" borderId="29" xfId="10" applyFont="1" applyBorder="1"/>
    <xf numFmtId="49" fontId="65" fillId="4" borderId="6" xfId="10" applyNumberFormat="1" applyFont="1" applyFill="1" applyBorder="1" applyAlignment="1">
      <alignment horizontal="center" vertical="center"/>
    </xf>
    <xf numFmtId="49" fontId="65" fillId="4" borderId="6" xfId="10" quotePrefix="1" applyNumberFormat="1" applyFont="1" applyFill="1" applyBorder="1" applyAlignment="1">
      <alignment vertical="center"/>
    </xf>
    <xf numFmtId="0" fontId="65" fillId="4" borderId="6" xfId="10" applyFont="1" applyFill="1" applyBorder="1" applyAlignment="1">
      <alignment vertical="center"/>
    </xf>
    <xf numFmtId="164" fontId="65" fillId="4" borderId="6" xfId="5" applyFont="1" applyFill="1" applyBorder="1" applyAlignment="1">
      <alignment vertical="center"/>
    </xf>
    <xf numFmtId="49" fontId="65" fillId="4" borderId="6" xfId="10" applyNumberFormat="1" applyFont="1" applyFill="1" applyBorder="1" applyAlignment="1">
      <alignment vertical="center"/>
    </xf>
    <xf numFmtId="49" fontId="65" fillId="0" borderId="6" xfId="10" applyNumberFormat="1" applyFont="1" applyBorder="1" applyAlignment="1">
      <alignment horizontal="center" vertical="center"/>
    </xf>
    <xf numFmtId="164" fontId="66" fillId="0" borderId="6" xfId="9" applyFont="1" applyFill="1" applyBorder="1" applyAlignment="1">
      <alignment horizontal="left"/>
    </xf>
    <xf numFmtId="164" fontId="66" fillId="0" borderId="6" xfId="9" quotePrefix="1" applyFont="1" applyFill="1" applyBorder="1" applyAlignment="1">
      <alignment horizontal="center"/>
    </xf>
    <xf numFmtId="165" fontId="66" fillId="0" borderId="6" xfId="9" quotePrefix="1" applyNumberFormat="1" applyFont="1" applyFill="1" applyBorder="1" applyAlignment="1">
      <alignment horizontal="center"/>
    </xf>
    <xf numFmtId="164" fontId="66" fillId="0" borderId="6" xfId="9" applyFont="1" applyFill="1" applyBorder="1"/>
    <xf numFmtId="164" fontId="66" fillId="7" borderId="6" xfId="9" applyFont="1" applyFill="1" applyBorder="1" applyAlignment="1">
      <alignment horizontal="center"/>
    </xf>
    <xf numFmtId="164" fontId="67" fillId="0" borderId="29" xfId="9" quotePrefix="1" applyFont="1" applyFill="1" applyBorder="1" applyAlignment="1">
      <alignment horizontal="center" vertical="center"/>
    </xf>
    <xf numFmtId="165" fontId="67" fillId="0" borderId="29" xfId="9" quotePrefix="1" applyNumberFormat="1" applyFont="1" applyFill="1" applyBorder="1" applyAlignment="1">
      <alignment horizontal="center" vertical="center"/>
    </xf>
    <xf numFmtId="165" fontId="67" fillId="0" borderId="29" xfId="9" applyNumberFormat="1" applyFont="1" applyFill="1" applyBorder="1" applyAlignment="1">
      <alignment horizontal="right" vertical="center"/>
    </xf>
    <xf numFmtId="164" fontId="67" fillId="0" borderId="29" xfId="5" applyFont="1" applyFill="1" applyBorder="1" applyAlignment="1">
      <alignment horizontal="center" vertical="center"/>
    </xf>
    <xf numFmtId="164" fontId="68" fillId="4" borderId="6" xfId="9" applyFont="1" applyFill="1" applyBorder="1" applyAlignment="1">
      <alignment horizontal="left"/>
    </xf>
    <xf numFmtId="164" fontId="68" fillId="4" borderId="6" xfId="9" quotePrefix="1" applyFont="1" applyFill="1" applyBorder="1" applyAlignment="1">
      <alignment horizontal="left"/>
    </xf>
    <xf numFmtId="164" fontId="68" fillId="4" borderId="6" xfId="9" quotePrefix="1" applyFont="1" applyFill="1" applyBorder="1" applyAlignment="1">
      <alignment horizontal="center"/>
    </xf>
    <xf numFmtId="165" fontId="68" fillId="4" borderId="6" xfId="9" quotePrefix="1" applyNumberFormat="1" applyFont="1" applyFill="1" applyBorder="1" applyAlignment="1">
      <alignment horizontal="center"/>
    </xf>
    <xf numFmtId="164" fontId="68" fillId="4" borderId="6" xfId="9" applyFont="1" applyFill="1" applyBorder="1"/>
    <xf numFmtId="165" fontId="66" fillId="4" borderId="6" xfId="9" quotePrefix="1" applyNumberFormat="1" applyFont="1" applyFill="1" applyBorder="1" applyAlignment="1">
      <alignment horizontal="center"/>
    </xf>
    <xf numFmtId="49" fontId="67" fillId="14" borderId="6" xfId="10" applyNumberFormat="1" applyFont="1" applyFill="1" applyBorder="1" applyAlignment="1">
      <alignment horizontal="center" vertical="center"/>
    </xf>
    <xf numFmtId="164" fontId="69" fillId="14" borderId="6" xfId="9" applyFont="1" applyFill="1" applyBorder="1" applyAlignment="1">
      <alignment horizontal="left" vertical="center"/>
    </xf>
    <xf numFmtId="164" fontId="66" fillId="14" borderId="6" xfId="9" quotePrefix="1" applyFont="1" applyFill="1" applyBorder="1" applyAlignment="1">
      <alignment horizontal="center" vertical="center"/>
    </xf>
    <xf numFmtId="165" fontId="66" fillId="14" borderId="6" xfId="9" quotePrefix="1" applyNumberFormat="1" applyFont="1" applyFill="1" applyBorder="1" applyAlignment="1">
      <alignment horizontal="center" vertical="center"/>
    </xf>
    <xf numFmtId="164" fontId="66" fillId="14" borderId="6" xfId="9" applyFont="1" applyFill="1" applyBorder="1" applyAlignment="1">
      <alignment vertical="center"/>
    </xf>
    <xf numFmtId="164" fontId="70" fillId="14" borderId="6" xfId="9" applyFont="1" applyFill="1" applyBorder="1" applyAlignment="1">
      <alignment horizontal="center" vertical="center"/>
    </xf>
    <xf numFmtId="164" fontId="68" fillId="14" borderId="6" xfId="9" applyFont="1" applyFill="1" applyBorder="1" applyAlignment="1">
      <alignment horizontal="center" vertical="center"/>
    </xf>
    <xf numFmtId="164" fontId="66" fillId="14" borderId="6" xfId="9" applyFont="1" applyFill="1" applyBorder="1" applyAlignment="1">
      <alignment horizontal="center" vertical="center"/>
    </xf>
    <xf numFmtId="164" fontId="67" fillId="14" borderId="29" xfId="9" applyFont="1" applyFill="1" applyBorder="1" applyAlignment="1">
      <alignment horizontal="right" vertical="center"/>
    </xf>
    <xf numFmtId="165" fontId="67" fillId="14" borderId="29" xfId="9" applyNumberFormat="1" applyFont="1" applyFill="1" applyBorder="1" applyAlignment="1">
      <alignment horizontal="right" vertical="center"/>
    </xf>
    <xf numFmtId="164" fontId="67" fillId="14" borderId="29" xfId="5" applyFont="1" applyFill="1" applyBorder="1" applyAlignment="1">
      <alignment horizontal="center" vertical="center"/>
    </xf>
    <xf numFmtId="49" fontId="67" fillId="0" borderId="6" xfId="10" applyNumberFormat="1" applyFont="1" applyBorder="1" applyAlignment="1">
      <alignment horizontal="center" vertical="center"/>
    </xf>
    <xf numFmtId="164" fontId="68" fillId="0" borderId="6" xfId="9" applyFont="1" applyFill="1" applyBorder="1" applyAlignment="1">
      <alignment horizontal="left"/>
    </xf>
    <xf numFmtId="164" fontId="68" fillId="0" borderId="6" xfId="9" quotePrefix="1" applyFont="1" applyFill="1" applyBorder="1" applyAlignment="1">
      <alignment horizontal="center"/>
    </xf>
    <xf numFmtId="164" fontId="66" fillId="0" borderId="6" xfId="9" applyFont="1" applyFill="1" applyBorder="1" applyAlignment="1">
      <alignment horizontal="center"/>
    </xf>
    <xf numFmtId="2" fontId="67" fillId="0" borderId="29" xfId="10" applyNumberFormat="1" applyFont="1" applyBorder="1" applyAlignment="1">
      <alignment horizontal="right" vertical="center"/>
    </xf>
    <xf numFmtId="164" fontId="71" fillId="0" borderId="6" xfId="9" applyFont="1" applyFill="1" applyBorder="1" applyAlignment="1">
      <alignment horizontal="center"/>
    </xf>
    <xf numFmtId="164" fontId="66" fillId="7" borderId="6" xfId="9" applyFont="1" applyFill="1" applyBorder="1"/>
    <xf numFmtId="164" fontId="67" fillId="0" borderId="29" xfId="9" applyFont="1" applyFill="1" applyBorder="1" applyAlignment="1">
      <alignment horizontal="right" vertical="center"/>
    </xf>
    <xf numFmtId="164" fontId="65" fillId="0" borderId="29" xfId="5" applyFont="1" applyFill="1" applyBorder="1" applyAlignment="1">
      <alignment horizontal="center" vertical="center"/>
    </xf>
    <xf numFmtId="164" fontId="72" fillId="0" borderId="6" xfId="9" quotePrefix="1" applyFont="1" applyFill="1" applyBorder="1" applyAlignment="1">
      <alignment horizontal="center"/>
    </xf>
    <xf numFmtId="165" fontId="68" fillId="14" borderId="6" xfId="9" applyNumberFormat="1" applyFont="1" applyFill="1" applyBorder="1" applyAlignment="1">
      <alignment horizontal="center" vertical="center"/>
    </xf>
    <xf numFmtId="165" fontId="68" fillId="0" borderId="6" xfId="9" quotePrefix="1" applyNumberFormat="1" applyFont="1" applyFill="1" applyBorder="1" applyAlignment="1">
      <alignment horizontal="center"/>
    </xf>
    <xf numFmtId="164" fontId="68" fillId="0" borderId="6" xfId="9" applyFont="1" applyFill="1" applyBorder="1"/>
    <xf numFmtId="164" fontId="68" fillId="0" borderId="6" xfId="9" applyFont="1" applyFill="1" applyBorder="1" applyAlignment="1">
      <alignment horizontal="center"/>
    </xf>
    <xf numFmtId="164" fontId="68" fillId="7" borderId="6" xfId="9" applyFont="1" applyFill="1" applyBorder="1"/>
    <xf numFmtId="165" fontId="65" fillId="0" borderId="29" xfId="9" applyNumberFormat="1" applyFont="1" applyFill="1" applyBorder="1" applyAlignment="1">
      <alignment horizontal="right" vertical="center"/>
    </xf>
    <xf numFmtId="164" fontId="65" fillId="0" borderId="29" xfId="9" applyFont="1" applyFill="1" applyBorder="1" applyAlignment="1">
      <alignment horizontal="right" vertical="center"/>
    </xf>
    <xf numFmtId="164" fontId="30" fillId="0" borderId="32" xfId="9" applyFont="1" applyFill="1" applyBorder="1" applyAlignment="1">
      <alignment horizontal="center"/>
    </xf>
    <xf numFmtId="164" fontId="30" fillId="0" borderId="10" xfId="9" quotePrefix="1" applyFont="1" applyFill="1" applyBorder="1"/>
    <xf numFmtId="164" fontId="30" fillId="0" borderId="12" xfId="9" quotePrefix="1" applyFont="1" applyFill="1" applyBorder="1"/>
    <xf numFmtId="170" fontId="31" fillId="0" borderId="30" xfId="9" applyNumberFormat="1" applyFont="1" applyFill="1" applyBorder="1" applyAlignment="1">
      <alignment vertical="center" wrapText="1"/>
    </xf>
    <xf numFmtId="39" fontId="30" fillId="0" borderId="6" xfId="9" quotePrefix="1" applyNumberFormat="1" applyFont="1" applyFill="1" applyBorder="1" applyAlignment="1">
      <alignment horizontal="right"/>
    </xf>
    <xf numFmtId="170" fontId="30" fillId="0" borderId="6" xfId="9" applyNumberFormat="1" applyFont="1" applyFill="1" applyBorder="1" applyAlignment="1">
      <alignment horizontal="center"/>
    </xf>
    <xf numFmtId="164" fontId="30" fillId="0" borderId="6" xfId="9" applyFont="1" applyFill="1" applyBorder="1" applyAlignment="1">
      <alignment horizontal="left" wrapText="1"/>
    </xf>
    <xf numFmtId="170" fontId="30" fillId="0" borderId="6" xfId="9" quotePrefix="1" applyNumberFormat="1" applyFont="1" applyFill="1" applyBorder="1" applyAlignment="1">
      <alignment horizontal="center" vertical="center"/>
    </xf>
    <xf numFmtId="164" fontId="30" fillId="0" borderId="6" xfId="9" quotePrefix="1" applyFont="1" applyFill="1" applyBorder="1" applyAlignment="1">
      <alignment horizontal="center" vertical="center"/>
    </xf>
    <xf numFmtId="164" fontId="30" fillId="0" borderId="6" xfId="9" applyFont="1" applyFill="1" applyBorder="1" applyAlignment="1">
      <alignment horizontal="center" wrapText="1"/>
    </xf>
    <xf numFmtId="164" fontId="30" fillId="0" borderId="6" xfId="9" applyFont="1" applyFill="1" applyBorder="1" applyAlignment="1">
      <alignment horizontal="center" vertical="center"/>
    </xf>
    <xf numFmtId="164" fontId="30" fillId="0" borderId="0" xfId="9" applyFont="1" applyBorder="1"/>
    <xf numFmtId="172" fontId="30" fillId="0" borderId="0" xfId="9" applyNumberFormat="1" applyFont="1" applyFill="1" applyBorder="1"/>
    <xf numFmtId="170" fontId="31" fillId="0" borderId="0" xfId="9" applyNumberFormat="1" applyFont="1" applyFill="1"/>
    <xf numFmtId="164" fontId="31" fillId="4" borderId="6" xfId="9" applyFont="1" applyFill="1" applyBorder="1" applyAlignment="1">
      <alignment horizontal="left"/>
    </xf>
    <xf numFmtId="165" fontId="30" fillId="6" borderId="37" xfId="9" quotePrefix="1" applyNumberFormat="1" applyFont="1" applyFill="1" applyBorder="1" applyAlignment="1">
      <alignment horizontal="center"/>
    </xf>
    <xf numFmtId="164" fontId="51" fillId="6" borderId="6" xfId="9" applyFont="1" applyFill="1" applyBorder="1" applyAlignment="1">
      <alignment horizontal="center"/>
    </xf>
    <xf numFmtId="164" fontId="30" fillId="6" borderId="6" xfId="9" quotePrefix="1" applyFont="1" applyFill="1" applyBorder="1" applyAlignment="1">
      <alignment horizontal="center"/>
    </xf>
    <xf numFmtId="165" fontId="30" fillId="6" borderId="6" xfId="9" quotePrefix="1" applyNumberFormat="1" applyFont="1" applyFill="1" applyBorder="1" applyAlignment="1">
      <alignment horizontal="center"/>
    </xf>
    <xf numFmtId="164" fontId="31" fillId="6" borderId="34" xfId="9" quotePrefix="1" applyFont="1" applyFill="1" applyBorder="1" applyAlignment="1">
      <alignment horizontal="center"/>
    </xf>
    <xf numFmtId="164" fontId="31" fillId="6" borderId="39" xfId="9" quotePrefix="1" applyFont="1" applyFill="1" applyBorder="1" applyAlignment="1">
      <alignment horizontal="center"/>
    </xf>
    <xf numFmtId="165" fontId="31" fillId="19" borderId="37" xfId="9" quotePrefix="1" applyNumberFormat="1" applyFont="1" applyFill="1" applyBorder="1" applyAlignment="1">
      <alignment horizontal="center"/>
    </xf>
    <xf numFmtId="164" fontId="31" fillId="19" borderId="6" xfId="9" applyFont="1" applyFill="1" applyBorder="1" applyAlignment="1">
      <alignment horizontal="left"/>
    </xf>
    <xf numFmtId="164" fontId="30" fillId="19" borderId="6" xfId="9" quotePrefix="1" applyFont="1" applyFill="1" applyBorder="1" applyAlignment="1">
      <alignment horizontal="center"/>
    </xf>
    <xf numFmtId="165" fontId="30" fillId="19" borderId="6" xfId="9" quotePrefix="1" applyNumberFormat="1" applyFont="1" applyFill="1" applyBorder="1" applyAlignment="1">
      <alignment horizontal="center"/>
    </xf>
    <xf numFmtId="164" fontId="31" fillId="19" borderId="39" xfId="9" quotePrefix="1" applyFont="1" applyFill="1" applyBorder="1" applyAlignment="1">
      <alignment horizontal="center"/>
    </xf>
    <xf numFmtId="164" fontId="31" fillId="19" borderId="34" xfId="9" quotePrefix="1" applyFont="1" applyFill="1" applyBorder="1" applyAlignment="1">
      <alignment horizontal="center"/>
    </xf>
    <xf numFmtId="164" fontId="30" fillId="20" borderId="6" xfId="9" quotePrefix="1" applyFont="1" applyFill="1" applyBorder="1" applyAlignment="1">
      <alignment horizontal="center"/>
    </xf>
    <xf numFmtId="165" fontId="30" fillId="20" borderId="6" xfId="9" quotePrefix="1" applyNumberFormat="1" applyFont="1" applyFill="1" applyBorder="1" applyAlignment="1">
      <alignment horizontal="center"/>
    </xf>
    <xf numFmtId="164" fontId="31" fillId="20" borderId="6" xfId="9" quotePrefix="1" applyFont="1" applyFill="1" applyBorder="1" applyAlignment="1">
      <alignment horizontal="center"/>
    </xf>
    <xf numFmtId="164" fontId="30" fillId="20" borderId="34" xfId="9" quotePrefix="1" applyFont="1" applyFill="1" applyBorder="1" applyAlignment="1">
      <alignment horizontal="center"/>
    </xf>
    <xf numFmtId="165" fontId="31" fillId="0" borderId="34" xfId="9" quotePrefix="1" applyNumberFormat="1" applyFont="1" applyFill="1" applyBorder="1" applyAlignment="1">
      <alignment horizontal="center"/>
    </xf>
    <xf numFmtId="164" fontId="30" fillId="0" borderId="0" xfId="9" applyFont="1" applyFill="1" applyAlignment="1">
      <alignment horizontal="left" indent="3"/>
    </xf>
    <xf numFmtId="165" fontId="30" fillId="14" borderId="37" xfId="9" quotePrefix="1" applyNumberFormat="1" applyFont="1" applyFill="1" applyBorder="1" applyAlignment="1">
      <alignment horizontal="center"/>
    </xf>
    <xf numFmtId="165" fontId="30" fillId="14" borderId="6" xfId="9" quotePrefix="1" applyNumberFormat="1" applyFont="1" applyFill="1" applyBorder="1" applyAlignment="1">
      <alignment horizontal="center"/>
    </xf>
    <xf numFmtId="165" fontId="31" fillId="14" borderId="37" xfId="9" quotePrefix="1" applyNumberFormat="1" applyFont="1" applyFill="1" applyBorder="1" applyAlignment="1">
      <alignment horizontal="center"/>
    </xf>
    <xf numFmtId="164" fontId="31" fillId="14" borderId="6" xfId="9" quotePrefix="1" applyFont="1" applyFill="1" applyBorder="1" applyAlignment="1">
      <alignment horizontal="center"/>
    </xf>
    <xf numFmtId="164" fontId="30" fillId="14" borderId="6" xfId="9" applyFont="1" applyFill="1" applyBorder="1" applyAlignment="1">
      <alignment horizontal="center"/>
    </xf>
    <xf numFmtId="165" fontId="30" fillId="14" borderId="42" xfId="9" quotePrefix="1" applyNumberFormat="1" applyFont="1" applyFill="1" applyBorder="1" applyAlignment="1">
      <alignment horizontal="center"/>
    </xf>
    <xf numFmtId="164" fontId="30" fillId="14" borderId="30" xfId="9" quotePrefix="1" applyFont="1" applyFill="1" applyBorder="1" applyAlignment="1">
      <alignment horizontal="center"/>
    </xf>
    <xf numFmtId="165" fontId="30" fillId="14" borderId="30" xfId="9" quotePrefix="1" applyNumberFormat="1" applyFont="1" applyFill="1" applyBorder="1" applyAlignment="1">
      <alignment horizontal="center"/>
    </xf>
    <xf numFmtId="164" fontId="31" fillId="14" borderId="30" xfId="9" quotePrefix="1" applyFont="1" applyFill="1" applyBorder="1" applyAlignment="1">
      <alignment horizontal="center"/>
    </xf>
    <xf numFmtId="164" fontId="30" fillId="14" borderId="30" xfId="9" applyFont="1" applyFill="1" applyBorder="1" applyAlignment="1">
      <alignment horizontal="center"/>
    </xf>
    <xf numFmtId="39" fontId="30" fillId="14" borderId="6" xfId="9" quotePrefix="1" applyNumberFormat="1" applyFont="1" applyFill="1" applyBorder="1" applyAlignment="1">
      <alignment horizontal="right"/>
    </xf>
    <xf numFmtId="164" fontId="31" fillId="14" borderId="7" xfId="9" quotePrefix="1" applyFont="1" applyFill="1" applyBorder="1" applyAlignment="1">
      <alignment horizontal="center"/>
    </xf>
    <xf numFmtId="165" fontId="30" fillId="14" borderId="35" xfId="9" quotePrefix="1" applyNumberFormat="1" applyFont="1" applyFill="1" applyBorder="1" applyAlignment="1">
      <alignment horizontal="center"/>
    </xf>
    <xf numFmtId="164" fontId="30" fillId="14" borderId="0" xfId="9" quotePrefix="1" applyFont="1" applyFill="1" applyBorder="1" applyAlignment="1">
      <alignment horizontal="center"/>
    </xf>
    <xf numFmtId="165" fontId="30" fillId="14" borderId="29" xfId="9" quotePrefix="1" applyNumberFormat="1" applyFont="1" applyFill="1" applyBorder="1" applyAlignment="1">
      <alignment horizontal="center"/>
    </xf>
    <xf numFmtId="165" fontId="30" fillId="14" borderId="6" xfId="9" applyNumberFormat="1" applyFont="1" applyFill="1" applyBorder="1" applyAlignment="1">
      <alignment horizontal="center"/>
    </xf>
    <xf numFmtId="164" fontId="39" fillId="14" borderId="30" xfId="9" quotePrefix="1" applyFont="1" applyFill="1" applyBorder="1" applyAlignment="1">
      <alignment horizontal="center"/>
    </xf>
    <xf numFmtId="164" fontId="31" fillId="14" borderId="30" xfId="9" applyFont="1" applyFill="1" applyBorder="1" applyAlignment="1">
      <alignment horizontal="center"/>
    </xf>
    <xf numFmtId="39" fontId="31" fillId="14" borderId="30" xfId="9" quotePrefix="1" applyNumberFormat="1" applyFont="1" applyFill="1" applyBorder="1" applyAlignment="1">
      <alignment horizontal="center"/>
    </xf>
    <xf numFmtId="164" fontId="31" fillId="14" borderId="45" xfId="9" applyFont="1" applyFill="1" applyBorder="1"/>
    <xf numFmtId="164" fontId="35" fillId="21" borderId="6" xfId="9" quotePrefix="1" applyFont="1" applyFill="1" applyBorder="1" applyAlignment="1">
      <alignment horizontal="center"/>
    </xf>
    <xf numFmtId="164" fontId="31" fillId="21" borderId="6" xfId="9" applyFont="1" applyFill="1" applyBorder="1" applyAlignment="1">
      <alignment horizontal="left"/>
    </xf>
    <xf numFmtId="164" fontId="31" fillId="21" borderId="6" xfId="9" quotePrefix="1" applyFont="1" applyFill="1" applyBorder="1" applyAlignment="1">
      <alignment horizontal="center"/>
    </xf>
    <xf numFmtId="164" fontId="31" fillId="21" borderId="6" xfId="9" applyFont="1" applyFill="1" applyBorder="1"/>
    <xf numFmtId="164" fontId="30" fillId="21" borderId="0" xfId="9" applyFont="1" applyFill="1"/>
    <xf numFmtId="164" fontId="31" fillId="14" borderId="41" xfId="9" applyFont="1" applyFill="1" applyBorder="1" applyAlignment="1">
      <alignment horizontal="left"/>
    </xf>
    <xf numFmtId="164" fontId="30" fillId="14" borderId="0" xfId="9" applyFont="1" applyFill="1" applyBorder="1"/>
    <xf numFmtId="0" fontId="74" fillId="0" borderId="0" xfId="10" applyFont="1"/>
    <xf numFmtId="0" fontId="76" fillId="0" borderId="0" xfId="10" applyFont="1"/>
    <xf numFmtId="0" fontId="78" fillId="0" borderId="14" xfId="10" applyFont="1" applyBorder="1"/>
    <xf numFmtId="0" fontId="76" fillId="0" borderId="2" xfId="10" applyFont="1" applyBorder="1" applyAlignment="1">
      <alignment horizontal="center"/>
    </xf>
    <xf numFmtId="0" fontId="76" fillId="0" borderId="2" xfId="10" applyFont="1" applyBorder="1"/>
    <xf numFmtId="0" fontId="76" fillId="0" borderId="51" xfId="10" applyFont="1" applyBorder="1"/>
    <xf numFmtId="0" fontId="76" fillId="0" borderId="18" xfId="10" applyFont="1" applyBorder="1"/>
    <xf numFmtId="0" fontId="76" fillId="0" borderId="0" xfId="10" applyFont="1" applyAlignment="1">
      <alignment horizontal="center"/>
    </xf>
    <xf numFmtId="0" fontId="76" fillId="0" borderId="30" xfId="10" applyFont="1" applyBorder="1" applyAlignment="1">
      <alignment horizontal="left"/>
    </xf>
    <xf numFmtId="0" fontId="76" fillId="0" borderId="8" xfId="10" applyFont="1" applyBorder="1" applyAlignment="1">
      <alignment horizontal="left"/>
    </xf>
    <xf numFmtId="0" fontId="76" fillId="0" borderId="8" xfId="10" applyFont="1" applyBorder="1" applyAlignment="1">
      <alignment horizontal="center"/>
    </xf>
    <xf numFmtId="0" fontId="76" fillId="0" borderId="8" xfId="10" applyFont="1" applyBorder="1" applyAlignment="1">
      <alignment horizontal="left" indent="2"/>
    </xf>
    <xf numFmtId="0" fontId="76" fillId="0" borderId="40" xfId="10" applyFont="1" applyBorder="1" applyAlignment="1">
      <alignment horizontal="center"/>
    </xf>
    <xf numFmtId="0" fontId="76" fillId="0" borderId="10" xfId="10" applyFont="1" applyBorder="1"/>
    <xf numFmtId="0" fontId="76" fillId="0" borderId="0" xfId="10" quotePrefix="1" applyFont="1"/>
    <xf numFmtId="0" fontId="76" fillId="0" borderId="0" xfId="10" applyFont="1" applyAlignment="1">
      <alignment horizontal="left"/>
    </xf>
    <xf numFmtId="0" fontId="76" fillId="0" borderId="19" xfId="10" quotePrefix="1" applyFont="1" applyBorder="1"/>
    <xf numFmtId="0" fontId="76" fillId="0" borderId="12" xfId="10" applyFont="1" applyBorder="1"/>
    <xf numFmtId="0" fontId="76" fillId="0" borderId="5" xfId="10" applyFont="1" applyBorder="1"/>
    <xf numFmtId="0" fontId="76" fillId="0" borderId="5" xfId="10" quotePrefix="1" applyFont="1" applyBorder="1"/>
    <xf numFmtId="0" fontId="76" fillId="0" borderId="52" xfId="10" quotePrefix="1" applyFont="1" applyBorder="1"/>
    <xf numFmtId="0" fontId="76" fillId="0" borderId="40" xfId="10" applyFont="1" applyBorder="1"/>
    <xf numFmtId="0" fontId="78" fillId="0" borderId="0" xfId="10" applyFont="1" applyAlignment="1">
      <alignment vertical="center" wrapText="1"/>
    </xf>
    <xf numFmtId="49" fontId="76" fillId="0" borderId="53" xfId="10" quotePrefix="1" applyNumberFormat="1" applyFont="1" applyBorder="1" applyAlignment="1">
      <alignment horizontal="center" vertical="center"/>
    </xf>
    <xf numFmtId="49" fontId="76" fillId="2" borderId="53" xfId="10" applyNumberFormat="1" applyFont="1" applyFill="1" applyBorder="1" applyAlignment="1">
      <alignment horizontal="center" vertical="center"/>
    </xf>
    <xf numFmtId="49" fontId="76" fillId="2" borderId="53" xfId="10" quotePrefix="1" applyNumberFormat="1" applyFont="1" applyFill="1" applyBorder="1" applyAlignment="1">
      <alignment horizontal="center" vertical="center"/>
    </xf>
    <xf numFmtId="49" fontId="39" fillId="22" borderId="53" xfId="10" applyNumberFormat="1" applyFont="1" applyFill="1" applyBorder="1" applyAlignment="1">
      <alignment horizontal="left" vertical="center"/>
    </xf>
    <xf numFmtId="49" fontId="39" fillId="22" borderId="53" xfId="10" quotePrefix="1" applyNumberFormat="1" applyFont="1" applyFill="1" applyBorder="1" applyAlignment="1">
      <alignment horizontal="center" vertical="center"/>
    </xf>
    <xf numFmtId="49" fontId="39" fillId="22" borderId="53" xfId="10" applyNumberFormat="1" applyFont="1" applyFill="1" applyBorder="1" applyAlignment="1">
      <alignment horizontal="center" vertical="center"/>
    </xf>
    <xf numFmtId="164" fontId="39" fillId="22" borderId="53" xfId="5" applyFont="1" applyFill="1" applyBorder="1"/>
    <xf numFmtId="0" fontId="39" fillId="22" borderId="0" xfId="10" applyFont="1" applyFill="1" applyAlignment="1">
      <alignment horizontal="center" vertical="center" wrapText="1"/>
    </xf>
    <xf numFmtId="0" fontId="34" fillId="22" borderId="0" xfId="10" applyFont="1" applyFill="1"/>
    <xf numFmtId="49" fontId="82" fillId="7" borderId="53" xfId="10" quotePrefix="1" applyNumberFormat="1" applyFont="1" applyFill="1" applyBorder="1" applyAlignment="1">
      <alignment horizontal="center" vertical="center"/>
    </xf>
    <xf numFmtId="49" fontId="75" fillId="7" borderId="53" xfId="6" applyNumberFormat="1" applyFont="1" applyFill="1" applyBorder="1" applyAlignment="1">
      <alignment horizontal="left" vertical="center"/>
    </xf>
    <xf numFmtId="49" fontId="75" fillId="7" borderId="53" xfId="10" quotePrefix="1" applyNumberFormat="1" applyFont="1" applyFill="1" applyBorder="1" applyAlignment="1">
      <alignment horizontal="center" vertical="center"/>
    </xf>
    <xf numFmtId="49" fontId="75" fillId="7" borderId="53" xfId="10" applyNumberFormat="1" applyFont="1" applyFill="1" applyBorder="1" applyAlignment="1">
      <alignment horizontal="center" vertical="center"/>
    </xf>
    <xf numFmtId="164" fontId="75" fillId="7" borderId="53" xfId="5" quotePrefix="1" applyFont="1" applyFill="1" applyBorder="1" applyAlignment="1">
      <alignment horizontal="center" vertical="center"/>
    </xf>
    <xf numFmtId="0" fontId="75" fillId="7" borderId="0" xfId="10" applyFont="1" applyFill="1" applyAlignment="1">
      <alignment horizontal="center" vertical="center" wrapText="1"/>
    </xf>
    <xf numFmtId="0" fontId="82" fillId="7" borderId="0" xfId="10" applyFont="1" applyFill="1"/>
    <xf numFmtId="0" fontId="82" fillId="7" borderId="53" xfId="10" applyFont="1" applyFill="1" applyBorder="1" applyAlignment="1">
      <alignment horizontal="left" vertical="center"/>
    </xf>
    <xf numFmtId="0" fontId="82" fillId="7" borderId="53" xfId="10" applyFont="1" applyFill="1" applyBorder="1"/>
    <xf numFmtId="1" fontId="82" fillId="7" borderId="53" xfId="11" applyNumberFormat="1" applyFont="1" applyFill="1" applyBorder="1"/>
    <xf numFmtId="164" fontId="82" fillId="7" borderId="53" xfId="5" applyFont="1" applyFill="1" applyBorder="1" applyAlignment="1"/>
    <xf numFmtId="0" fontId="82" fillId="7" borderId="53" xfId="10" applyFont="1" applyFill="1" applyBorder="1" applyAlignment="1">
      <alignment horizontal="center"/>
    </xf>
    <xf numFmtId="0" fontId="82" fillId="7" borderId="53" xfId="11" applyNumberFormat="1" applyFont="1" applyFill="1" applyBorder="1" applyAlignment="1">
      <alignment horizontal="center"/>
    </xf>
    <xf numFmtId="164" fontId="75" fillId="7" borderId="53" xfId="5" applyFont="1" applyFill="1" applyBorder="1"/>
    <xf numFmtId="164" fontId="82" fillId="7" borderId="53" xfId="5" applyFont="1" applyFill="1" applyBorder="1"/>
    <xf numFmtId="164" fontId="82" fillId="7" borderId="53" xfId="10" quotePrefix="1" applyNumberFormat="1" applyFont="1" applyFill="1" applyBorder="1" applyAlignment="1">
      <alignment horizontal="right" vertical="center"/>
    </xf>
    <xf numFmtId="164" fontId="82" fillId="7" borderId="53" xfId="5" quotePrefix="1" applyFont="1" applyFill="1" applyBorder="1" applyAlignment="1">
      <alignment horizontal="center" vertical="center"/>
    </xf>
    <xf numFmtId="164" fontId="82" fillId="7" borderId="53" xfId="10" quotePrefix="1" applyNumberFormat="1" applyFont="1" applyFill="1" applyBorder="1" applyAlignment="1">
      <alignment horizontal="center" vertical="center"/>
    </xf>
    <xf numFmtId="164" fontId="82" fillId="7" borderId="53" xfId="10" applyNumberFormat="1" applyFont="1" applyFill="1" applyBorder="1"/>
    <xf numFmtId="1" fontId="82" fillId="7" borderId="53" xfId="5" applyNumberFormat="1" applyFont="1" applyFill="1" applyBorder="1" applyAlignment="1">
      <alignment horizontal="right" vertical="center"/>
    </xf>
    <xf numFmtId="164" fontId="82" fillId="7" borderId="53" xfId="5" applyFont="1" applyFill="1" applyBorder="1" applyAlignment="1">
      <alignment horizontal="right" vertical="center"/>
    </xf>
    <xf numFmtId="165" fontId="82" fillId="7" borderId="53" xfId="5" applyNumberFormat="1" applyFont="1" applyFill="1" applyBorder="1" applyAlignment="1">
      <alignment horizontal="right" vertical="center"/>
    </xf>
    <xf numFmtId="164" fontId="82" fillId="7" borderId="53" xfId="11" applyFont="1" applyFill="1" applyBorder="1"/>
    <xf numFmtId="164" fontId="82" fillId="7" borderId="53" xfId="5" applyFont="1" applyFill="1" applyBorder="1" applyAlignment="1">
      <alignment horizontal="center"/>
    </xf>
    <xf numFmtId="164" fontId="75" fillId="7" borderId="53" xfId="5" applyFont="1" applyFill="1" applyBorder="1" applyAlignment="1"/>
    <xf numFmtId="0" fontId="75" fillId="7" borderId="53" xfId="10" applyFont="1" applyFill="1" applyBorder="1" applyAlignment="1">
      <alignment horizontal="right"/>
    </xf>
    <xf numFmtId="165" fontId="75" fillId="7" borderId="53" xfId="5" applyNumberFormat="1" applyFont="1" applyFill="1" applyBorder="1"/>
    <xf numFmtId="0" fontId="75" fillId="7" borderId="53" xfId="10" applyFont="1" applyFill="1" applyBorder="1" applyAlignment="1">
      <alignment horizontal="center"/>
    </xf>
    <xf numFmtId="0" fontId="75" fillId="7" borderId="53" xfId="11" applyNumberFormat="1" applyFont="1" applyFill="1" applyBorder="1" applyAlignment="1">
      <alignment horizontal="center"/>
    </xf>
    <xf numFmtId="0" fontId="75" fillId="7" borderId="53" xfId="5" applyNumberFormat="1" applyFont="1" applyFill="1" applyBorder="1" applyAlignment="1">
      <alignment horizontal="center"/>
    </xf>
    <xf numFmtId="164" fontId="82" fillId="7" borderId="53" xfId="6" applyNumberFormat="1" applyFont="1" applyFill="1" applyBorder="1" applyAlignment="1">
      <alignment horizontal="right"/>
    </xf>
    <xf numFmtId="0" fontId="82" fillId="7" borderId="53" xfId="10" quotePrefix="1" applyFont="1" applyFill="1" applyBorder="1" applyAlignment="1">
      <alignment horizontal="right" vertical="center"/>
    </xf>
    <xf numFmtId="49" fontId="75" fillId="7" borderId="53" xfId="10" applyNumberFormat="1" applyFont="1" applyFill="1" applyBorder="1" applyAlignment="1">
      <alignment horizontal="left" vertical="center"/>
    </xf>
    <xf numFmtId="167" fontId="75" fillId="7" borderId="53" xfId="6" applyNumberFormat="1" applyFont="1" applyFill="1" applyBorder="1"/>
    <xf numFmtId="0" fontId="75" fillId="7" borderId="53" xfId="6" applyFont="1" applyFill="1" applyBorder="1" applyAlignment="1">
      <alignment horizontal="center"/>
    </xf>
    <xf numFmtId="0" fontId="75" fillId="7" borderId="53" xfId="6" applyFont="1" applyFill="1" applyBorder="1"/>
    <xf numFmtId="167" fontId="78" fillId="7" borderId="0" xfId="6" applyNumberFormat="1" applyFont="1" applyFill="1"/>
    <xf numFmtId="0" fontId="78" fillId="7" borderId="0" xfId="6" applyFont="1" applyFill="1" applyAlignment="1">
      <alignment horizontal="center"/>
    </xf>
    <xf numFmtId="0" fontId="78" fillId="7" borderId="0" xfId="6" applyFont="1" applyFill="1"/>
    <xf numFmtId="164" fontId="78" fillId="7" borderId="0" xfId="5" applyFont="1" applyFill="1" applyBorder="1"/>
    <xf numFmtId="0" fontId="76" fillId="7" borderId="0" xfId="10" applyFont="1" applyFill="1"/>
    <xf numFmtId="164" fontId="76" fillId="0" borderId="0" xfId="5" applyFont="1" applyFill="1"/>
    <xf numFmtId="165" fontId="76" fillId="0" borderId="0" xfId="5" applyNumberFormat="1" applyFont="1" applyFill="1"/>
    <xf numFmtId="165" fontId="75" fillId="0" borderId="0" xfId="5" applyNumberFormat="1" applyFont="1" applyFill="1" applyAlignment="1"/>
    <xf numFmtId="164" fontId="75" fillId="0" borderId="0" xfId="5" applyFont="1" applyFill="1"/>
    <xf numFmtId="0" fontId="82" fillId="0" borderId="0" xfId="10" applyFont="1"/>
    <xf numFmtId="165" fontId="83" fillId="0" borderId="0" xfId="5" applyNumberFormat="1" applyFont="1" applyFill="1"/>
    <xf numFmtId="164" fontId="83" fillId="0" borderId="0" xfId="5" applyFont="1" applyFill="1"/>
    <xf numFmtId="164" fontId="83" fillId="0" borderId="0" xfId="5" applyFont="1" applyFill="1" applyAlignment="1"/>
    <xf numFmtId="0" fontId="84" fillId="0" borderId="0" xfId="10" applyFont="1"/>
    <xf numFmtId="164" fontId="31" fillId="0" borderId="7" xfId="5" applyFont="1" applyFill="1" applyBorder="1"/>
    <xf numFmtId="164" fontId="30" fillId="0" borderId="8" xfId="5" applyFont="1" applyFill="1" applyBorder="1"/>
    <xf numFmtId="165" fontId="30" fillId="0" borderId="8" xfId="5" applyNumberFormat="1" applyFont="1" applyFill="1" applyBorder="1"/>
    <xf numFmtId="164" fontId="30" fillId="0" borderId="9" xfId="5" applyFont="1" applyFill="1" applyBorder="1"/>
    <xf numFmtId="164" fontId="31" fillId="0" borderId="6" xfId="5" applyFont="1" applyFill="1" applyBorder="1"/>
    <xf numFmtId="164" fontId="30" fillId="0" borderId="6" xfId="5" applyFont="1" applyFill="1" applyBorder="1"/>
    <xf numFmtId="164" fontId="30" fillId="0" borderId="10" xfId="5" applyFont="1" applyFill="1" applyBorder="1"/>
    <xf numFmtId="164" fontId="30" fillId="0" borderId="0" xfId="5" applyFont="1" applyFill="1" applyBorder="1"/>
    <xf numFmtId="165" fontId="30" fillId="0" borderId="0" xfId="5" applyNumberFormat="1" applyFont="1" applyFill="1" applyBorder="1"/>
    <xf numFmtId="164" fontId="30" fillId="0" borderId="11" xfId="5" applyFont="1" applyFill="1" applyBorder="1"/>
    <xf numFmtId="164" fontId="30" fillId="0" borderId="7" xfId="5" applyFont="1" applyFill="1" applyBorder="1"/>
    <xf numFmtId="164" fontId="30" fillId="0" borderId="12" xfId="5" applyFont="1" applyFill="1" applyBorder="1"/>
    <xf numFmtId="164" fontId="30" fillId="0" borderId="5" xfId="5" applyFont="1" applyFill="1" applyBorder="1"/>
    <xf numFmtId="165" fontId="30" fillId="0" borderId="5" xfId="5" applyNumberFormat="1" applyFont="1" applyFill="1" applyBorder="1"/>
    <xf numFmtId="164" fontId="30" fillId="0" borderId="13" xfId="5" applyFont="1" applyFill="1" applyBorder="1"/>
    <xf numFmtId="0" fontId="30" fillId="0" borderId="0" xfId="6" applyFont="1"/>
    <xf numFmtId="165" fontId="30" fillId="0" borderId="6" xfId="5" applyNumberFormat="1" applyFont="1" applyFill="1" applyBorder="1"/>
    <xf numFmtId="164" fontId="30" fillId="0" borderId="6" xfId="5" quotePrefix="1" applyFont="1" applyFill="1" applyBorder="1" applyAlignment="1">
      <alignment horizontal="center"/>
    </xf>
    <xf numFmtId="164" fontId="30" fillId="4" borderId="6" xfId="5" quotePrefix="1" applyFont="1" applyFill="1" applyBorder="1" applyAlignment="1">
      <alignment horizontal="center"/>
    </xf>
    <xf numFmtId="164" fontId="31" fillId="4" borderId="6" xfId="5" applyFont="1" applyFill="1" applyBorder="1" applyAlignment="1">
      <alignment horizontal="center"/>
    </xf>
    <xf numFmtId="164" fontId="31" fillId="4" borderId="6" xfId="5" quotePrefix="1" applyFont="1" applyFill="1" applyBorder="1" applyAlignment="1">
      <alignment horizontal="center"/>
    </xf>
    <xf numFmtId="164" fontId="30" fillId="5" borderId="6" xfId="5" quotePrefix="1" applyFont="1" applyFill="1" applyBorder="1" applyAlignment="1">
      <alignment horizontal="center"/>
    </xf>
    <xf numFmtId="164" fontId="31" fillId="5" borderId="6" xfId="5" applyFont="1" applyFill="1" applyBorder="1" applyAlignment="1">
      <alignment horizontal="left"/>
    </xf>
    <xf numFmtId="164" fontId="31" fillId="5" borderId="6" xfId="5" quotePrefix="1" applyFont="1" applyFill="1" applyBorder="1" applyAlignment="1">
      <alignment horizontal="center"/>
    </xf>
    <xf numFmtId="164" fontId="30" fillId="20" borderId="6" xfId="5" quotePrefix="1" applyFont="1" applyFill="1" applyBorder="1" applyAlignment="1">
      <alignment horizontal="center"/>
    </xf>
    <xf numFmtId="164" fontId="38" fillId="20" borderId="6" xfId="5" applyFont="1" applyFill="1" applyBorder="1" applyAlignment="1">
      <alignment horizontal="left"/>
    </xf>
    <xf numFmtId="164" fontId="31" fillId="20" borderId="6" xfId="5" quotePrefix="1" applyFont="1" applyFill="1" applyBorder="1" applyAlignment="1">
      <alignment horizontal="center"/>
    </xf>
    <xf numFmtId="164" fontId="30" fillId="7" borderId="6" xfId="5" quotePrefix="1" applyFont="1" applyFill="1" applyBorder="1" applyAlignment="1">
      <alignment horizontal="center"/>
    </xf>
    <xf numFmtId="164" fontId="30" fillId="0" borderId="6" xfId="5" applyFont="1" applyFill="1" applyBorder="1" applyAlignment="1">
      <alignment horizontal="left"/>
    </xf>
    <xf numFmtId="165" fontId="30" fillId="0" borderId="6" xfId="5" quotePrefix="1" applyNumberFormat="1" applyFont="1" applyFill="1" applyBorder="1" applyAlignment="1">
      <alignment horizontal="center"/>
    </xf>
    <xf numFmtId="164" fontId="31" fillId="7" borderId="6" xfId="5" applyFont="1" applyFill="1" applyBorder="1" applyAlignment="1">
      <alignment horizontal="left"/>
    </xf>
    <xf numFmtId="164" fontId="31" fillId="7" borderId="6" xfId="5" quotePrefix="1" applyFont="1" applyFill="1" applyBorder="1" applyAlignment="1">
      <alignment horizontal="center"/>
    </xf>
    <xf numFmtId="164" fontId="30" fillId="7" borderId="6" xfId="5" applyFont="1" applyFill="1" applyBorder="1" applyAlignment="1">
      <alignment horizontal="left"/>
    </xf>
    <xf numFmtId="164" fontId="30" fillId="7" borderId="6" xfId="5" applyFont="1" applyFill="1" applyBorder="1" applyAlignment="1">
      <alignment horizontal="center"/>
    </xf>
    <xf numFmtId="164" fontId="30" fillId="20" borderId="6" xfId="6" applyNumberFormat="1" applyFont="1" applyFill="1" applyBorder="1" applyAlignment="1">
      <alignment horizontal="left"/>
    </xf>
    <xf numFmtId="164" fontId="30" fillId="20" borderId="32" xfId="6" applyNumberFormat="1" applyFont="1" applyFill="1" applyBorder="1" applyAlignment="1">
      <alignment horizontal="center"/>
    </xf>
    <xf numFmtId="0" fontId="31" fillId="5" borderId="6" xfId="6" applyFont="1" applyFill="1" applyBorder="1" applyAlignment="1">
      <alignment horizontal="left"/>
    </xf>
    <xf numFmtId="0" fontId="31" fillId="5" borderId="6" xfId="6" applyFont="1" applyFill="1" applyBorder="1"/>
    <xf numFmtId="3" fontId="31" fillId="5" borderId="6" xfId="6" applyNumberFormat="1" applyFont="1" applyFill="1" applyBorder="1"/>
    <xf numFmtId="164" fontId="31" fillId="5" borderId="6" xfId="5" applyFont="1" applyFill="1" applyBorder="1" applyAlignment="1">
      <alignment horizontal="right"/>
    </xf>
    <xf numFmtId="4" fontId="31" fillId="5" borderId="6" xfId="6" applyNumberFormat="1" applyFont="1" applyFill="1" applyBorder="1" applyAlignment="1">
      <alignment horizontal="right"/>
    </xf>
    <xf numFmtId="165" fontId="31" fillId="5" borderId="6" xfId="5" applyNumberFormat="1" applyFont="1" applyFill="1" applyBorder="1"/>
    <xf numFmtId="4" fontId="31" fillId="5" borderId="6" xfId="6" applyNumberFormat="1" applyFont="1" applyFill="1" applyBorder="1"/>
    <xf numFmtId="0" fontId="31" fillId="20" borderId="6" xfId="6" applyFont="1" applyFill="1" applyBorder="1"/>
    <xf numFmtId="3" fontId="31" fillId="20" borderId="6" xfId="6" applyNumberFormat="1" applyFont="1" applyFill="1" applyBorder="1"/>
    <xf numFmtId="164" fontId="31" fillId="20" borderId="6" xfId="5" applyFont="1" applyFill="1" applyBorder="1" applyAlignment="1">
      <alignment horizontal="right"/>
    </xf>
    <xf numFmtId="4" fontId="31" fillId="20" borderId="6" xfId="6" applyNumberFormat="1" applyFont="1" applyFill="1" applyBorder="1" applyAlignment="1">
      <alignment horizontal="right"/>
    </xf>
    <xf numFmtId="165" fontId="31" fillId="20" borderId="6" xfId="5" applyNumberFormat="1" applyFont="1" applyFill="1" applyBorder="1"/>
    <xf numFmtId="4" fontId="31" fillId="20" borderId="6" xfId="6" applyNumberFormat="1" applyFont="1" applyFill="1" applyBorder="1"/>
    <xf numFmtId="0" fontId="30" fillId="0" borderId="6" xfId="6" applyFont="1" applyBorder="1" applyAlignment="1">
      <alignment horizontal="left"/>
    </xf>
    <xf numFmtId="3" fontId="30" fillId="0" borderId="6" xfId="6" applyNumberFormat="1" applyFont="1" applyBorder="1"/>
    <xf numFmtId="173" fontId="30" fillId="0" borderId="6" xfId="6" applyNumberFormat="1" applyFont="1" applyBorder="1" applyAlignment="1">
      <alignment horizontal="right"/>
    </xf>
    <xf numFmtId="4" fontId="30" fillId="0" borderId="6" xfId="6" applyNumberFormat="1" applyFont="1" applyBorder="1" applyAlignment="1">
      <alignment horizontal="right"/>
    </xf>
    <xf numFmtId="4" fontId="30" fillId="0" borderId="6" xfId="6" applyNumberFormat="1" applyFont="1" applyBorder="1"/>
    <xf numFmtId="173" fontId="31" fillId="20" borderId="6" xfId="6" applyNumberFormat="1" applyFont="1" applyFill="1" applyBorder="1" applyAlignment="1">
      <alignment horizontal="right"/>
    </xf>
    <xf numFmtId="164" fontId="31" fillId="20" borderId="6" xfId="5" applyFont="1" applyFill="1" applyBorder="1" applyAlignment="1">
      <alignment horizontal="left"/>
    </xf>
    <xf numFmtId="164" fontId="31" fillId="20" borderId="6" xfId="5" applyFont="1" applyFill="1" applyBorder="1"/>
    <xf numFmtId="164" fontId="31" fillId="0" borderId="6" xfId="5" quotePrefix="1" applyFont="1" applyFill="1" applyBorder="1" applyAlignment="1">
      <alignment horizontal="center"/>
    </xf>
    <xf numFmtId="164" fontId="37" fillId="0" borderId="6" xfId="5" applyFont="1" applyFill="1" applyBorder="1" applyAlignment="1">
      <alignment horizontal="left"/>
    </xf>
    <xf numFmtId="164" fontId="30" fillId="0" borderId="6" xfId="5" applyFont="1" applyFill="1" applyBorder="1" applyAlignment="1">
      <alignment horizontal="center"/>
    </xf>
    <xf numFmtId="164" fontId="38" fillId="0" borderId="6" xfId="5" applyFont="1" applyFill="1" applyBorder="1" applyAlignment="1">
      <alignment horizontal="left"/>
    </xf>
    <xf numFmtId="164" fontId="85" fillId="0" borderId="6" xfId="5" applyFont="1" applyFill="1" applyBorder="1"/>
    <xf numFmtId="164" fontId="31" fillId="0" borderId="6" xfId="5" applyFont="1" applyFill="1" applyBorder="1" applyAlignment="1">
      <alignment vertical="center"/>
    </xf>
    <xf numFmtId="164" fontId="38" fillId="0" borderId="6" xfId="5" applyFont="1" applyFill="1" applyBorder="1" applyAlignment="1">
      <alignment vertical="center"/>
    </xf>
    <xf numFmtId="164" fontId="37" fillId="0" borderId="6" xfId="5" applyFont="1" applyFill="1" applyBorder="1"/>
    <xf numFmtId="164" fontId="38" fillId="0" borderId="6" xfId="5" applyFont="1" applyFill="1" applyBorder="1"/>
    <xf numFmtId="164" fontId="37" fillId="0" borderId="6" xfId="5" applyFont="1" applyFill="1" applyBorder="1" applyAlignment="1">
      <alignment horizontal="center"/>
    </xf>
    <xf numFmtId="164" fontId="30" fillId="0" borderId="6" xfId="5" applyFont="1" applyFill="1" applyBorder="1" applyAlignment="1">
      <alignment vertical="center"/>
    </xf>
    <xf numFmtId="164" fontId="30" fillId="0" borderId="6" xfId="5" applyFont="1" applyFill="1" applyBorder="1" applyAlignment="1">
      <alignment horizontal="right"/>
    </xf>
    <xf numFmtId="164" fontId="86" fillId="0" borderId="6" xfId="5" applyFont="1" applyFill="1" applyBorder="1" applyAlignment="1">
      <alignment vertical="center"/>
    </xf>
    <xf numFmtId="164" fontId="86" fillId="0" borderId="6" xfId="5" applyFont="1" applyFill="1" applyBorder="1"/>
    <xf numFmtId="165" fontId="86" fillId="0" borderId="6" xfId="5" applyNumberFormat="1" applyFont="1" applyFill="1" applyBorder="1"/>
    <xf numFmtId="164" fontId="86" fillId="0" borderId="6" xfId="5" applyFont="1" applyFill="1" applyBorder="1" applyAlignment="1">
      <alignment horizontal="center"/>
    </xf>
    <xf numFmtId="164" fontId="86" fillId="0" borderId="6" xfId="5" applyFont="1" applyFill="1" applyBorder="1" applyAlignment="1">
      <alignment horizontal="right"/>
    </xf>
    <xf numFmtId="164" fontId="34" fillId="0" borderId="6" xfId="5" applyFont="1" applyFill="1" applyBorder="1" applyAlignment="1">
      <alignment horizontal="center"/>
    </xf>
    <xf numFmtId="164" fontId="30" fillId="0" borderId="0" xfId="5" applyFont="1" applyBorder="1"/>
    <xf numFmtId="172" fontId="30" fillId="0" borderId="0" xfId="5" applyNumberFormat="1" applyFont="1" applyFill="1" applyBorder="1"/>
    <xf numFmtId="164" fontId="31" fillId="0" borderId="0" xfId="5" applyFont="1" applyFill="1" applyBorder="1"/>
    <xf numFmtId="164" fontId="31" fillId="0" borderId="0" xfId="5" applyFont="1" applyBorder="1"/>
    <xf numFmtId="164" fontId="31" fillId="0" borderId="0" xfId="5" applyFont="1" applyFill="1" applyBorder="1" applyAlignment="1">
      <alignment horizontal="left"/>
    </xf>
    <xf numFmtId="164" fontId="31" fillId="0" borderId="11" xfId="5" applyFont="1" applyFill="1" applyBorder="1"/>
    <xf numFmtId="164" fontId="37" fillId="0" borderId="5" xfId="5" applyFont="1" applyFill="1" applyBorder="1"/>
    <xf numFmtId="164" fontId="37" fillId="0" borderId="5" xfId="5" applyFont="1" applyFill="1" applyBorder="1" applyAlignment="1">
      <alignment horizontal="center"/>
    </xf>
    <xf numFmtId="164" fontId="37" fillId="0" borderId="13" xfId="5" applyFont="1" applyFill="1" applyBorder="1"/>
    <xf numFmtId="164" fontId="30" fillId="14" borderId="6" xfId="5" quotePrefix="1" applyFont="1" applyFill="1" applyBorder="1" applyAlignment="1">
      <alignment horizontal="center"/>
    </xf>
    <xf numFmtId="164" fontId="31" fillId="14" borderId="6" xfId="5" quotePrefix="1" applyFont="1" applyFill="1" applyBorder="1" applyAlignment="1">
      <alignment horizontal="center"/>
    </xf>
    <xf numFmtId="0" fontId="2" fillId="14" borderId="0" xfId="6" applyFill="1"/>
    <xf numFmtId="164" fontId="30" fillId="14" borderId="6" xfId="5" applyFont="1" applyFill="1" applyBorder="1" applyAlignment="1">
      <alignment horizontal="left"/>
    </xf>
    <xf numFmtId="165" fontId="30" fillId="14" borderId="6" xfId="5" quotePrefix="1" applyNumberFormat="1" applyFont="1" applyFill="1" applyBorder="1" applyAlignment="1">
      <alignment horizontal="center"/>
    </xf>
    <xf numFmtId="164" fontId="30" fillId="14" borderId="6" xfId="5" applyFont="1" applyFill="1" applyBorder="1"/>
    <xf numFmtId="164" fontId="30" fillId="14" borderId="6" xfId="5" applyFont="1" applyFill="1" applyBorder="1" applyAlignment="1">
      <alignment horizontal="center"/>
    </xf>
    <xf numFmtId="3" fontId="30" fillId="14" borderId="6" xfId="6" applyNumberFormat="1" applyFont="1" applyFill="1" applyBorder="1"/>
    <xf numFmtId="173" fontId="30" fillId="14" borderId="6" xfId="6" applyNumberFormat="1" applyFont="1" applyFill="1" applyBorder="1" applyAlignment="1">
      <alignment horizontal="right"/>
    </xf>
    <xf numFmtId="164" fontId="30" fillId="0" borderId="34" xfId="5" applyFont="1" applyFill="1" applyBorder="1" applyAlignment="1"/>
    <xf numFmtId="164" fontId="30" fillId="0" borderId="33" xfId="5" applyFont="1" applyFill="1" applyBorder="1" applyAlignment="1"/>
    <xf numFmtId="164" fontId="30" fillId="0" borderId="32" xfId="5" applyFont="1" applyFill="1" applyBorder="1" applyAlignment="1"/>
    <xf numFmtId="164" fontId="87" fillId="0" borderId="0" xfId="9" applyFont="1" applyFill="1"/>
    <xf numFmtId="164" fontId="88" fillId="0" borderId="7" xfId="9" applyFont="1" applyFill="1" applyBorder="1"/>
    <xf numFmtId="164" fontId="87" fillId="0" borderId="8" xfId="9" applyFont="1" applyFill="1" applyBorder="1"/>
    <xf numFmtId="165" fontId="87" fillId="0" borderId="8" xfId="9" applyNumberFormat="1" applyFont="1" applyFill="1" applyBorder="1"/>
    <xf numFmtId="164" fontId="87" fillId="0" borderId="9" xfId="9" applyFont="1" applyFill="1" applyBorder="1"/>
    <xf numFmtId="164" fontId="88" fillId="0" borderId="6" xfId="9" applyFont="1" applyFill="1" applyBorder="1"/>
    <xf numFmtId="164" fontId="87" fillId="0" borderId="6" xfId="9" applyFont="1" applyFill="1" applyBorder="1"/>
    <xf numFmtId="164" fontId="87" fillId="0" borderId="10" xfId="9" applyFont="1" applyFill="1" applyBorder="1"/>
    <xf numFmtId="164" fontId="87" fillId="0" borderId="0" xfId="9" applyFont="1" applyFill="1" applyBorder="1"/>
    <xf numFmtId="165" fontId="87" fillId="0" borderId="0" xfId="9" applyNumberFormat="1" applyFont="1" applyFill="1" applyBorder="1"/>
    <xf numFmtId="164" fontId="87" fillId="0" borderId="11" xfId="9" applyFont="1" applyFill="1" applyBorder="1"/>
    <xf numFmtId="164" fontId="87" fillId="0" borderId="7" xfId="9" applyFont="1" applyFill="1" applyBorder="1"/>
    <xf numFmtId="164" fontId="87" fillId="0" borderId="12" xfId="9" applyFont="1" applyFill="1" applyBorder="1"/>
    <xf numFmtId="164" fontId="87" fillId="0" borderId="5" xfId="9" applyFont="1" applyFill="1" applyBorder="1"/>
    <xf numFmtId="165" fontId="87" fillId="0" borderId="5" xfId="9" applyNumberFormat="1" applyFont="1" applyFill="1" applyBorder="1"/>
    <xf numFmtId="164" fontId="87" fillId="0" borderId="13" xfId="9" applyFont="1" applyFill="1" applyBorder="1"/>
    <xf numFmtId="0" fontId="87" fillId="0" borderId="0" xfId="6" applyFont="1"/>
    <xf numFmtId="165" fontId="87" fillId="0" borderId="6" xfId="9" applyNumberFormat="1" applyFont="1" applyFill="1" applyBorder="1"/>
    <xf numFmtId="164" fontId="87" fillId="0" borderId="6" xfId="9" quotePrefix="1" applyFont="1" applyFill="1" applyBorder="1" applyAlignment="1">
      <alignment horizontal="center"/>
    </xf>
    <xf numFmtId="165" fontId="87" fillId="0" borderId="6" xfId="9" quotePrefix="1" applyNumberFormat="1" applyFont="1" applyFill="1" applyBorder="1" applyAlignment="1">
      <alignment horizontal="center"/>
    </xf>
    <xf numFmtId="164" fontId="88" fillId="0" borderId="6" xfId="9" applyFont="1" applyFill="1" applyBorder="1" applyAlignment="1">
      <alignment horizontal="center"/>
    </xf>
    <xf numFmtId="164" fontId="88" fillId="0" borderId="6" xfId="9" quotePrefix="1" applyFont="1" applyFill="1" applyBorder="1" applyAlignment="1">
      <alignment horizontal="center"/>
    </xf>
    <xf numFmtId="164" fontId="88" fillId="0" borderId="6" xfId="9" applyFont="1" applyFill="1" applyBorder="1" applyAlignment="1">
      <alignment horizontal="left"/>
    </xf>
    <xf numFmtId="164" fontId="90" fillId="0" borderId="6" xfId="9" applyFont="1" applyFill="1" applyBorder="1" applyAlignment="1">
      <alignment horizontal="left"/>
    </xf>
    <xf numFmtId="164" fontId="87" fillId="0" borderId="6" xfId="9" applyFont="1" applyFill="1" applyBorder="1" applyAlignment="1">
      <alignment horizontal="left"/>
    </xf>
    <xf numFmtId="164" fontId="87" fillId="0" borderId="6" xfId="9" applyFont="1" applyFill="1" applyBorder="1" applyAlignment="1">
      <alignment horizontal="center"/>
    </xf>
    <xf numFmtId="164" fontId="87" fillId="0" borderId="6" xfId="9" quotePrefix="1" applyFont="1" applyFill="1" applyBorder="1" applyAlignment="1">
      <alignment horizontal="left"/>
    </xf>
    <xf numFmtId="164" fontId="87" fillId="14" borderId="6" xfId="9" quotePrefix="1" applyFont="1" applyFill="1" applyBorder="1" applyAlignment="1">
      <alignment horizontal="center"/>
    </xf>
    <xf numFmtId="164" fontId="87" fillId="14" borderId="6" xfId="9" quotePrefix="1" applyFont="1" applyFill="1" applyBorder="1" applyAlignment="1">
      <alignment horizontal="left"/>
    </xf>
    <xf numFmtId="165" fontId="87" fillId="14" borderId="6" xfId="9" quotePrefix="1" applyNumberFormat="1" applyFont="1" applyFill="1" applyBorder="1" applyAlignment="1">
      <alignment horizontal="center"/>
    </xf>
    <xf numFmtId="164" fontId="87" fillId="14" borderId="6" xfId="9" applyFont="1" applyFill="1" applyBorder="1"/>
    <xf numFmtId="164" fontId="87" fillId="14" borderId="0" xfId="9" applyFont="1" applyFill="1"/>
    <xf numFmtId="164" fontId="87" fillId="14" borderId="6" xfId="9" applyFont="1" applyFill="1" applyBorder="1" applyAlignment="1">
      <alignment horizontal="left"/>
    </xf>
    <xf numFmtId="164" fontId="87" fillId="14" borderId="6" xfId="9" applyFont="1" applyFill="1" applyBorder="1" applyAlignment="1">
      <alignment horizontal="center"/>
    </xf>
    <xf numFmtId="164" fontId="90" fillId="0" borderId="6" xfId="9" applyFont="1" applyFill="1" applyBorder="1" applyAlignment="1">
      <alignment vertical="center"/>
    </xf>
    <xf numFmtId="164" fontId="91" fillId="0" borderId="6" xfId="9" applyFont="1" applyFill="1" applyBorder="1"/>
    <xf numFmtId="164" fontId="90" fillId="0" borderId="6" xfId="9" applyFont="1" applyFill="1" applyBorder="1"/>
    <xf numFmtId="164" fontId="91" fillId="0" borderId="6" xfId="9" applyFont="1" applyFill="1" applyBorder="1" applyAlignment="1">
      <alignment horizontal="center"/>
    </xf>
    <xf numFmtId="164" fontId="87" fillId="0" borderId="6" xfId="9" applyFont="1" applyFill="1" applyBorder="1" applyAlignment="1">
      <alignment vertical="center"/>
    </xf>
    <xf numFmtId="164" fontId="87" fillId="0" borderId="6" xfId="9" applyFont="1" applyFill="1" applyBorder="1" applyAlignment="1">
      <alignment horizontal="right"/>
    </xf>
    <xf numFmtId="165" fontId="87" fillId="14" borderId="6" xfId="9" applyNumberFormat="1" applyFont="1" applyFill="1" applyBorder="1"/>
    <xf numFmtId="164" fontId="91" fillId="14" borderId="6" xfId="9" applyFont="1" applyFill="1" applyBorder="1"/>
    <xf numFmtId="164" fontId="90" fillId="14" borderId="6" xfId="9" applyFont="1" applyFill="1" applyBorder="1"/>
    <xf numFmtId="164" fontId="91" fillId="14" borderId="6" xfId="9" applyFont="1" applyFill="1" applyBorder="1" applyAlignment="1">
      <alignment horizontal="center"/>
    </xf>
    <xf numFmtId="164" fontId="0" fillId="0" borderId="0" xfId="9" applyFont="1"/>
    <xf numFmtId="164" fontId="87" fillId="0" borderId="0" xfId="9" applyFont="1" applyFill="1" applyBorder="1" applyAlignment="1">
      <alignment vertical="center"/>
    </xf>
    <xf numFmtId="164" fontId="87" fillId="0" borderId="0" xfId="9" applyFont="1" applyFill="1" applyBorder="1" applyAlignment="1">
      <alignment horizontal="center"/>
    </xf>
    <xf numFmtId="164" fontId="87" fillId="0" borderId="0" xfId="9" applyFont="1" applyFill="1" applyBorder="1" applyAlignment="1">
      <alignment horizontal="right"/>
    </xf>
    <xf numFmtId="165" fontId="87" fillId="0" borderId="0" xfId="9" applyNumberFormat="1" applyFont="1" applyFill="1"/>
    <xf numFmtId="164" fontId="88" fillId="0" borderId="0" xfId="9" applyFont="1" applyFill="1"/>
    <xf numFmtId="164" fontId="91" fillId="0" borderId="0" xfId="9" applyFont="1" applyFill="1"/>
    <xf numFmtId="165" fontId="91" fillId="0" borderId="0" xfId="9" applyNumberFormat="1" applyFont="1" applyFill="1"/>
    <xf numFmtId="164" fontId="91" fillId="0" borderId="0" xfId="9" applyFont="1" applyFill="1" applyAlignment="1">
      <alignment horizontal="center"/>
    </xf>
    <xf numFmtId="165" fontId="87" fillId="0" borderId="0" xfId="9" applyNumberFormat="1" applyFont="1" applyFill="1" applyAlignment="1">
      <alignment horizontal="center"/>
    </xf>
    <xf numFmtId="164" fontId="88" fillId="14" borderId="6" xfId="9" quotePrefix="1" applyFont="1" applyFill="1" applyBorder="1" applyAlignment="1">
      <alignment horizontal="center"/>
    </xf>
    <xf numFmtId="0" fontId="94" fillId="0" borderId="14" xfId="10" applyFont="1" applyBorder="1"/>
    <xf numFmtId="0" fontId="84" fillId="0" borderId="2" xfId="10" applyFont="1" applyBorder="1" applyAlignment="1">
      <alignment horizontal="center"/>
    </xf>
    <xf numFmtId="0" fontId="84" fillId="0" borderId="2" xfId="10" applyFont="1" applyBorder="1"/>
    <xf numFmtId="0" fontId="84" fillId="0" borderId="51" xfId="10" applyFont="1" applyBorder="1"/>
    <xf numFmtId="0" fontId="84" fillId="0" borderId="18" xfId="10" applyFont="1" applyBorder="1"/>
    <xf numFmtId="0" fontId="84" fillId="0" borderId="0" xfId="10" applyFont="1" applyAlignment="1">
      <alignment horizontal="center"/>
    </xf>
    <xf numFmtId="0" fontId="84" fillId="0" borderId="30" xfId="10" applyFont="1" applyBorder="1" applyAlignment="1">
      <alignment horizontal="left"/>
    </xf>
    <xf numFmtId="0" fontId="84" fillId="0" borderId="8" xfId="10" applyFont="1" applyBorder="1" applyAlignment="1">
      <alignment horizontal="left"/>
    </xf>
    <xf numFmtId="0" fontId="84" fillId="0" borderId="8" xfId="10" applyFont="1" applyBorder="1" applyAlignment="1">
      <alignment horizontal="center"/>
    </xf>
    <xf numFmtId="0" fontId="84" fillId="0" borderId="8" xfId="10" applyFont="1" applyBorder="1" applyAlignment="1">
      <alignment horizontal="left" indent="2"/>
    </xf>
    <xf numFmtId="0" fontId="84" fillId="0" borderId="40" xfId="10" applyFont="1" applyBorder="1" applyAlignment="1">
      <alignment horizontal="center"/>
    </xf>
    <xf numFmtId="0" fontId="84" fillId="0" borderId="10" xfId="10" applyFont="1" applyBorder="1"/>
    <xf numFmtId="0" fontId="84" fillId="0" borderId="0" xfId="10" quotePrefix="1" applyFont="1"/>
    <xf numFmtId="0" fontId="84" fillId="0" borderId="0" xfId="10" applyFont="1" applyAlignment="1">
      <alignment horizontal="left"/>
    </xf>
    <xf numFmtId="0" fontId="84" fillId="0" borderId="19" xfId="10" quotePrefix="1" applyFont="1" applyBorder="1"/>
    <xf numFmtId="0" fontId="84" fillId="0" borderId="12" xfId="10" applyFont="1" applyBorder="1"/>
    <xf numFmtId="0" fontId="84" fillId="0" borderId="5" xfId="10" applyFont="1" applyBorder="1"/>
    <xf numFmtId="0" fontId="84" fillId="0" borderId="5" xfId="10" quotePrefix="1" applyFont="1" applyBorder="1"/>
    <xf numFmtId="0" fontId="84" fillId="0" borderId="52" xfId="10" quotePrefix="1" applyFont="1" applyBorder="1"/>
    <xf numFmtId="0" fontId="84" fillId="0" borderId="40" xfId="10" applyFont="1" applyBorder="1"/>
    <xf numFmtId="49" fontId="84" fillId="0" borderId="53" xfId="10" quotePrefix="1" applyNumberFormat="1" applyFont="1" applyBorder="1" applyAlignment="1">
      <alignment horizontal="center" vertical="center"/>
    </xf>
    <xf numFmtId="49" fontId="94" fillId="4" borderId="53" xfId="10" applyNumberFormat="1" applyFont="1" applyFill="1" applyBorder="1" applyAlignment="1">
      <alignment horizontal="left" vertical="center"/>
    </xf>
    <xf numFmtId="49" fontId="94" fillId="4" borderId="53" xfId="10" quotePrefix="1" applyNumberFormat="1" applyFont="1" applyFill="1" applyBorder="1" applyAlignment="1">
      <alignment horizontal="center" vertical="center"/>
    </xf>
    <xf numFmtId="49" fontId="94" fillId="4" borderId="53" xfId="10" applyNumberFormat="1" applyFont="1" applyFill="1" applyBorder="1" applyAlignment="1">
      <alignment horizontal="center" vertical="center"/>
    </xf>
    <xf numFmtId="164" fontId="94" fillId="4" borderId="53" xfId="5" applyFont="1" applyFill="1" applyBorder="1"/>
    <xf numFmtId="49" fontId="94" fillId="0" borderId="53" xfId="6" applyNumberFormat="1" applyFont="1" applyBorder="1" applyAlignment="1">
      <alignment horizontal="left" vertical="center"/>
    </xf>
    <xf numFmtId="49" fontId="94" fillId="0" borderId="53" xfId="10" quotePrefix="1" applyNumberFormat="1" applyFont="1" applyBorder="1" applyAlignment="1">
      <alignment horizontal="center" vertical="center"/>
    </xf>
    <xf numFmtId="49" fontId="94" fillId="2" borderId="53" xfId="10" applyNumberFormat="1" applyFont="1" applyFill="1" applyBorder="1" applyAlignment="1">
      <alignment horizontal="center" vertical="center"/>
    </xf>
    <xf numFmtId="164" fontId="94" fillId="0" borderId="53" xfId="5" quotePrefix="1" applyFont="1" applyFill="1" applyBorder="1" applyAlignment="1">
      <alignment horizontal="center" vertical="center"/>
    </xf>
    <xf numFmtId="49" fontId="94" fillId="2" borderId="53" xfId="10" quotePrefix="1" applyNumberFormat="1" applyFont="1" applyFill="1" applyBorder="1" applyAlignment="1">
      <alignment horizontal="center" vertical="center"/>
    </xf>
    <xf numFmtId="0" fontId="84" fillId="0" borderId="53" xfId="10" applyFont="1" applyBorder="1" applyAlignment="1">
      <alignment horizontal="left" vertical="center"/>
    </xf>
    <xf numFmtId="0" fontId="84" fillId="0" borderId="53" xfId="10" applyFont="1" applyBorder="1"/>
    <xf numFmtId="1" fontId="84" fillId="0" borderId="53" xfId="11" applyNumberFormat="1" applyFont="1" applyFill="1" applyBorder="1"/>
    <xf numFmtId="164" fontId="84" fillId="0" borderId="53" xfId="5" applyFont="1" applyFill="1" applyBorder="1"/>
    <xf numFmtId="0" fontId="84" fillId="0" borderId="53" xfId="10" applyFont="1" applyBorder="1" applyAlignment="1">
      <alignment horizontal="center"/>
    </xf>
    <xf numFmtId="0" fontId="84" fillId="0" borderId="53" xfId="11" applyNumberFormat="1" applyFont="1" applyFill="1" applyBorder="1" applyAlignment="1">
      <alignment horizontal="center"/>
    </xf>
    <xf numFmtId="164" fontId="84" fillId="0" borderId="53" xfId="5" applyFont="1" applyFill="1" applyBorder="1" applyAlignment="1"/>
    <xf numFmtId="164" fontId="94" fillId="0" borderId="53" xfId="5" applyFont="1" applyFill="1" applyBorder="1"/>
    <xf numFmtId="164" fontId="84" fillId="0" borderId="53" xfId="10" quotePrefix="1" applyNumberFormat="1" applyFont="1" applyBorder="1" applyAlignment="1">
      <alignment horizontal="right" vertical="center"/>
    </xf>
    <xf numFmtId="164" fontId="84" fillId="0" borderId="53" xfId="5" quotePrefix="1" applyFont="1" applyFill="1" applyBorder="1" applyAlignment="1">
      <alignment horizontal="center" vertical="center"/>
    </xf>
    <xf numFmtId="164" fontId="84" fillId="0" borderId="53" xfId="10" quotePrefix="1" applyNumberFormat="1" applyFont="1" applyBorder="1" applyAlignment="1">
      <alignment horizontal="center" vertical="center"/>
    </xf>
    <xf numFmtId="164" fontId="84" fillId="0" borderId="53" xfId="10" applyNumberFormat="1" applyFont="1" applyBorder="1"/>
    <xf numFmtId="0" fontId="84" fillId="14" borderId="53" xfId="10" applyFont="1" applyFill="1" applyBorder="1" applyAlignment="1">
      <alignment horizontal="left" vertical="center"/>
    </xf>
    <xf numFmtId="0" fontId="84" fillId="14" borderId="53" xfId="10" applyFont="1" applyFill="1" applyBorder="1"/>
    <xf numFmtId="1" fontId="84" fillId="14" borderId="53" xfId="11" applyNumberFormat="1" applyFont="1" applyFill="1" applyBorder="1"/>
    <xf numFmtId="1" fontId="84" fillId="0" borderId="53" xfId="5" applyNumberFormat="1" applyFont="1" applyFill="1" applyBorder="1" applyAlignment="1">
      <alignment horizontal="right" vertical="center"/>
    </xf>
    <xf numFmtId="164" fontId="84" fillId="0" borderId="53" xfId="5" applyFont="1" applyFill="1" applyBorder="1" applyAlignment="1">
      <alignment horizontal="right" vertical="center"/>
    </xf>
    <xf numFmtId="165" fontId="84" fillId="0" borderId="53" xfId="5" applyNumberFormat="1" applyFont="1" applyFill="1" applyBorder="1" applyAlignment="1">
      <alignment horizontal="right" vertical="center"/>
    </xf>
    <xf numFmtId="164" fontId="84" fillId="0" borderId="53" xfId="11" applyFont="1" applyFill="1" applyBorder="1"/>
    <xf numFmtId="164" fontId="84" fillId="0" borderId="53" xfId="5" applyFont="1" applyFill="1" applyBorder="1" applyAlignment="1">
      <alignment horizontal="center"/>
    </xf>
    <xf numFmtId="164" fontId="94" fillId="0" borderId="53" xfId="5" applyFont="1" applyFill="1" applyBorder="1" applyAlignment="1"/>
    <xf numFmtId="0" fontId="94" fillId="0" borderId="53" xfId="10" applyFont="1" applyBorder="1" applyAlignment="1">
      <alignment horizontal="right"/>
    </xf>
    <xf numFmtId="165" fontId="94" fillId="0" borderId="53" xfId="5" applyNumberFormat="1" applyFont="1" applyFill="1" applyBorder="1"/>
    <xf numFmtId="0" fontId="94" fillId="0" borderId="53" xfId="11" applyNumberFormat="1" applyFont="1" applyFill="1" applyBorder="1" applyAlignment="1">
      <alignment horizontal="center"/>
    </xf>
    <xf numFmtId="0" fontId="94" fillId="0" borderId="53" xfId="5" applyNumberFormat="1" applyFont="1" applyFill="1" applyBorder="1" applyAlignment="1">
      <alignment horizontal="center"/>
    </xf>
    <xf numFmtId="164" fontId="84" fillId="0" borderId="53" xfId="6" applyNumberFormat="1" applyFont="1" applyBorder="1" applyAlignment="1">
      <alignment horizontal="right"/>
    </xf>
    <xf numFmtId="164" fontId="84" fillId="0" borderId="53" xfId="5" applyFont="1" applyBorder="1" applyAlignment="1"/>
    <xf numFmtId="0" fontId="84" fillId="0" borderId="53" xfId="10" quotePrefix="1" applyFont="1" applyBorder="1" applyAlignment="1">
      <alignment horizontal="right" vertical="center"/>
    </xf>
    <xf numFmtId="49" fontId="94" fillId="0" borderId="53" xfId="10" applyNumberFormat="1" applyFont="1" applyBorder="1" applyAlignment="1">
      <alignment horizontal="left" vertical="center"/>
    </xf>
    <xf numFmtId="164" fontId="97" fillId="0" borderId="53" xfId="5" applyFont="1" applyFill="1" applyBorder="1" applyAlignment="1">
      <alignment horizontal="center"/>
    </xf>
    <xf numFmtId="164" fontId="97" fillId="0" borderId="53" xfId="5" applyFont="1" applyFill="1" applyBorder="1"/>
    <xf numFmtId="167" fontId="98" fillId="23" borderId="53" xfId="6" applyNumberFormat="1" applyFont="1" applyFill="1" applyBorder="1"/>
    <xf numFmtId="0" fontId="98" fillId="23" borderId="53" xfId="6" applyFont="1" applyFill="1" applyBorder="1" applyAlignment="1">
      <alignment horizontal="center"/>
    </xf>
    <xf numFmtId="0" fontId="98" fillId="23" borderId="53" xfId="6" applyFont="1" applyFill="1" applyBorder="1"/>
    <xf numFmtId="164" fontId="98" fillId="23" borderId="53" xfId="5" applyFont="1" applyFill="1" applyBorder="1"/>
    <xf numFmtId="164" fontId="99" fillId="0" borderId="0" xfId="5" applyFont="1" applyFill="1"/>
    <xf numFmtId="165" fontId="99" fillId="0" borderId="0" xfId="5" applyNumberFormat="1" applyFont="1" applyFill="1"/>
    <xf numFmtId="164" fontId="98" fillId="0" borderId="0" xfId="5" applyFont="1" applyFill="1" applyAlignment="1"/>
    <xf numFmtId="164" fontId="98" fillId="0" borderId="0" xfId="5" applyFont="1" applyFill="1"/>
    <xf numFmtId="165" fontId="100" fillId="0" borderId="0" xfId="5" applyNumberFormat="1" applyFont="1" applyFill="1"/>
    <xf numFmtId="164" fontId="100" fillId="0" borderId="0" xfId="5" applyFont="1" applyFill="1"/>
    <xf numFmtId="164" fontId="87" fillId="24" borderId="6" xfId="9" applyFont="1" applyFill="1" applyBorder="1"/>
    <xf numFmtId="164" fontId="88" fillId="24" borderId="6" xfId="9" applyFont="1" applyFill="1" applyBorder="1" applyAlignment="1">
      <alignment vertical="center"/>
    </xf>
    <xf numFmtId="164" fontId="88" fillId="24" borderId="6" xfId="9" applyFont="1" applyFill="1" applyBorder="1"/>
    <xf numFmtId="164" fontId="87" fillId="24" borderId="6" xfId="9" applyFont="1" applyFill="1" applyBorder="1" applyAlignment="1">
      <alignment horizontal="center"/>
    </xf>
    <xf numFmtId="164" fontId="87" fillId="24" borderId="0" xfId="9" applyFont="1" applyFill="1"/>
    <xf numFmtId="165" fontId="87" fillId="24" borderId="6" xfId="9" applyNumberFormat="1" applyFont="1" applyFill="1" applyBorder="1"/>
    <xf numFmtId="164" fontId="87" fillId="24" borderId="6" xfId="9" quotePrefix="1" applyFont="1" applyFill="1" applyBorder="1" applyAlignment="1">
      <alignment horizontal="center"/>
    </xf>
    <xf numFmtId="164" fontId="88" fillId="24" borderId="6" xfId="9" applyFont="1" applyFill="1" applyBorder="1" applyAlignment="1">
      <alignment horizontal="left"/>
    </xf>
    <xf numFmtId="165" fontId="87" fillId="24" borderId="6" xfId="9" quotePrefix="1" applyNumberFormat="1" applyFont="1" applyFill="1" applyBorder="1" applyAlignment="1">
      <alignment horizontal="center"/>
    </xf>
    <xf numFmtId="164" fontId="88" fillId="24" borderId="6" xfId="9" quotePrefix="1" applyFont="1" applyFill="1" applyBorder="1" applyAlignment="1">
      <alignment horizontal="center"/>
    </xf>
    <xf numFmtId="0" fontId="2" fillId="24" borderId="0" xfId="6" applyFill="1"/>
    <xf numFmtId="164" fontId="101" fillId="0" borderId="0" xfId="9" applyFont="1" applyFill="1"/>
    <xf numFmtId="164" fontId="102" fillId="0" borderId="7" xfId="9" applyFont="1" applyFill="1" applyBorder="1"/>
    <xf numFmtId="164" fontId="101" fillId="0" borderId="8" xfId="9" applyFont="1" applyFill="1" applyBorder="1"/>
    <xf numFmtId="165" fontId="101" fillId="0" borderId="8" xfId="9" applyNumberFormat="1" applyFont="1" applyFill="1" applyBorder="1"/>
    <xf numFmtId="164" fontId="101" fillId="0" borderId="9" xfId="9" applyFont="1" applyFill="1" applyBorder="1"/>
    <xf numFmtId="164" fontId="102" fillId="0" borderId="6" xfId="9" applyFont="1" applyFill="1" applyBorder="1"/>
    <xf numFmtId="164" fontId="101" fillId="0" borderId="6" xfId="9" applyFont="1" applyFill="1" applyBorder="1"/>
    <xf numFmtId="164" fontId="101" fillId="0" borderId="10" xfId="9" applyFont="1" applyFill="1" applyBorder="1"/>
    <xf numFmtId="164" fontId="101" fillId="0" borderId="0" xfId="9" applyFont="1" applyFill="1" applyBorder="1"/>
    <xf numFmtId="165" fontId="101" fillId="0" borderId="0" xfId="9" applyNumberFormat="1" applyFont="1" applyFill="1" applyBorder="1"/>
    <xf numFmtId="164" fontId="101" fillId="0" borderId="11" xfId="9" applyFont="1" applyFill="1" applyBorder="1"/>
    <xf numFmtId="164" fontId="101" fillId="0" borderId="7" xfId="9" applyFont="1" applyFill="1" applyBorder="1"/>
    <xf numFmtId="164" fontId="101" fillId="0" borderId="12" xfId="9" applyFont="1" applyFill="1" applyBorder="1"/>
    <xf numFmtId="164" fontId="101" fillId="0" borderId="5" xfId="9" applyFont="1" applyFill="1" applyBorder="1"/>
    <xf numFmtId="165" fontId="101" fillId="0" borderId="5" xfId="9" applyNumberFormat="1" applyFont="1" applyFill="1" applyBorder="1"/>
    <xf numFmtId="164" fontId="101" fillId="0" borderId="13" xfId="9" applyFont="1" applyFill="1" applyBorder="1"/>
    <xf numFmtId="0" fontId="2" fillId="0" borderId="5" xfId="6" applyBorder="1"/>
    <xf numFmtId="165" fontId="101" fillId="0" borderId="6" xfId="9" applyNumberFormat="1" applyFont="1" applyFill="1" applyBorder="1"/>
    <xf numFmtId="164" fontId="101" fillId="0" borderId="6" xfId="9" quotePrefix="1" applyFont="1" applyFill="1" applyBorder="1" applyAlignment="1">
      <alignment horizontal="center"/>
    </xf>
    <xf numFmtId="165" fontId="101" fillId="0" borderId="6" xfId="9" quotePrefix="1" applyNumberFormat="1" applyFont="1" applyFill="1" applyBorder="1" applyAlignment="1">
      <alignment horizontal="center"/>
    </xf>
    <xf numFmtId="164" fontId="102" fillId="0" borderId="6" xfId="9" applyFont="1" applyFill="1" applyBorder="1" applyAlignment="1">
      <alignment horizontal="center"/>
    </xf>
    <xf numFmtId="164" fontId="102" fillId="0" borderId="6" xfId="9" quotePrefix="1" applyFont="1" applyFill="1" applyBorder="1" applyAlignment="1">
      <alignment horizontal="center"/>
    </xf>
    <xf numFmtId="164" fontId="101" fillId="0" borderId="6" xfId="9" applyFont="1" applyFill="1" applyBorder="1" applyAlignment="1">
      <alignment horizontal="center"/>
    </xf>
    <xf numFmtId="164" fontId="101" fillId="16" borderId="6" xfId="9" applyFont="1" applyFill="1" applyBorder="1"/>
    <xf numFmtId="164" fontId="101" fillId="0" borderId="6" xfId="9" applyFont="1" applyFill="1" applyBorder="1" applyAlignment="1">
      <alignment vertical="center"/>
    </xf>
    <xf numFmtId="164" fontId="102" fillId="16" borderId="6" xfId="9" applyFont="1" applyFill="1" applyBorder="1"/>
    <xf numFmtId="164" fontId="101" fillId="16" borderId="6" xfId="9" applyFont="1" applyFill="1" applyBorder="1" applyAlignment="1">
      <alignment horizontal="center"/>
    </xf>
    <xf numFmtId="164" fontId="101" fillId="16" borderId="0" xfId="9" applyFont="1" applyFill="1"/>
    <xf numFmtId="164" fontId="101" fillId="0" borderId="6" xfId="9" applyFont="1" applyFill="1" applyBorder="1" applyAlignment="1">
      <alignment horizontal="right"/>
    </xf>
    <xf numFmtId="165" fontId="101" fillId="16" borderId="6" xfId="9" applyNumberFormat="1" applyFont="1" applyFill="1" applyBorder="1"/>
    <xf numFmtId="164" fontId="76" fillId="0" borderId="6" xfId="9" applyFont="1" applyFill="1" applyBorder="1"/>
    <xf numFmtId="164" fontId="76" fillId="0" borderId="6" xfId="9" applyFont="1" applyFill="1" applyBorder="1" applyAlignment="1">
      <alignment vertical="center"/>
    </xf>
    <xf numFmtId="165" fontId="76" fillId="0" borderId="6" xfId="9" applyNumberFormat="1" applyFont="1" applyFill="1" applyBorder="1"/>
    <xf numFmtId="164" fontId="76" fillId="0" borderId="6" xfId="9" applyFont="1" applyFill="1" applyBorder="1" applyAlignment="1">
      <alignment horizontal="center"/>
    </xf>
    <xf numFmtId="164" fontId="76" fillId="0" borderId="6" xfId="9" applyFont="1" applyFill="1" applyBorder="1" applyAlignment="1">
      <alignment horizontal="right"/>
    </xf>
    <xf numFmtId="164" fontId="76" fillId="0" borderId="0" xfId="9" applyFont="1" applyFill="1"/>
    <xf numFmtId="164" fontId="78" fillId="0" borderId="6" xfId="9" applyFont="1" applyFill="1" applyBorder="1"/>
    <xf numFmtId="164" fontId="76" fillId="16" borderId="6" xfId="9" applyFont="1" applyFill="1" applyBorder="1"/>
    <xf numFmtId="165" fontId="76" fillId="16" borderId="6" xfId="9" applyNumberFormat="1" applyFont="1" applyFill="1" applyBorder="1"/>
    <xf numFmtId="164" fontId="76" fillId="16" borderId="6" xfId="9" applyFont="1" applyFill="1" applyBorder="1" applyAlignment="1">
      <alignment horizontal="center"/>
    </xf>
    <xf numFmtId="164" fontId="76" fillId="16" borderId="0" xfId="9" applyFont="1" applyFill="1"/>
    <xf numFmtId="164" fontId="101" fillId="0" borderId="0" xfId="9" applyFont="1" applyFill="1" applyBorder="1" applyAlignment="1">
      <alignment vertical="center"/>
    </xf>
    <xf numFmtId="164" fontId="101" fillId="0" borderId="0" xfId="9" applyFont="1" applyFill="1" applyBorder="1" applyAlignment="1">
      <alignment horizontal="center"/>
    </xf>
    <xf numFmtId="164" fontId="102" fillId="0" borderId="0" xfId="9" applyFont="1" applyFill="1" applyBorder="1"/>
    <xf numFmtId="165" fontId="101" fillId="0" borderId="0" xfId="9" applyNumberFormat="1" applyFont="1" applyFill="1"/>
    <xf numFmtId="164" fontId="102" fillId="0" borderId="0" xfId="9" applyFont="1" applyFill="1"/>
    <xf numFmtId="165" fontId="102" fillId="0" borderId="0" xfId="9" applyNumberFormat="1" applyFont="1" applyFill="1"/>
    <xf numFmtId="164" fontId="104" fillId="0" borderId="0" xfId="9" applyFont="1" applyFill="1"/>
    <xf numFmtId="165" fontId="104" fillId="0" borderId="0" xfId="9" applyNumberFormat="1" applyFont="1" applyFill="1"/>
    <xf numFmtId="164" fontId="104" fillId="0" borderId="0" xfId="9" applyFont="1" applyFill="1" applyAlignment="1">
      <alignment horizontal="center"/>
    </xf>
    <xf numFmtId="165" fontId="102" fillId="0" borderId="0" xfId="9" applyNumberFormat="1" applyFont="1" applyFill="1" applyAlignment="1">
      <alignment horizontal="center"/>
    </xf>
    <xf numFmtId="165" fontId="101" fillId="0" borderId="0" xfId="9" applyNumberFormat="1" applyFont="1" applyFill="1" applyAlignment="1">
      <alignment horizontal="center"/>
    </xf>
    <xf numFmtId="164" fontId="101" fillId="14" borderId="6" xfId="9" applyFont="1" applyFill="1" applyBorder="1"/>
    <xf numFmtId="164" fontId="102" fillId="14" borderId="6" xfId="9" applyFont="1" applyFill="1" applyBorder="1" applyAlignment="1">
      <alignment vertical="center"/>
    </xf>
    <xf numFmtId="164" fontId="102" fillId="14" borderId="6" xfId="9" applyFont="1" applyFill="1" applyBorder="1"/>
    <xf numFmtId="164" fontId="101" fillId="14" borderId="6" xfId="9" applyFont="1" applyFill="1" applyBorder="1" applyAlignment="1">
      <alignment horizontal="center"/>
    </xf>
    <xf numFmtId="164" fontId="101" fillId="14" borderId="0" xfId="9" applyFont="1" applyFill="1"/>
    <xf numFmtId="164" fontId="105" fillId="0" borderId="0" xfId="5" applyFont="1"/>
    <xf numFmtId="164" fontId="106" fillId="0" borderId="0" xfId="5" applyFont="1"/>
    <xf numFmtId="164" fontId="105" fillId="0" borderId="0" xfId="5" applyFont="1" applyAlignment="1">
      <alignment vertical="top"/>
    </xf>
    <xf numFmtId="164" fontId="105" fillId="0" borderId="30" xfId="5" applyFont="1" applyFill="1" applyBorder="1" applyAlignment="1">
      <alignment horizontal="center"/>
    </xf>
    <xf numFmtId="164" fontId="105" fillId="0" borderId="30" xfId="5" applyFont="1" applyFill="1" applyBorder="1" applyAlignment="1">
      <alignment horizontal="center" vertical="top"/>
    </xf>
    <xf numFmtId="164" fontId="105" fillId="0" borderId="31" xfId="5" applyFont="1" applyFill="1" applyBorder="1" applyAlignment="1">
      <alignment horizontal="center"/>
    </xf>
    <xf numFmtId="164" fontId="105" fillId="0" borderId="31" xfId="5" applyFont="1" applyBorder="1" applyAlignment="1">
      <alignment horizontal="center" vertical="top"/>
    </xf>
    <xf numFmtId="164" fontId="105" fillId="0" borderId="29" xfId="5" applyFont="1" applyFill="1" applyBorder="1" applyAlignment="1">
      <alignment horizontal="center"/>
    </xf>
    <xf numFmtId="164" fontId="105" fillId="0" borderId="29" xfId="5" applyFont="1" applyBorder="1" applyAlignment="1">
      <alignment horizontal="center" vertical="top"/>
    </xf>
    <xf numFmtId="164" fontId="105" fillId="0" borderId="6" xfId="5" applyFont="1" applyBorder="1" applyAlignment="1">
      <alignment horizontal="center"/>
    </xf>
    <xf numFmtId="164" fontId="105" fillId="0" borderId="6" xfId="5" applyFont="1" applyBorder="1" applyAlignment="1">
      <alignment horizontal="center" vertical="top"/>
    </xf>
    <xf numFmtId="164" fontId="107" fillId="0" borderId="6" xfId="5" applyFont="1" applyBorder="1"/>
    <xf numFmtId="164" fontId="107" fillId="0" borderId="6" xfId="5" applyFont="1" applyFill="1" applyBorder="1"/>
    <xf numFmtId="164" fontId="107" fillId="0" borderId="6" xfId="5" applyFont="1" applyFill="1" applyBorder="1" applyAlignment="1">
      <alignment horizontal="center"/>
    </xf>
    <xf numFmtId="164" fontId="107" fillId="0" borderId="6" xfId="5" applyFont="1" applyFill="1" applyBorder="1" applyAlignment="1">
      <alignment horizontal="left"/>
    </xf>
    <xf numFmtId="164" fontId="105" fillId="0" borderId="6" xfId="5" applyFont="1" applyBorder="1" applyAlignment="1">
      <alignment vertical="top"/>
    </xf>
    <xf numFmtId="164" fontId="105" fillId="0" borderId="0" xfId="5" applyFont="1" applyBorder="1"/>
    <xf numFmtId="164" fontId="105" fillId="0" borderId="6" xfId="5" applyFont="1" applyBorder="1"/>
    <xf numFmtId="164" fontId="106" fillId="0" borderId="6" xfId="5" applyFont="1" applyFill="1" applyBorder="1"/>
    <xf numFmtId="164" fontId="106" fillId="0" borderId="6" xfId="5" applyFont="1" applyFill="1" applyBorder="1" applyAlignment="1">
      <alignment horizontal="center"/>
    </xf>
    <xf numFmtId="164" fontId="106" fillId="0" borderId="6" xfId="5" applyFont="1" applyFill="1" applyBorder="1" applyAlignment="1">
      <alignment horizontal="left"/>
    </xf>
    <xf numFmtId="164" fontId="9" fillId="0" borderId="6" xfId="5" applyFont="1" applyBorder="1"/>
    <xf numFmtId="164" fontId="9" fillId="0" borderId="6" xfId="5" applyFont="1" applyBorder="1" applyAlignment="1">
      <alignment horizontal="center"/>
    </xf>
    <xf numFmtId="164" fontId="105" fillId="14" borderId="6" xfId="5" applyFont="1" applyFill="1" applyBorder="1"/>
    <xf numFmtId="164" fontId="9" fillId="14" borderId="6" xfId="5" applyFont="1" applyFill="1" applyBorder="1"/>
    <xf numFmtId="164" fontId="9" fillId="14" borderId="6" xfId="5" applyFont="1" applyFill="1" applyBorder="1" applyAlignment="1">
      <alignment horizontal="center"/>
    </xf>
    <xf numFmtId="164" fontId="105" fillId="14" borderId="6" xfId="5" applyFont="1" applyFill="1" applyBorder="1" applyAlignment="1">
      <alignment vertical="top"/>
    </xf>
    <xf numFmtId="164" fontId="105" fillId="14" borderId="0" xfId="5" applyFont="1" applyFill="1" applyBorder="1"/>
    <xf numFmtId="164" fontId="106" fillId="14" borderId="6" xfId="5" applyFont="1" applyFill="1" applyBorder="1" applyAlignment="1">
      <alignment horizontal="center"/>
    </xf>
    <xf numFmtId="164" fontId="9" fillId="0" borderId="34" xfId="5" applyFont="1" applyBorder="1" applyAlignment="1"/>
    <xf numFmtId="164" fontId="9" fillId="0" borderId="33" xfId="5" applyFont="1" applyBorder="1" applyAlignment="1"/>
    <xf numFmtId="164" fontId="9" fillId="0" borderId="32" xfId="5" applyFont="1" applyBorder="1" applyAlignment="1"/>
    <xf numFmtId="164" fontId="105" fillId="0" borderId="6" xfId="5" applyFont="1" applyFill="1" applyBorder="1"/>
    <xf numFmtId="164" fontId="105" fillId="0" borderId="6" xfId="5" applyFont="1" applyFill="1" applyBorder="1" applyAlignment="1">
      <alignment horizontal="center"/>
    </xf>
    <xf numFmtId="164" fontId="105" fillId="0" borderId="6" xfId="5" applyFont="1" applyFill="1" applyBorder="1" applyAlignment="1">
      <alignment horizontal="left"/>
    </xf>
    <xf numFmtId="164" fontId="105" fillId="0" borderId="0" xfId="5" applyFont="1" applyFill="1" applyBorder="1"/>
    <xf numFmtId="164" fontId="105" fillId="0" borderId="0" xfId="5" applyFont="1" applyFill="1" applyBorder="1" applyAlignment="1">
      <alignment horizontal="center"/>
    </xf>
    <xf numFmtId="164" fontId="105" fillId="0" borderId="0" xfId="5" applyFont="1" applyFill="1" applyBorder="1" applyAlignment="1">
      <alignment horizontal="left"/>
    </xf>
    <xf numFmtId="164" fontId="105" fillId="0" borderId="0" xfId="5" applyFont="1" applyBorder="1" applyAlignment="1">
      <alignment vertical="top"/>
    </xf>
    <xf numFmtId="164" fontId="105" fillId="0" borderId="0" xfId="5" applyFont="1" applyFill="1"/>
    <xf numFmtId="164" fontId="106" fillId="0" borderId="0" xfId="5" applyFont="1" applyAlignment="1">
      <alignment horizontal="left"/>
    </xf>
    <xf numFmtId="164" fontId="106" fillId="0" borderId="0" xfId="5" applyFont="1" applyAlignment="1"/>
    <xf numFmtId="164" fontId="108" fillId="0" borderId="0" xfId="5" applyFont="1"/>
    <xf numFmtId="164" fontId="108" fillId="0" borderId="0" xfId="5" applyFont="1" applyAlignment="1"/>
    <xf numFmtId="164" fontId="106" fillId="14" borderId="6" xfId="5" applyFont="1" applyFill="1" applyBorder="1"/>
    <xf numFmtId="164" fontId="31" fillId="0" borderId="0" xfId="9" applyFont="1" applyFill="1" applyBorder="1" applyAlignment="1">
      <alignment horizontal="center"/>
    </xf>
    <xf numFmtId="164" fontId="37" fillId="0" borderId="0" xfId="9" applyFont="1" applyFill="1" applyBorder="1" applyAlignment="1">
      <alignment horizontal="center" vertical="center"/>
    </xf>
    <xf numFmtId="164" fontId="37" fillId="0" borderId="0" xfId="9" applyFont="1" applyBorder="1" applyAlignment="1">
      <alignment horizontal="center"/>
    </xf>
    <xf numFmtId="164" fontId="37" fillId="0" borderId="0" xfId="9" applyFont="1" applyFill="1" applyBorder="1" applyAlignment="1">
      <alignment horizontal="center"/>
    </xf>
    <xf numFmtId="164" fontId="31" fillId="0" borderId="6" xfId="9" applyFont="1" applyFill="1" applyBorder="1" applyAlignment="1">
      <alignment horizontal="center" vertical="center" wrapText="1"/>
    </xf>
    <xf numFmtId="164" fontId="30" fillId="0" borderId="0" xfId="9" applyFont="1" applyFill="1" applyAlignment="1">
      <alignment horizontal="center"/>
    </xf>
    <xf numFmtId="164" fontId="31" fillId="0" borderId="0" xfId="9" applyFont="1" applyFill="1" applyAlignment="1">
      <alignment horizontal="center"/>
    </xf>
    <xf numFmtId="164" fontId="38" fillId="0" borderId="0" xfId="1" applyFont="1" applyBorder="1" applyAlignment="1">
      <alignment horizontal="center"/>
    </xf>
    <xf numFmtId="164" fontId="31" fillId="0" borderId="0" xfId="1" applyFont="1" applyBorder="1" applyAlignment="1">
      <alignment horizontal="center"/>
    </xf>
    <xf numFmtId="164" fontId="39" fillId="0" borderId="6" xfId="1" applyFont="1" applyFill="1" applyBorder="1" applyAlignment="1">
      <alignment horizontal="center" vertical="center" wrapText="1"/>
    </xf>
    <xf numFmtId="164" fontId="34" fillId="0" borderId="0" xfId="1" applyFont="1" applyFill="1" applyBorder="1" applyAlignment="1">
      <alignment horizontal="center"/>
    </xf>
    <xf numFmtId="164" fontId="31" fillId="0" borderId="0" xfId="9" applyFont="1" applyFill="1" applyBorder="1" applyAlignment="1"/>
    <xf numFmtId="164" fontId="42" fillId="0" borderId="6" xfId="9" applyFont="1" applyFill="1" applyBorder="1" applyAlignment="1">
      <alignment horizontal="center" vertical="center" wrapText="1"/>
    </xf>
    <xf numFmtId="164" fontId="31" fillId="7" borderId="6" xfId="9" applyFont="1" applyFill="1" applyBorder="1" applyAlignment="1">
      <alignment horizontal="center"/>
    </xf>
    <xf numFmtId="164" fontId="30" fillId="0" borderId="3" xfId="9" applyFont="1" applyFill="1" applyBorder="1" applyAlignment="1">
      <alignment horizontal="center"/>
    </xf>
    <xf numFmtId="0" fontId="9" fillId="0" borderId="0" xfId="10" applyAlignment="1">
      <alignment horizontal="left"/>
    </xf>
    <xf numFmtId="164" fontId="30" fillId="0" borderId="0" xfId="9" applyFont="1" applyFill="1" applyBorder="1" applyAlignment="1">
      <alignment horizontal="left"/>
    </xf>
    <xf numFmtId="164" fontId="30" fillId="0" borderId="0" xfId="9" quotePrefix="1" applyFont="1" applyFill="1" applyBorder="1" applyAlignment="1">
      <alignment horizontal="left"/>
    </xf>
    <xf numFmtId="164" fontId="31" fillId="0" borderId="30" xfId="9" applyFont="1" applyFill="1" applyBorder="1" applyAlignment="1">
      <alignment horizontal="center" vertical="center" wrapText="1"/>
    </xf>
    <xf numFmtId="164" fontId="31" fillId="0" borderId="30" xfId="9" applyFont="1" applyFill="1" applyBorder="1" applyAlignment="1">
      <alignment horizontal="center" vertical="center"/>
    </xf>
    <xf numFmtId="164" fontId="75" fillId="0" borderId="0" xfId="5" applyFont="1" applyFill="1" applyAlignment="1">
      <alignment horizontal="center"/>
    </xf>
    <xf numFmtId="164" fontId="83" fillId="0" borderId="0" xfId="5" applyFont="1" applyFill="1" applyAlignment="1">
      <alignment horizontal="center"/>
    </xf>
    <xf numFmtId="0" fontId="79" fillId="0" borderId="53" xfId="10" applyFont="1" applyBorder="1" applyAlignment="1">
      <alignment horizontal="center" vertical="center" wrapText="1"/>
    </xf>
    <xf numFmtId="0" fontId="78" fillId="0" borderId="8" xfId="10" applyFont="1" applyBorder="1" applyAlignment="1">
      <alignment horizontal="left"/>
    </xf>
    <xf numFmtId="0" fontId="76" fillId="0" borderId="0" xfId="6" applyFont="1" applyAlignment="1">
      <alignment horizontal="left"/>
    </xf>
    <xf numFmtId="0" fontId="76" fillId="0" borderId="4" xfId="10" applyFont="1" applyBorder="1" applyAlignment="1">
      <alignment horizontal="left"/>
    </xf>
    <xf numFmtId="164" fontId="31" fillId="0" borderId="0" xfId="5" applyFont="1" applyFill="1" applyBorder="1" applyAlignment="1">
      <alignment horizontal="center"/>
    </xf>
    <xf numFmtId="164" fontId="31" fillId="0" borderId="6" xfId="5" applyFont="1" applyFill="1" applyBorder="1" applyAlignment="1">
      <alignment horizontal="center" vertical="center" wrapText="1"/>
    </xf>
    <xf numFmtId="165" fontId="88" fillId="0" borderId="0" xfId="9" applyNumberFormat="1" applyFont="1" applyFill="1" applyAlignment="1">
      <alignment horizontal="center"/>
    </xf>
    <xf numFmtId="164" fontId="88" fillId="0" borderId="0" xfId="9" applyFont="1" applyFill="1" applyAlignment="1">
      <alignment horizontal="center"/>
    </xf>
    <xf numFmtId="164" fontId="88" fillId="0" borderId="6" xfId="9" applyFont="1" applyFill="1" applyBorder="1" applyAlignment="1">
      <alignment horizontal="center" vertical="center" wrapText="1"/>
    </xf>
    <xf numFmtId="164" fontId="87" fillId="0" borderId="0" xfId="9" applyFont="1" applyFill="1" applyAlignment="1">
      <alignment horizontal="center"/>
    </xf>
    <xf numFmtId="164" fontId="100" fillId="0" borderId="0" xfId="5" applyFont="1" applyFill="1" applyAlignment="1">
      <alignment horizontal="center"/>
    </xf>
    <xf numFmtId="0" fontId="94" fillId="0" borderId="53" xfId="10" applyFont="1" applyBorder="1" applyAlignment="1">
      <alignment horizontal="center"/>
    </xf>
    <xf numFmtId="0" fontId="84" fillId="0" borderId="0" xfId="6" applyFont="1" applyAlignment="1">
      <alignment horizontal="left"/>
    </xf>
    <xf numFmtId="0" fontId="84" fillId="0" borderId="4" xfId="10" applyFont="1" applyBorder="1" applyAlignment="1">
      <alignment horizontal="left"/>
    </xf>
    <xf numFmtId="0" fontId="94" fillId="0" borderId="8" xfId="10" applyFont="1" applyBorder="1" applyAlignment="1">
      <alignment horizontal="left"/>
    </xf>
    <xf numFmtId="164" fontId="102" fillId="0" borderId="6" xfId="9" applyFont="1" applyFill="1" applyBorder="1" applyAlignment="1">
      <alignment horizontal="center" vertical="center" wrapText="1"/>
    </xf>
    <xf numFmtId="164" fontId="101" fillId="0" borderId="0" xfId="9" applyFont="1" applyFill="1" applyAlignment="1">
      <alignment horizontal="center"/>
    </xf>
    <xf numFmtId="164" fontId="102" fillId="0" borderId="0" xfId="9" applyFont="1" applyFill="1" applyAlignment="1">
      <alignment horizontal="center"/>
    </xf>
    <xf numFmtId="164" fontId="5" fillId="0" borderId="0" xfId="2" applyFont="1" applyFill="1" applyAlignment="1">
      <alignment horizontal="center"/>
    </xf>
    <xf numFmtId="164" fontId="6" fillId="0" borderId="0" xfId="2" applyFont="1" applyFill="1" applyAlignment="1">
      <alignment horizontal="center"/>
    </xf>
    <xf numFmtId="164" fontId="5" fillId="0" borderId="29" xfId="5" applyFont="1" applyFill="1" applyBorder="1" applyAlignment="1">
      <alignment horizontal="right" vertical="center"/>
    </xf>
    <xf numFmtId="0" fontId="5" fillId="0" borderId="29" xfId="6" applyFont="1" applyBorder="1" applyAlignment="1">
      <alignment horizontal="right" vertical="center"/>
    </xf>
    <xf numFmtId="1" fontId="5" fillId="0" borderId="29" xfId="5" applyNumberFormat="1" applyFont="1" applyFill="1" applyBorder="1" applyAlignment="1">
      <alignment horizontal="right" vertical="center"/>
    </xf>
    <xf numFmtId="164" fontId="6" fillId="0" borderId="6" xfId="2" applyFont="1" applyFill="1" applyBorder="1" applyAlignment="1">
      <alignment horizontal="center" vertical="center" wrapText="1"/>
    </xf>
    <xf numFmtId="164" fontId="6" fillId="0" borderId="6" xfId="2" applyFont="1" applyFill="1" applyBorder="1" applyAlignment="1">
      <alignment horizontal="center" vertical="center"/>
    </xf>
    <xf numFmtId="164" fontId="15" fillId="0" borderId="6" xfId="2" applyFont="1" applyFill="1" applyBorder="1" applyAlignment="1">
      <alignment horizontal="center" vertical="center" wrapText="1"/>
    </xf>
    <xf numFmtId="164" fontId="5" fillId="0" borderId="6" xfId="5" applyFont="1" applyFill="1" applyBorder="1" applyAlignment="1">
      <alignment horizontal="right" vertical="center"/>
    </xf>
    <xf numFmtId="164" fontId="16" fillId="0" borderId="6" xfId="2" applyFont="1" applyFill="1" applyBorder="1" applyAlignment="1">
      <alignment horizontal="center" vertical="center" wrapText="1"/>
    </xf>
    <xf numFmtId="164" fontId="25" fillId="0" borderId="7" xfId="2" applyFont="1" applyFill="1" applyBorder="1" applyAlignment="1">
      <alignment horizontal="center" vertical="center" wrapText="1"/>
    </xf>
    <xf numFmtId="164" fontId="25" fillId="0" borderId="10" xfId="2" applyFont="1" applyFill="1" applyBorder="1" applyAlignment="1">
      <alignment horizontal="center" vertical="center" wrapText="1"/>
    </xf>
    <xf numFmtId="164" fontId="25" fillId="0" borderId="6" xfId="2" applyFont="1" applyFill="1" applyBorder="1" applyAlignment="1">
      <alignment horizontal="center" vertical="center" wrapText="1"/>
    </xf>
    <xf numFmtId="164" fontId="23" fillId="0" borderId="0" xfId="2" applyFont="1" applyFill="1" applyAlignment="1">
      <alignment horizontal="center"/>
    </xf>
    <xf numFmtId="164" fontId="25" fillId="0" borderId="6" xfId="2" applyFont="1" applyFill="1" applyBorder="1" applyAlignment="1">
      <alignment horizontal="center" vertical="center"/>
    </xf>
    <xf numFmtId="164" fontId="25" fillId="0" borderId="30" xfId="2" applyFont="1" applyFill="1" applyBorder="1" applyAlignment="1">
      <alignment horizontal="center" vertical="center" wrapText="1"/>
    </xf>
    <xf numFmtId="0" fontId="13" fillId="0" borderId="29" xfId="3" quotePrefix="1" applyFont="1" applyBorder="1" applyAlignment="1">
      <alignment horizontal="right" vertical="center"/>
    </xf>
    <xf numFmtId="0" fontId="13" fillId="0" borderId="6" xfId="3" quotePrefix="1" applyFont="1" applyBorder="1" applyAlignment="1">
      <alignment horizontal="right" vertical="center"/>
    </xf>
    <xf numFmtId="0" fontId="13" fillId="0" borderId="29" xfId="3" quotePrefix="1" applyFont="1" applyBorder="1" applyAlignment="1">
      <alignment horizontal="center" vertical="center"/>
    </xf>
    <xf numFmtId="0" fontId="15" fillId="0" borderId="13" xfId="6" applyFont="1" applyBorder="1" applyAlignment="1">
      <alignment horizontal="center"/>
    </xf>
    <xf numFmtId="164" fontId="15" fillId="0" borderId="30" xfId="2" applyFont="1" applyFill="1" applyBorder="1" applyAlignment="1">
      <alignment horizontal="center" vertical="center" wrapText="1"/>
    </xf>
    <xf numFmtId="164" fontId="3" fillId="0" borderId="20" xfId="1" applyFont="1" applyBorder="1" applyAlignment="1">
      <alignment horizontal="center" vertical="center"/>
    </xf>
    <xf numFmtId="164" fontId="3" fillId="0" borderId="21" xfId="1" applyFont="1" applyBorder="1" applyAlignment="1">
      <alignment horizontal="center" vertical="center"/>
    </xf>
    <xf numFmtId="164" fontId="3" fillId="0" borderId="22" xfId="1" applyFont="1" applyBorder="1" applyAlignment="1">
      <alignment horizontal="center" vertical="center"/>
    </xf>
    <xf numFmtId="165" fontId="3" fillId="0" borderId="20" xfId="1" applyNumberFormat="1" applyFont="1" applyBorder="1" applyAlignment="1">
      <alignment horizontal="center" vertical="center"/>
    </xf>
    <xf numFmtId="164" fontId="31" fillId="0" borderId="9" xfId="2" applyFont="1" applyFill="1" applyBorder="1" applyAlignment="1">
      <alignment horizontal="center" vertical="center"/>
    </xf>
    <xf numFmtId="164" fontId="30" fillId="0" borderId="13" xfId="2" applyFont="1" applyFill="1" applyBorder="1" applyAlignment="1">
      <alignment horizontal="center" vertical="center"/>
    </xf>
    <xf numFmtId="164" fontId="31" fillId="0" borderId="0" xfId="9" applyFont="1" applyFill="1" applyBorder="1" applyAlignment="1">
      <alignment horizontal="center"/>
    </xf>
    <xf numFmtId="164" fontId="31" fillId="0" borderId="0" xfId="9" applyFont="1" applyBorder="1" applyAlignment="1">
      <alignment horizontal="center"/>
    </xf>
    <xf numFmtId="164" fontId="37" fillId="0" borderId="0" xfId="9" applyFont="1" applyFill="1" applyBorder="1" applyAlignment="1">
      <alignment horizontal="center" vertical="center"/>
    </xf>
    <xf numFmtId="164" fontId="37" fillId="0" borderId="0" xfId="9" applyFont="1" applyBorder="1" applyAlignment="1">
      <alignment horizontal="center"/>
    </xf>
    <xf numFmtId="164" fontId="37" fillId="0" borderId="0" xfId="9" applyFont="1" applyFill="1" applyBorder="1" applyAlignment="1">
      <alignment horizontal="center"/>
    </xf>
    <xf numFmtId="164" fontId="31" fillId="0" borderId="7" xfId="9" applyFont="1" applyFill="1" applyBorder="1" applyAlignment="1">
      <alignment horizontal="center" vertical="center" wrapText="1"/>
    </xf>
    <xf numFmtId="164" fontId="31" fillId="0" borderId="10" xfId="9" applyFont="1" applyFill="1" applyBorder="1" applyAlignment="1">
      <alignment horizontal="center" vertical="center" wrapText="1"/>
    </xf>
    <xf numFmtId="164" fontId="31" fillId="0" borderId="12" xfId="9" applyFont="1" applyFill="1" applyBorder="1" applyAlignment="1">
      <alignment horizontal="center" vertical="center" wrapText="1"/>
    </xf>
    <xf numFmtId="164" fontId="31" fillId="0" borderId="34" xfId="9" applyFont="1" applyFill="1" applyBorder="1" applyAlignment="1">
      <alignment horizontal="center" vertical="center"/>
    </xf>
    <xf numFmtId="164" fontId="31" fillId="0" borderId="33" xfId="9" applyFont="1" applyFill="1" applyBorder="1" applyAlignment="1">
      <alignment horizontal="center" vertical="center"/>
    </xf>
    <xf numFmtId="164" fontId="31" fillId="0" borderId="32" xfId="9" applyFont="1" applyFill="1" applyBorder="1" applyAlignment="1">
      <alignment horizontal="center" vertical="center"/>
    </xf>
    <xf numFmtId="164" fontId="31" fillId="0" borderId="6" xfId="9" applyFont="1" applyFill="1" applyBorder="1" applyAlignment="1">
      <alignment horizontal="center" vertical="center" wrapText="1"/>
    </xf>
    <xf numFmtId="0" fontId="31" fillId="0" borderId="12" xfId="6" applyFont="1" applyBorder="1" applyAlignment="1">
      <alignment horizontal="center"/>
    </xf>
    <xf numFmtId="0" fontId="34" fillId="0" borderId="5" xfId="6" applyFont="1" applyBorder="1" applyAlignment="1"/>
    <xf numFmtId="0" fontId="34" fillId="0" borderId="13" xfId="6" applyFont="1" applyBorder="1" applyAlignment="1"/>
    <xf numFmtId="0" fontId="31" fillId="0" borderId="5" xfId="6" applyFont="1" applyBorder="1" applyAlignment="1">
      <alignment horizontal="center"/>
    </xf>
    <xf numFmtId="0" fontId="31" fillId="0" borderId="13" xfId="6" applyFont="1" applyBorder="1" applyAlignment="1">
      <alignment horizontal="center"/>
    </xf>
    <xf numFmtId="164" fontId="31" fillId="0" borderId="6" xfId="9" applyFont="1" applyFill="1" applyBorder="1" applyAlignment="1">
      <alignment horizontal="center" vertical="center"/>
    </xf>
    <xf numFmtId="164" fontId="30" fillId="0" borderId="0" xfId="9" applyFont="1" applyFill="1" applyAlignment="1">
      <alignment horizontal="center"/>
    </xf>
    <xf numFmtId="165" fontId="31" fillId="0" borderId="6" xfId="9" applyNumberFormat="1" applyFont="1" applyFill="1" applyBorder="1" applyAlignment="1">
      <alignment horizontal="center" vertical="center" wrapText="1"/>
    </xf>
    <xf numFmtId="164" fontId="31" fillId="0" borderId="8" xfId="9" applyFont="1" applyFill="1" applyBorder="1" applyAlignment="1">
      <alignment horizontal="center" vertical="center" wrapText="1"/>
    </xf>
    <xf numFmtId="164" fontId="31" fillId="0" borderId="9" xfId="9" applyFont="1" applyFill="1" applyBorder="1" applyAlignment="1">
      <alignment horizontal="center" vertical="center" wrapText="1"/>
    </xf>
    <xf numFmtId="164" fontId="31" fillId="0" borderId="5" xfId="9" applyFont="1" applyFill="1" applyBorder="1" applyAlignment="1">
      <alignment horizontal="center" vertical="center" wrapText="1"/>
    </xf>
    <xf numFmtId="164" fontId="31" fillId="0" borderId="13" xfId="9" applyFont="1" applyFill="1" applyBorder="1" applyAlignment="1">
      <alignment horizontal="center" vertical="center" wrapText="1"/>
    </xf>
    <xf numFmtId="164" fontId="31" fillId="0" borderId="0" xfId="9" applyFont="1" applyFill="1" applyAlignment="1">
      <alignment horizontal="center"/>
    </xf>
    <xf numFmtId="164" fontId="38" fillId="0" borderId="0" xfId="1" applyFont="1" applyBorder="1" applyAlignment="1">
      <alignment horizontal="center"/>
    </xf>
    <xf numFmtId="164" fontId="31" fillId="0" borderId="9" xfId="1" applyFont="1" applyFill="1" applyBorder="1" applyAlignment="1">
      <alignment horizontal="center" vertical="center"/>
    </xf>
    <xf numFmtId="164" fontId="30" fillId="0" borderId="13" xfId="1" applyFont="1" applyFill="1" applyBorder="1" applyAlignment="1">
      <alignment horizontal="center" vertical="center"/>
    </xf>
    <xf numFmtId="164" fontId="31" fillId="0" borderId="0" xfId="1" applyFont="1" applyFill="1" applyBorder="1" applyAlignment="1">
      <alignment horizontal="center"/>
    </xf>
    <xf numFmtId="164" fontId="31" fillId="0" borderId="0" xfId="1" applyFont="1" applyBorder="1" applyAlignment="1">
      <alignment horizontal="center"/>
    </xf>
    <xf numFmtId="164" fontId="38" fillId="0" borderId="0" xfId="1" applyFont="1" applyFill="1" applyBorder="1" applyAlignment="1">
      <alignment horizontal="center" vertical="center"/>
    </xf>
    <xf numFmtId="164" fontId="39" fillId="0" borderId="7" xfId="1" applyFont="1" applyFill="1" applyBorder="1" applyAlignment="1">
      <alignment horizontal="center" vertical="center" wrapText="1"/>
    </xf>
    <xf numFmtId="164" fontId="39" fillId="0" borderId="10" xfId="1" applyFont="1" applyFill="1" applyBorder="1" applyAlignment="1">
      <alignment horizontal="center" vertical="center" wrapText="1"/>
    </xf>
    <xf numFmtId="164" fontId="39" fillId="0" borderId="12" xfId="1" applyFont="1" applyFill="1" applyBorder="1" applyAlignment="1">
      <alignment horizontal="center" vertical="center" wrapText="1"/>
    </xf>
    <xf numFmtId="164" fontId="39" fillId="0" borderId="34" xfId="1" applyFont="1" applyFill="1" applyBorder="1" applyAlignment="1">
      <alignment horizontal="center" vertical="center"/>
    </xf>
    <xf numFmtId="164" fontId="39" fillId="0" borderId="33" xfId="1" applyFont="1" applyFill="1" applyBorder="1" applyAlignment="1">
      <alignment horizontal="center" vertical="center"/>
    </xf>
    <xf numFmtId="164" fontId="39" fillId="0" borderId="32" xfId="1" applyFont="1" applyFill="1" applyBorder="1" applyAlignment="1">
      <alignment horizontal="center" vertical="center"/>
    </xf>
    <xf numFmtId="164" fontId="39" fillId="0" borderId="6" xfId="1" applyFont="1" applyFill="1" applyBorder="1" applyAlignment="1">
      <alignment horizontal="center" vertical="center" wrapText="1"/>
    </xf>
    <xf numFmtId="164" fontId="39" fillId="0" borderId="12" xfId="1" applyFont="1" applyBorder="1" applyAlignment="1">
      <alignment horizontal="center"/>
    </xf>
    <xf numFmtId="164" fontId="34" fillId="0" borderId="5" xfId="1" applyFont="1" applyBorder="1" applyAlignment="1"/>
    <xf numFmtId="164" fontId="34" fillId="0" borderId="13" xfId="1" applyFont="1" applyBorder="1" applyAlignment="1"/>
    <xf numFmtId="164" fontId="39" fillId="0" borderId="5" xfId="1" applyFont="1" applyBorder="1" applyAlignment="1">
      <alignment horizontal="center"/>
    </xf>
    <xf numFmtId="164" fontId="39" fillId="0" borderId="13" xfId="1" applyFont="1" applyBorder="1" applyAlignment="1">
      <alignment horizontal="center"/>
    </xf>
    <xf numFmtId="164" fontId="39" fillId="0" borderId="6" xfId="1" applyFont="1" applyFill="1" applyBorder="1" applyAlignment="1">
      <alignment horizontal="center" vertical="center"/>
    </xf>
    <xf numFmtId="164" fontId="34" fillId="0" borderId="0" xfId="1" applyFont="1" applyFill="1" applyBorder="1" applyAlignment="1">
      <alignment horizontal="center"/>
    </xf>
    <xf numFmtId="164" fontId="39" fillId="0" borderId="8" xfId="1" applyFont="1" applyFill="1" applyBorder="1" applyAlignment="1">
      <alignment horizontal="center" vertical="center" wrapText="1"/>
    </xf>
    <xf numFmtId="164" fontId="39" fillId="0" borderId="9" xfId="1" applyFont="1" applyFill="1" applyBorder="1" applyAlignment="1">
      <alignment horizontal="center" vertical="center" wrapText="1"/>
    </xf>
    <xf numFmtId="164" fontId="39" fillId="0" borderId="5" xfId="1" applyFont="1" applyFill="1" applyBorder="1" applyAlignment="1">
      <alignment horizontal="center" vertical="center" wrapText="1"/>
    </xf>
    <xf numFmtId="164" fontId="39" fillId="0" borderId="13" xfId="1" applyFont="1" applyFill="1" applyBorder="1" applyAlignment="1">
      <alignment horizontal="center" vertical="center" wrapText="1"/>
    </xf>
    <xf numFmtId="164" fontId="39" fillId="0" borderId="0" xfId="1" applyFont="1" applyFill="1" applyBorder="1" applyAlignment="1">
      <alignment horizontal="center"/>
    </xf>
    <xf numFmtId="165" fontId="42" fillId="0" borderId="35" xfId="9" applyNumberFormat="1" applyFont="1" applyFill="1" applyBorder="1" applyAlignment="1">
      <alignment horizontal="center" vertical="center" wrapText="1"/>
    </xf>
    <xf numFmtId="165" fontId="42" fillId="0" borderId="37" xfId="9" applyNumberFormat="1" applyFont="1" applyFill="1" applyBorder="1" applyAlignment="1">
      <alignment horizontal="center" vertical="center" wrapText="1"/>
    </xf>
    <xf numFmtId="164" fontId="42" fillId="0" borderId="30" xfId="9" applyFont="1" applyFill="1" applyBorder="1" applyAlignment="1">
      <alignment horizontal="center" vertical="center" wrapText="1"/>
    </xf>
    <xf numFmtId="164" fontId="42" fillId="0" borderId="31" xfId="9" applyFont="1" applyFill="1" applyBorder="1" applyAlignment="1">
      <alignment horizontal="center" vertical="center" wrapText="1"/>
    </xf>
    <xf numFmtId="164" fontId="42" fillId="0" borderId="29" xfId="9" applyFont="1" applyFill="1" applyBorder="1" applyAlignment="1">
      <alignment horizontal="center" vertical="center" wrapText="1"/>
    </xf>
    <xf numFmtId="164" fontId="42" fillId="0" borderId="6" xfId="9" applyFont="1" applyFill="1" applyBorder="1" applyAlignment="1">
      <alignment horizontal="center" vertical="center" wrapText="1"/>
    </xf>
    <xf numFmtId="165" fontId="42" fillId="0" borderId="29" xfId="9" applyNumberFormat="1" applyFont="1" applyFill="1" applyBorder="1" applyAlignment="1">
      <alignment horizontal="center" vertical="center" wrapText="1"/>
    </xf>
    <xf numFmtId="165" fontId="42" fillId="0" borderId="6" xfId="9" applyNumberFormat="1" applyFont="1" applyFill="1" applyBorder="1" applyAlignment="1">
      <alignment horizontal="center" vertical="center" wrapText="1"/>
    </xf>
    <xf numFmtId="164" fontId="31" fillId="0" borderId="0" xfId="9" applyFont="1" applyBorder="1" applyAlignment="1">
      <alignment horizontal="center" wrapText="1"/>
    </xf>
    <xf numFmtId="164" fontId="31" fillId="0" borderId="0" xfId="9" applyFont="1" applyFill="1" applyBorder="1" applyAlignment="1"/>
    <xf numFmtId="164" fontId="38" fillId="0" borderId="0" xfId="9" applyFont="1" applyFill="1" applyBorder="1" applyAlignment="1">
      <alignment horizontal="center" vertical="center"/>
    </xf>
    <xf numFmtId="164" fontId="42" fillId="0" borderId="38" xfId="9" applyFont="1" applyFill="1" applyBorder="1" applyAlignment="1">
      <alignment horizontal="center" vertical="center"/>
    </xf>
    <xf numFmtId="164" fontId="42" fillId="0" borderId="39" xfId="9" applyFont="1" applyFill="1" applyBorder="1" applyAlignment="1">
      <alignment horizontal="center" vertical="center"/>
    </xf>
    <xf numFmtId="164" fontId="42" fillId="0" borderId="7" xfId="9" applyFont="1" applyFill="1" applyBorder="1" applyAlignment="1">
      <alignment horizontal="center" vertical="center" wrapText="1"/>
    </xf>
    <xf numFmtId="164" fontId="42" fillId="0" borderId="8" xfId="9" applyFont="1" applyFill="1" applyBorder="1" applyAlignment="1">
      <alignment horizontal="center" vertical="center" wrapText="1"/>
    </xf>
    <xf numFmtId="164" fontId="42" fillId="0" borderId="9" xfId="9" applyFont="1" applyFill="1" applyBorder="1" applyAlignment="1">
      <alignment horizontal="center" vertical="center" wrapText="1"/>
    </xf>
    <xf numFmtId="164" fontId="42" fillId="0" borderId="12" xfId="9" applyFont="1" applyFill="1" applyBorder="1" applyAlignment="1">
      <alignment horizontal="center" vertical="center" wrapText="1"/>
    </xf>
    <xf numFmtId="164" fontId="42" fillId="0" borderId="5" xfId="9" applyFont="1" applyFill="1" applyBorder="1" applyAlignment="1">
      <alignment horizontal="center" vertical="center" wrapText="1"/>
    </xf>
    <xf numFmtId="164" fontId="42" fillId="0" borderId="13" xfId="9" applyFont="1" applyFill="1" applyBorder="1" applyAlignment="1">
      <alignment horizontal="center" vertical="center" wrapText="1"/>
    </xf>
    <xf numFmtId="164" fontId="42" fillId="0" borderId="34" xfId="9" applyFont="1" applyFill="1" applyBorder="1" applyAlignment="1">
      <alignment horizontal="center" vertical="center"/>
    </xf>
    <xf numFmtId="164" fontId="42" fillId="0" borderId="33" xfId="9" applyFont="1" applyFill="1" applyBorder="1" applyAlignment="1">
      <alignment horizontal="center" vertical="center"/>
    </xf>
    <xf numFmtId="0" fontId="45" fillId="0" borderId="12" xfId="6" applyFont="1" applyBorder="1" applyAlignment="1">
      <alignment horizontal="center"/>
    </xf>
    <xf numFmtId="0" fontId="47" fillId="0" borderId="5" xfId="6" applyFont="1" applyBorder="1" applyAlignment="1"/>
    <xf numFmtId="0" fontId="47" fillId="0" borderId="13" xfId="6" applyFont="1" applyBorder="1" applyAlignment="1"/>
    <xf numFmtId="0" fontId="45" fillId="0" borderId="5" xfId="6" applyFont="1" applyBorder="1" applyAlignment="1">
      <alignment horizontal="center"/>
    </xf>
    <xf numFmtId="164" fontId="31" fillId="7" borderId="34" xfId="9" applyFont="1" applyFill="1" applyBorder="1" applyAlignment="1">
      <alignment horizontal="center"/>
    </xf>
    <xf numFmtId="164" fontId="31" fillId="7" borderId="32" xfId="9" applyFont="1" applyFill="1" applyBorder="1" applyAlignment="1">
      <alignment horizontal="center"/>
    </xf>
    <xf numFmtId="164" fontId="31" fillId="7" borderId="6" xfId="9" applyFont="1" applyFill="1" applyBorder="1" applyAlignment="1">
      <alignment horizontal="center"/>
    </xf>
    <xf numFmtId="164" fontId="31" fillId="0" borderId="38" xfId="9" applyFont="1" applyFill="1" applyBorder="1" applyAlignment="1">
      <alignment horizontal="center" vertical="center"/>
    </xf>
    <xf numFmtId="164" fontId="31" fillId="0" borderId="39" xfId="9" applyFont="1" applyFill="1" applyBorder="1" applyAlignment="1">
      <alignment horizontal="center" vertical="center"/>
    </xf>
    <xf numFmtId="164" fontId="31" fillId="0" borderId="31" xfId="9" applyFont="1" applyFill="1" applyBorder="1" applyAlignment="1">
      <alignment horizontal="center" vertical="center" wrapText="1"/>
    </xf>
    <xf numFmtId="164" fontId="31" fillId="0" borderId="29" xfId="9" applyFont="1" applyFill="1" applyBorder="1" applyAlignment="1">
      <alignment horizontal="center" vertical="center" wrapText="1"/>
    </xf>
    <xf numFmtId="164" fontId="31" fillId="0" borderId="0" xfId="9" applyFont="1" applyFill="1" applyBorder="1" applyAlignment="1">
      <alignment horizontal="center" vertical="center" wrapText="1"/>
    </xf>
    <xf numFmtId="164" fontId="31" fillId="0" borderId="11" xfId="9" applyFont="1" applyFill="1" applyBorder="1" applyAlignment="1">
      <alignment horizontal="center" vertical="center" wrapText="1"/>
    </xf>
    <xf numFmtId="0" fontId="49" fillId="0" borderId="12" xfId="6" applyFont="1" applyBorder="1" applyAlignment="1">
      <alignment horizontal="center"/>
    </xf>
    <xf numFmtId="0" fontId="2" fillId="0" borderId="5" xfId="6" applyBorder="1" applyAlignment="1"/>
    <xf numFmtId="0" fontId="2" fillId="0" borderId="13" xfId="6" applyBorder="1" applyAlignment="1"/>
    <xf numFmtId="0" fontId="49" fillId="0" borderId="5" xfId="6" applyFont="1" applyBorder="1" applyAlignment="1">
      <alignment horizontal="center"/>
    </xf>
    <xf numFmtId="164" fontId="31" fillId="0" borderId="1" xfId="9" applyFont="1" applyFill="1" applyBorder="1" applyAlignment="1">
      <alignment horizontal="left"/>
    </xf>
    <xf numFmtId="164" fontId="31" fillId="0" borderId="2" xfId="9" applyFont="1" applyFill="1" applyBorder="1" applyAlignment="1">
      <alignment horizontal="left"/>
    </xf>
    <xf numFmtId="164" fontId="31" fillId="0" borderId="41" xfId="9" applyFont="1" applyFill="1" applyBorder="1" applyAlignment="1">
      <alignment horizontal="left"/>
    </xf>
    <xf numFmtId="164" fontId="31" fillId="0" borderId="33" xfId="9" applyFont="1" applyFill="1" applyBorder="1" applyAlignment="1">
      <alignment horizontal="left"/>
    </xf>
    <xf numFmtId="164" fontId="31" fillId="0" borderId="8" xfId="9" applyFont="1" applyFill="1" applyBorder="1" applyAlignment="1">
      <alignment horizontal="left"/>
    </xf>
    <xf numFmtId="165" fontId="31" fillId="0" borderId="35" xfId="9" applyNumberFormat="1" applyFont="1" applyFill="1" applyBorder="1" applyAlignment="1">
      <alignment horizontal="center" vertical="center" wrapText="1"/>
    </xf>
    <xf numFmtId="165" fontId="31" fillId="0" borderId="37" xfId="9" applyNumberFormat="1" applyFont="1" applyFill="1" applyBorder="1" applyAlignment="1">
      <alignment horizontal="center" vertical="center" wrapText="1"/>
    </xf>
    <xf numFmtId="165" fontId="31" fillId="0" borderId="29" xfId="9" applyNumberFormat="1" applyFont="1" applyFill="1" applyBorder="1" applyAlignment="1">
      <alignment horizontal="center" vertical="center" wrapText="1"/>
    </xf>
    <xf numFmtId="164" fontId="30" fillId="0" borderId="3" xfId="9" applyFont="1" applyFill="1" applyBorder="1" applyAlignment="1">
      <alignment horizontal="center"/>
    </xf>
    <xf numFmtId="0" fontId="49" fillId="0" borderId="30" xfId="10" applyFont="1" applyBorder="1" applyAlignment="1">
      <alignment horizontal="center" vertical="center" wrapText="1"/>
    </xf>
    <xf numFmtId="0" fontId="49" fillId="0" borderId="31" xfId="10" applyFont="1" applyBorder="1" applyAlignment="1">
      <alignment horizontal="center" vertical="center" wrapText="1"/>
    </xf>
    <xf numFmtId="0" fontId="49" fillId="0" borderId="29" xfId="10" applyFont="1" applyBorder="1" applyAlignment="1">
      <alignment horizontal="center" vertical="center" wrapText="1"/>
    </xf>
    <xf numFmtId="0" fontId="49" fillId="7" borderId="6" xfId="10" applyFont="1" applyFill="1" applyBorder="1" applyAlignment="1">
      <alignment horizontal="center" vertical="center" wrapText="1"/>
    </xf>
    <xf numFmtId="164" fontId="49" fillId="7" borderId="6" xfId="9" applyFont="1" applyFill="1" applyBorder="1" applyAlignment="1">
      <alignment horizontal="center" vertical="center" wrapText="1"/>
    </xf>
    <xf numFmtId="0" fontId="49" fillId="0" borderId="34" xfId="10" applyFont="1" applyBorder="1" applyAlignment="1">
      <alignment horizontal="center" vertical="center" wrapText="1"/>
    </xf>
    <xf numFmtId="0" fontId="49" fillId="7" borderId="30" xfId="10" applyFont="1" applyFill="1" applyBorder="1" applyAlignment="1">
      <alignment horizontal="center" vertical="center" wrapText="1"/>
    </xf>
    <xf numFmtId="0" fontId="49" fillId="2" borderId="31" xfId="10" applyFont="1" applyFill="1" applyBorder="1" applyAlignment="1">
      <alignment horizontal="center" vertical="center" wrapText="1"/>
    </xf>
    <xf numFmtId="0" fontId="49" fillId="7" borderId="29" xfId="10" applyFont="1" applyFill="1" applyBorder="1" applyAlignment="1">
      <alignment horizontal="center" vertical="center" wrapText="1"/>
    </xf>
    <xf numFmtId="0" fontId="49" fillId="0" borderId="6" xfId="10" applyFont="1" applyBorder="1" applyAlignment="1">
      <alignment horizontal="center" vertical="center"/>
    </xf>
    <xf numFmtId="0" fontId="49" fillId="0" borderId="34" xfId="10" applyFont="1" applyBorder="1" applyAlignment="1">
      <alignment horizontal="center" vertical="center"/>
    </xf>
    <xf numFmtId="0" fontId="49" fillId="0" borderId="34" xfId="10" applyFont="1" applyBorder="1" applyAlignment="1">
      <alignment horizontal="center"/>
    </xf>
    <xf numFmtId="0" fontId="9" fillId="0" borderId="33" xfId="10" applyBorder="1" applyAlignment="1"/>
    <xf numFmtId="0" fontId="9" fillId="0" borderId="32" xfId="10" applyBorder="1" applyAlignment="1"/>
    <xf numFmtId="0" fontId="49" fillId="0" borderId="33" xfId="10" applyFont="1" applyBorder="1" applyAlignment="1">
      <alignment horizontal="center"/>
    </xf>
    <xf numFmtId="0" fontId="9" fillId="7" borderId="29" xfId="10" applyFill="1" applyBorder="1" applyAlignment="1"/>
    <xf numFmtId="0" fontId="49" fillId="0" borderId="6" xfId="10" applyFont="1" applyBorder="1" applyAlignment="1">
      <alignment horizontal="center" vertical="center" wrapText="1"/>
    </xf>
    <xf numFmtId="0" fontId="62" fillId="0" borderId="41" xfId="10" applyFont="1" applyBorder="1" applyAlignment="1">
      <alignment horizontal="left"/>
    </xf>
    <xf numFmtId="0" fontId="62" fillId="0" borderId="33" xfId="10" applyFont="1" applyBorder="1" applyAlignment="1">
      <alignment horizontal="left"/>
    </xf>
    <xf numFmtId="0" fontId="62" fillId="0" borderId="8" xfId="10" applyFont="1" applyBorder="1" applyAlignment="1">
      <alignment horizontal="left"/>
    </xf>
    <xf numFmtId="0" fontId="49" fillId="0" borderId="42" xfId="10" applyFont="1" applyBorder="1" applyAlignment="1">
      <alignment horizontal="center" vertical="center" wrapText="1"/>
    </xf>
    <xf numFmtId="0" fontId="49" fillId="0" borderId="49" xfId="10" applyFont="1" applyBorder="1" applyAlignment="1">
      <alignment horizontal="center" vertical="center" wrapText="1"/>
    </xf>
    <xf numFmtId="0" fontId="49" fillId="0" borderId="35" xfId="10" applyFont="1" applyBorder="1" applyAlignment="1">
      <alignment horizontal="center" vertical="center" wrapText="1"/>
    </xf>
    <xf numFmtId="0" fontId="49" fillId="7" borderId="7" xfId="10" applyFont="1" applyFill="1" applyBorder="1" applyAlignment="1">
      <alignment horizontal="center" vertical="center" wrapText="1"/>
    </xf>
    <xf numFmtId="0" fontId="49" fillId="2" borderId="9" xfId="10" applyFont="1" applyFill="1" applyBorder="1" applyAlignment="1">
      <alignment horizontal="center" vertical="center" wrapText="1"/>
    </xf>
    <xf numFmtId="0" fontId="49" fillId="2" borderId="10" xfId="10" applyFont="1" applyFill="1" applyBorder="1" applyAlignment="1">
      <alignment horizontal="center" vertical="center" wrapText="1"/>
    </xf>
    <xf numFmtId="0" fontId="49" fillId="2" borderId="11" xfId="10" applyFont="1" applyFill="1" applyBorder="1" applyAlignment="1">
      <alignment horizontal="center" vertical="center" wrapText="1"/>
    </xf>
    <xf numFmtId="0" fontId="49" fillId="7" borderId="12" xfId="10" applyFont="1" applyFill="1" applyBorder="1" applyAlignment="1">
      <alignment horizontal="center" vertical="center" wrapText="1"/>
    </xf>
    <xf numFmtId="0" fontId="49" fillId="2" borderId="13" xfId="10" applyFont="1" applyFill="1" applyBorder="1" applyAlignment="1">
      <alignment horizontal="center" vertical="center" wrapText="1"/>
    </xf>
    <xf numFmtId="0" fontId="62" fillId="0" borderId="34" xfId="10" applyFont="1" applyBorder="1" applyAlignment="1">
      <alignment horizontal="left"/>
    </xf>
    <xf numFmtId="0" fontId="9" fillId="0" borderId="33" xfId="10" applyBorder="1" applyAlignment="1">
      <alignment horizontal="left"/>
    </xf>
    <xf numFmtId="0" fontId="59" fillId="0" borderId="0" xfId="10" applyFont="1" applyAlignment="1">
      <alignment horizontal="center"/>
    </xf>
    <xf numFmtId="0" fontId="9" fillId="0" borderId="0" xfId="10" applyAlignment="1">
      <alignment horizontal="left"/>
    </xf>
    <xf numFmtId="164" fontId="31" fillId="0" borderId="30" xfId="9" applyFont="1" applyFill="1" applyBorder="1" applyAlignment="1">
      <alignment horizontal="center" vertical="center" wrapText="1"/>
    </xf>
    <xf numFmtId="0" fontId="49" fillId="0" borderId="34" xfId="6" applyFont="1" applyBorder="1" applyAlignment="1">
      <alignment horizontal="center"/>
    </xf>
    <xf numFmtId="0" fontId="49" fillId="0" borderId="33" xfId="6" applyFont="1" applyBorder="1" applyAlignment="1">
      <alignment horizontal="center"/>
    </xf>
    <xf numFmtId="0" fontId="49" fillId="0" borderId="32" xfId="6" applyFont="1" applyBorder="1" applyAlignment="1">
      <alignment horizontal="center"/>
    </xf>
    <xf numFmtId="164" fontId="31" fillId="0" borderId="30" xfId="9" applyFont="1" applyFill="1" applyBorder="1" applyAlignment="1">
      <alignment horizontal="center" vertical="center"/>
    </xf>
    <xf numFmtId="164" fontId="31" fillId="0" borderId="29" xfId="9" applyFont="1" applyFill="1" applyBorder="1" applyAlignment="1">
      <alignment horizontal="center" vertical="center"/>
    </xf>
    <xf numFmtId="164" fontId="30" fillId="0" borderId="8" xfId="9" applyFont="1" applyFill="1" applyBorder="1" applyAlignment="1">
      <alignment horizontal="left"/>
    </xf>
    <xf numFmtId="164" fontId="30" fillId="0" borderId="8" xfId="9" quotePrefix="1" applyFont="1" applyFill="1" applyBorder="1" applyAlignment="1">
      <alignment horizontal="left"/>
    </xf>
    <xf numFmtId="164" fontId="30" fillId="0" borderId="0" xfId="9" applyFont="1" applyFill="1" applyBorder="1" applyAlignment="1">
      <alignment horizontal="left"/>
    </xf>
    <xf numFmtId="164" fontId="30" fillId="0" borderId="0" xfId="9" quotePrefix="1" applyFont="1" applyFill="1" applyBorder="1" applyAlignment="1">
      <alignment horizontal="left"/>
    </xf>
    <xf numFmtId="164" fontId="73" fillId="0" borderId="0" xfId="9" applyFont="1" applyFill="1" applyAlignment="1">
      <alignment horizontal="center"/>
    </xf>
    <xf numFmtId="164" fontId="30" fillId="0" borderId="5" xfId="9" applyFont="1" applyFill="1" applyBorder="1" applyAlignment="1">
      <alignment horizontal="center"/>
    </xf>
    <xf numFmtId="164" fontId="31" fillId="0" borderId="31" xfId="9" applyFont="1" applyFill="1" applyBorder="1" applyAlignment="1">
      <alignment horizontal="center" vertical="center"/>
    </xf>
    <xf numFmtId="165" fontId="31" fillId="0" borderId="30" xfId="9" applyNumberFormat="1" applyFont="1" applyFill="1" applyBorder="1" applyAlignment="1">
      <alignment horizontal="center" vertical="center" wrapText="1"/>
    </xf>
    <xf numFmtId="165" fontId="31" fillId="0" borderId="31" xfId="9" applyNumberFormat="1" applyFont="1" applyFill="1" applyBorder="1" applyAlignment="1">
      <alignment horizontal="center" vertical="center" wrapText="1"/>
    </xf>
    <xf numFmtId="164" fontId="31" fillId="20" borderId="41" xfId="9" applyFont="1" applyFill="1" applyBorder="1" applyAlignment="1">
      <alignment horizontal="left"/>
    </xf>
    <xf numFmtId="164" fontId="31" fillId="20" borderId="32" xfId="9" applyFont="1" applyFill="1" applyBorder="1" applyAlignment="1">
      <alignment horizontal="left"/>
    </xf>
    <xf numFmtId="164" fontId="31" fillId="0" borderId="0" xfId="9" applyFont="1" applyFill="1" applyAlignment="1">
      <alignment horizontal="center" wrapText="1"/>
    </xf>
    <xf numFmtId="164" fontId="83" fillId="0" borderId="0" xfId="5" applyFont="1" applyFill="1" applyAlignment="1">
      <alignment horizontal="left"/>
    </xf>
    <xf numFmtId="164" fontId="83" fillId="0" borderId="0" xfId="5" applyFont="1" applyFill="1" applyAlignment="1">
      <alignment horizontal="center"/>
    </xf>
    <xf numFmtId="0" fontId="79" fillId="7" borderId="53" xfId="10" applyFont="1" applyFill="1" applyBorder="1" applyAlignment="1">
      <alignment horizontal="center" vertical="center" wrapText="1"/>
    </xf>
    <xf numFmtId="0" fontId="79" fillId="0" borderId="53" xfId="10" applyFont="1" applyBorder="1" applyAlignment="1">
      <alignment horizontal="center" vertical="center" wrapText="1"/>
    </xf>
    <xf numFmtId="0" fontId="79" fillId="2" borderId="53" xfId="10" applyFont="1" applyFill="1" applyBorder="1" applyAlignment="1">
      <alignment horizontal="center" vertical="center" wrapText="1"/>
    </xf>
    <xf numFmtId="0" fontId="78" fillId="0" borderId="0" xfId="10" applyFont="1" applyAlignment="1">
      <alignment horizontal="center" vertical="center" wrapText="1"/>
    </xf>
    <xf numFmtId="164" fontId="75" fillId="0" borderId="0" xfId="5" applyFont="1" applyFill="1" applyAlignment="1">
      <alignment horizontal="left"/>
    </xf>
    <xf numFmtId="164" fontId="75" fillId="0" borderId="0" xfId="5" applyFont="1" applyFill="1" applyAlignment="1">
      <alignment horizontal="center"/>
    </xf>
    <xf numFmtId="0" fontId="78" fillId="0" borderId="48" xfId="10" applyFont="1" applyBorder="1" applyAlignment="1">
      <alignment horizontal="left"/>
    </xf>
    <xf numFmtId="0" fontId="78" fillId="0" borderId="8" xfId="10" applyFont="1" applyBorder="1" applyAlignment="1">
      <alignment horizontal="left"/>
    </xf>
    <xf numFmtId="0" fontId="79" fillId="0" borderId="53" xfId="10" applyFont="1" applyBorder="1" applyAlignment="1">
      <alignment horizontal="center"/>
    </xf>
    <xf numFmtId="0" fontId="78" fillId="0" borderId="50" xfId="10" applyFont="1" applyBorder="1" applyAlignment="1">
      <alignment horizontal="left"/>
    </xf>
    <xf numFmtId="0" fontId="78" fillId="0" borderId="4" xfId="10" applyFont="1" applyBorder="1" applyAlignment="1">
      <alignment horizontal="left"/>
    </xf>
    <xf numFmtId="0" fontId="76" fillId="0" borderId="4" xfId="10" applyFont="1" applyBorder="1" applyAlignment="1">
      <alignment horizontal="left"/>
    </xf>
    <xf numFmtId="0" fontId="74" fillId="0" borderId="0" xfId="6" applyFont="1" applyAlignment="1">
      <alignment horizontal="center"/>
    </xf>
    <xf numFmtId="0" fontId="75" fillId="0" borderId="0" xfId="6" applyFont="1" applyAlignment="1">
      <alignment horizontal="center"/>
    </xf>
    <xf numFmtId="0" fontId="76" fillId="0" borderId="0" xfId="6" applyFont="1" applyAlignment="1">
      <alignment horizontal="left"/>
    </xf>
    <xf numFmtId="164" fontId="37" fillId="0" borderId="12" xfId="5" applyFont="1" applyFill="1" applyBorder="1" applyAlignment="1">
      <alignment horizontal="center" vertical="center"/>
    </xf>
    <xf numFmtId="164" fontId="37" fillId="0" borderId="5" xfId="5" applyFont="1" applyFill="1" applyBorder="1" applyAlignment="1">
      <alignment horizontal="center" vertical="center"/>
    </xf>
    <xf numFmtId="164" fontId="37" fillId="0" borderId="5" xfId="5" applyFont="1" applyBorder="1" applyAlignment="1">
      <alignment horizontal="center"/>
    </xf>
    <xf numFmtId="164" fontId="31" fillId="0" borderId="6" xfId="5" applyFont="1" applyFill="1" applyBorder="1" applyAlignment="1">
      <alignment horizontal="center" vertical="center" wrapText="1"/>
    </xf>
    <xf numFmtId="164" fontId="31" fillId="0" borderId="6" xfId="5" applyFont="1" applyFill="1" applyBorder="1" applyAlignment="1">
      <alignment horizontal="center" vertical="center"/>
    </xf>
    <xf numFmtId="164" fontId="31" fillId="0" borderId="10" xfId="5" applyFont="1" applyFill="1" applyBorder="1" applyAlignment="1">
      <alignment horizontal="center"/>
    </xf>
    <xf numFmtId="164" fontId="31" fillId="0" borderId="0" xfId="5" applyFont="1" applyFill="1" applyBorder="1" applyAlignment="1">
      <alignment horizontal="center"/>
    </xf>
    <xf numFmtId="164" fontId="31" fillId="0" borderId="0" xfId="5" applyFont="1" applyBorder="1" applyAlignment="1">
      <alignment horizontal="center"/>
    </xf>
    <xf numFmtId="164" fontId="30" fillId="0" borderId="0" xfId="5" applyFont="1" applyFill="1" applyAlignment="1">
      <alignment horizontal="center"/>
    </xf>
    <xf numFmtId="165" fontId="31" fillId="0" borderId="6" xfId="5" applyNumberFormat="1" applyFont="1" applyFill="1" applyBorder="1" applyAlignment="1">
      <alignment horizontal="center" vertical="center" wrapText="1"/>
    </xf>
    <xf numFmtId="164" fontId="31" fillId="0" borderId="34" xfId="5" applyFont="1" applyFill="1" applyBorder="1" applyAlignment="1">
      <alignment horizontal="center" vertical="center"/>
    </xf>
    <xf numFmtId="164" fontId="31" fillId="0" borderId="32" xfId="5" applyFont="1" applyFill="1" applyBorder="1" applyAlignment="1">
      <alignment horizontal="center" vertical="center"/>
    </xf>
    <xf numFmtId="164" fontId="31" fillId="0" borderId="7" xfId="5" applyFont="1" applyFill="1" applyBorder="1" applyAlignment="1">
      <alignment horizontal="center" vertical="center" wrapText="1"/>
    </xf>
    <xf numFmtId="164" fontId="31" fillId="0" borderId="10" xfId="5" applyFont="1" applyFill="1" applyBorder="1" applyAlignment="1">
      <alignment horizontal="center" vertical="center" wrapText="1"/>
    </xf>
    <xf numFmtId="164" fontId="31" fillId="0" borderId="12" xfId="5" applyFont="1" applyFill="1" applyBorder="1" applyAlignment="1">
      <alignment horizontal="center" vertical="center" wrapText="1"/>
    </xf>
    <xf numFmtId="164" fontId="31" fillId="0" borderId="0" xfId="5" applyFont="1" applyFill="1" applyAlignment="1">
      <alignment horizontal="center"/>
    </xf>
    <xf numFmtId="165" fontId="88" fillId="0" borderId="0" xfId="9" applyNumberFormat="1" applyFont="1" applyFill="1" applyAlignment="1">
      <alignment horizontal="center"/>
    </xf>
    <xf numFmtId="164" fontId="88" fillId="0" borderId="0" xfId="9" applyFont="1" applyFill="1" applyAlignment="1">
      <alignment horizontal="center"/>
    </xf>
    <xf numFmtId="164" fontId="88" fillId="0" borderId="6" xfId="9" applyFont="1" applyFill="1" applyBorder="1" applyAlignment="1">
      <alignment horizontal="center" vertical="center" wrapText="1"/>
    </xf>
    <xf numFmtId="164" fontId="88" fillId="0" borderId="6" xfId="9" applyFont="1" applyFill="1" applyBorder="1" applyAlignment="1">
      <alignment horizontal="center" vertical="center"/>
    </xf>
    <xf numFmtId="164" fontId="87" fillId="0" borderId="0" xfId="9" applyFont="1" applyFill="1" applyAlignment="1">
      <alignment horizontal="center"/>
    </xf>
    <xf numFmtId="165" fontId="88" fillId="0" borderId="6" xfId="9" applyNumberFormat="1" applyFont="1" applyFill="1" applyBorder="1" applyAlignment="1">
      <alignment horizontal="center" vertical="center" wrapText="1"/>
    </xf>
    <xf numFmtId="164" fontId="88" fillId="0" borderId="34" xfId="9" applyFont="1" applyFill="1" applyBorder="1" applyAlignment="1">
      <alignment horizontal="center" vertical="center"/>
    </xf>
    <xf numFmtId="164" fontId="88" fillId="0" borderId="32" xfId="9" applyFont="1" applyFill="1" applyBorder="1" applyAlignment="1">
      <alignment horizontal="center" vertical="center"/>
    </xf>
    <xf numFmtId="164" fontId="88" fillId="0" borderId="7" xfId="9" applyFont="1" applyFill="1" applyBorder="1" applyAlignment="1">
      <alignment horizontal="center" vertical="center" wrapText="1"/>
    </xf>
    <xf numFmtId="164" fontId="88" fillId="0" borderId="10" xfId="9" applyFont="1" applyFill="1" applyBorder="1" applyAlignment="1">
      <alignment horizontal="center" vertical="center" wrapText="1"/>
    </xf>
    <xf numFmtId="164" fontId="88" fillId="0" borderId="12" xfId="9" applyFont="1" applyFill="1" applyBorder="1" applyAlignment="1">
      <alignment horizontal="center" vertical="center" wrapText="1"/>
    </xf>
    <xf numFmtId="0" fontId="94" fillId="0" borderId="53" xfId="10" applyFont="1" applyBorder="1" applyAlignment="1">
      <alignment horizontal="center" vertical="center" wrapText="1"/>
    </xf>
    <xf numFmtId="165" fontId="98" fillId="0" borderId="0" xfId="5" applyNumberFormat="1" applyFont="1" applyFill="1" applyAlignment="1">
      <alignment horizontal="center"/>
    </xf>
    <xf numFmtId="164" fontId="98" fillId="0" borderId="0" xfId="5" applyFont="1" applyFill="1" applyAlignment="1">
      <alignment horizontal="center"/>
    </xf>
    <xf numFmtId="164" fontId="100" fillId="0" borderId="0" xfId="5" applyFont="1" applyFill="1" applyAlignment="1">
      <alignment horizontal="center"/>
    </xf>
    <xf numFmtId="0" fontId="94" fillId="7" borderId="53" xfId="10" applyFont="1" applyFill="1" applyBorder="1" applyAlignment="1">
      <alignment horizontal="center" vertical="center" wrapText="1"/>
    </xf>
    <xf numFmtId="0" fontId="84" fillId="0" borderId="0" xfId="6" applyFont="1" applyAlignment="1">
      <alignment horizontal="left"/>
    </xf>
    <xf numFmtId="0" fontId="94" fillId="0" borderId="50" xfId="10" applyFont="1" applyBorder="1" applyAlignment="1">
      <alignment horizontal="left"/>
    </xf>
    <xf numFmtId="0" fontId="94" fillId="0" borderId="4" xfId="10" applyFont="1" applyBorder="1" applyAlignment="1">
      <alignment horizontal="left"/>
    </xf>
    <xf numFmtId="0" fontId="84" fillId="0" borderId="4" xfId="10" applyFont="1" applyBorder="1" applyAlignment="1">
      <alignment horizontal="left"/>
    </xf>
    <xf numFmtId="0" fontId="94" fillId="0" borderId="48" xfId="10" applyFont="1" applyBorder="1" applyAlignment="1">
      <alignment horizontal="left"/>
    </xf>
    <xf numFmtId="0" fontId="94" fillId="0" borderId="8" xfId="10" applyFont="1" applyBorder="1" applyAlignment="1">
      <alignment horizontal="left"/>
    </xf>
    <xf numFmtId="0" fontId="94" fillId="2" borderId="53" xfId="10" applyFont="1" applyFill="1" applyBorder="1" applyAlignment="1">
      <alignment horizontal="center" vertical="center" wrapText="1"/>
    </xf>
    <xf numFmtId="0" fontId="94" fillId="0" borderId="53" xfId="10" applyFont="1" applyBorder="1" applyAlignment="1">
      <alignment horizontal="center"/>
    </xf>
    <xf numFmtId="0" fontId="84" fillId="0" borderId="0" xfId="6" applyFont="1" applyAlignment="1">
      <alignment horizontal="center"/>
    </xf>
    <xf numFmtId="0" fontId="92" fillId="0" borderId="0" xfId="6" applyFont="1" applyAlignment="1">
      <alignment horizontal="center"/>
    </xf>
    <xf numFmtId="164" fontId="102" fillId="0" borderId="6" xfId="9" applyFont="1" applyFill="1" applyBorder="1" applyAlignment="1">
      <alignment horizontal="center" vertical="center" wrapText="1"/>
    </xf>
    <xf numFmtId="164" fontId="102" fillId="0" borderId="6" xfId="9" applyFont="1" applyFill="1" applyBorder="1" applyAlignment="1">
      <alignment horizontal="center" vertical="center"/>
    </xf>
    <xf numFmtId="164" fontId="101" fillId="0" borderId="0" xfId="9" applyFont="1" applyFill="1" applyAlignment="1">
      <alignment horizontal="center"/>
    </xf>
    <xf numFmtId="165" fontId="102" fillId="0" borderId="6" xfId="9" applyNumberFormat="1" applyFont="1" applyFill="1" applyBorder="1" applyAlignment="1">
      <alignment horizontal="center" vertical="center" wrapText="1"/>
    </xf>
    <xf numFmtId="164" fontId="102" fillId="0" borderId="0" xfId="9" applyFont="1" applyFill="1" applyAlignment="1">
      <alignment horizontal="center"/>
    </xf>
    <xf numFmtId="164" fontId="105" fillId="0" borderId="7" xfId="5" applyFont="1" applyFill="1" applyBorder="1" applyAlignment="1">
      <alignment horizontal="center"/>
    </xf>
    <xf numFmtId="164" fontId="105" fillId="0" borderId="8" xfId="5" applyFont="1" applyFill="1" applyBorder="1" applyAlignment="1">
      <alignment horizontal="center"/>
    </xf>
    <xf numFmtId="164" fontId="105" fillId="0" borderId="9" xfId="5" applyFont="1" applyFill="1" applyBorder="1" applyAlignment="1">
      <alignment horizontal="center"/>
    </xf>
    <xf numFmtId="164" fontId="105" fillId="0" borderId="34" xfId="5" applyFont="1" applyFill="1" applyBorder="1" applyAlignment="1">
      <alignment horizontal="center"/>
    </xf>
    <xf numFmtId="164" fontId="105" fillId="0" borderId="32" xfId="5" applyFont="1" applyFill="1" applyBorder="1" applyAlignment="1">
      <alignment horizontal="center"/>
    </xf>
    <xf numFmtId="164" fontId="105" fillId="0" borderId="0" xfId="5" applyFont="1" applyAlignment="1">
      <alignment horizontal="center"/>
    </xf>
    <xf numFmtId="164" fontId="106" fillId="0" borderId="0" xfId="5" applyFont="1" applyAlignment="1">
      <alignment horizontal="center"/>
    </xf>
    <xf numFmtId="164" fontId="5" fillId="0" borderId="0" xfId="2" applyFont="1" applyFill="1" applyAlignment="1">
      <alignment horizontal="center"/>
    </xf>
    <xf numFmtId="164" fontId="6" fillId="0" borderId="0" xfId="2" applyFont="1" applyFill="1" applyAlignment="1">
      <alignment horizontal="center"/>
    </xf>
    <xf numFmtId="164" fontId="5" fillId="0" borderId="30" xfId="5" applyFont="1" applyFill="1" applyBorder="1" applyAlignment="1">
      <alignment horizontal="right" vertical="center"/>
    </xf>
    <xf numFmtId="164" fontId="5" fillId="0" borderId="29" xfId="5" applyFont="1" applyFill="1" applyBorder="1" applyAlignment="1">
      <alignment horizontal="right" vertical="center"/>
    </xf>
    <xf numFmtId="0" fontId="5" fillId="0" borderId="30" xfId="6" applyFont="1" applyBorder="1" applyAlignment="1">
      <alignment horizontal="right" vertical="center"/>
    </xf>
    <xf numFmtId="0" fontId="5" fillId="0" borderId="31" xfId="6" applyFont="1" applyBorder="1" applyAlignment="1">
      <alignment horizontal="right" vertical="center"/>
    </xf>
    <xf numFmtId="0" fontId="5" fillId="0" borderId="29" xfId="6" applyFont="1" applyBorder="1" applyAlignment="1">
      <alignment horizontal="right" vertical="center"/>
    </xf>
    <xf numFmtId="164" fontId="5" fillId="0" borderId="31" xfId="5" applyFont="1" applyFill="1" applyBorder="1" applyAlignment="1">
      <alignment horizontal="right" vertical="center"/>
    </xf>
    <xf numFmtId="164" fontId="5" fillId="0" borderId="6" xfId="5" applyFont="1" applyFill="1" applyBorder="1" applyAlignment="1">
      <alignment horizontal="center" vertical="center"/>
    </xf>
    <xf numFmtId="1" fontId="5" fillId="0" borderId="30" xfId="5" applyNumberFormat="1" applyFont="1" applyFill="1" applyBorder="1" applyAlignment="1">
      <alignment horizontal="right" vertical="center"/>
    </xf>
    <xf numFmtId="1" fontId="5" fillId="0" borderId="29" xfId="5" applyNumberFormat="1" applyFont="1" applyFill="1" applyBorder="1" applyAlignment="1">
      <alignment horizontal="right" vertical="center"/>
    </xf>
    <xf numFmtId="1" fontId="5" fillId="0" borderId="6" xfId="5" applyNumberFormat="1" applyFont="1" applyFill="1" applyBorder="1" applyAlignment="1">
      <alignment horizontal="right" vertical="center"/>
    </xf>
    <xf numFmtId="164" fontId="5" fillId="0" borderId="6" xfId="5" applyFont="1" applyFill="1" applyBorder="1" applyAlignment="1">
      <alignment horizontal="right" vertical="center"/>
    </xf>
    <xf numFmtId="164" fontId="6" fillId="0" borderId="6" xfId="2" applyFont="1" applyFill="1" applyBorder="1" applyAlignment="1">
      <alignment horizontal="center" vertical="center" wrapText="1"/>
    </xf>
    <xf numFmtId="164" fontId="6" fillId="0" borderId="6" xfId="2" applyFont="1" applyFill="1" applyBorder="1" applyAlignment="1">
      <alignment horizontal="center" vertical="center"/>
    </xf>
    <xf numFmtId="164" fontId="15" fillId="0" borderId="6" xfId="2" applyFont="1" applyFill="1" applyBorder="1" applyAlignment="1">
      <alignment horizontal="center" vertical="center" wrapText="1"/>
    </xf>
    <xf numFmtId="0" fontId="16" fillId="0" borderId="6" xfId="2" applyNumberFormat="1" applyFont="1" applyFill="1" applyBorder="1" applyAlignment="1">
      <alignment horizontal="center" vertical="center" wrapText="1"/>
    </xf>
    <xf numFmtId="165" fontId="16" fillId="0" borderId="6" xfId="2" applyNumberFormat="1" applyFont="1" applyFill="1" applyBorder="1" applyAlignment="1">
      <alignment horizontal="center" vertical="center" wrapText="1"/>
    </xf>
    <xf numFmtId="0" fontId="6" fillId="0" borderId="6" xfId="6" applyFont="1" applyBorder="1" applyAlignment="1">
      <alignment horizontal="center"/>
    </xf>
    <xf numFmtId="4" fontId="16" fillId="0" borderId="6" xfId="2" applyNumberFormat="1" applyFont="1" applyFill="1" applyBorder="1" applyAlignment="1">
      <alignment horizontal="center" vertical="center" wrapText="1"/>
    </xf>
    <xf numFmtId="164" fontId="16" fillId="0" borderId="6" xfId="2" applyFont="1" applyFill="1" applyBorder="1" applyAlignment="1">
      <alignment horizontal="center" vertical="center" wrapText="1"/>
    </xf>
    <xf numFmtId="164" fontId="25" fillId="0" borderId="6" xfId="2" applyFont="1" applyFill="1" applyBorder="1" applyAlignment="1">
      <alignment horizontal="center" vertical="center" wrapText="1"/>
    </xf>
    <xf numFmtId="0" fontId="25" fillId="0" borderId="34" xfId="6" applyFont="1" applyBorder="1" applyAlignment="1">
      <alignment horizontal="center"/>
    </xf>
    <xf numFmtId="0" fontId="25" fillId="0" borderId="33" xfId="6" applyFont="1" applyBorder="1" applyAlignment="1">
      <alignment horizontal="center"/>
    </xf>
    <xf numFmtId="0" fontId="25" fillId="0" borderId="32" xfId="6" applyFont="1" applyBorder="1" applyAlignment="1">
      <alignment horizontal="center"/>
    </xf>
    <xf numFmtId="0" fontId="25" fillId="0" borderId="12" xfId="6" applyFont="1" applyBorder="1" applyAlignment="1">
      <alignment horizontal="center"/>
    </xf>
    <xf numFmtId="0" fontId="25" fillId="0" borderId="5" xfId="6" applyFont="1" applyBorder="1" applyAlignment="1">
      <alignment horizontal="center"/>
    </xf>
    <xf numFmtId="0" fontId="25" fillId="0" borderId="13" xfId="6" applyFont="1" applyBorder="1" applyAlignment="1">
      <alignment horizontal="center"/>
    </xf>
    <xf numFmtId="164" fontId="25" fillId="0" borderId="31" xfId="2" applyFont="1" applyFill="1" applyBorder="1" applyAlignment="1">
      <alignment horizontal="center" vertical="center" wrapText="1"/>
    </xf>
    <xf numFmtId="164" fontId="25" fillId="0" borderId="29" xfId="2" applyFont="1" applyFill="1" applyBorder="1" applyAlignment="1">
      <alignment horizontal="center" vertical="center" wrapText="1"/>
    </xf>
    <xf numFmtId="164" fontId="23" fillId="0" borderId="0" xfId="2" applyFont="1" applyFill="1" applyAlignment="1">
      <alignment horizontal="center"/>
    </xf>
    <xf numFmtId="164" fontId="25" fillId="0" borderId="6" xfId="2" applyFont="1" applyFill="1" applyBorder="1" applyAlignment="1">
      <alignment horizontal="center" vertical="center"/>
    </xf>
    <xf numFmtId="164" fontId="25" fillId="0" borderId="30" xfId="2" applyFont="1" applyFill="1" applyBorder="1" applyAlignment="1">
      <alignment horizontal="center" vertical="center" wrapText="1"/>
    </xf>
    <xf numFmtId="0" fontId="25" fillId="0" borderId="6" xfId="2" applyNumberFormat="1" applyFont="1" applyFill="1" applyBorder="1" applyAlignment="1">
      <alignment horizontal="center" vertical="center" wrapText="1"/>
    </xf>
    <xf numFmtId="165" fontId="25" fillId="0" borderId="6" xfId="2" applyNumberFormat="1" applyFont="1" applyFill="1" applyBorder="1" applyAlignment="1">
      <alignment horizontal="center" vertical="center" wrapText="1"/>
    </xf>
    <xf numFmtId="164" fontId="25" fillId="0" borderId="8" xfId="2" applyFont="1" applyFill="1" applyBorder="1" applyAlignment="1">
      <alignment horizontal="center" vertical="center" wrapText="1"/>
    </xf>
    <xf numFmtId="164" fontId="25" fillId="0" borderId="9" xfId="2" applyFont="1" applyFill="1" applyBorder="1" applyAlignment="1">
      <alignment horizontal="center" vertical="center" wrapText="1"/>
    </xf>
    <xf numFmtId="164" fontId="25" fillId="0" borderId="0" xfId="2" applyFont="1" applyFill="1" applyBorder="1" applyAlignment="1">
      <alignment horizontal="center" vertical="center" wrapText="1"/>
    </xf>
    <xf numFmtId="164" fontId="25" fillId="0" borderId="11" xfId="2" applyFont="1" applyFill="1" applyBorder="1" applyAlignment="1">
      <alignment horizontal="center" vertical="center" wrapText="1"/>
    </xf>
    <xf numFmtId="164" fontId="25" fillId="0" borderId="5" xfId="2" applyFont="1" applyFill="1" applyBorder="1" applyAlignment="1">
      <alignment horizontal="center" vertical="center" wrapText="1"/>
    </xf>
    <xf numFmtId="164" fontId="25" fillId="0" borderId="13" xfId="2" applyFont="1" applyFill="1" applyBorder="1" applyAlignment="1">
      <alignment horizontal="center" vertical="center" wrapText="1"/>
    </xf>
    <xf numFmtId="164" fontId="25" fillId="0" borderId="34" xfId="2" applyFont="1" applyFill="1" applyBorder="1" applyAlignment="1">
      <alignment horizontal="center" vertical="center"/>
    </xf>
    <xf numFmtId="164" fontId="25" fillId="0" borderId="32" xfId="2" applyFont="1" applyFill="1" applyBorder="1" applyAlignment="1">
      <alignment horizontal="center" vertical="center"/>
    </xf>
    <xf numFmtId="164" fontId="25" fillId="0" borderId="7" xfId="2" applyFont="1" applyFill="1" applyBorder="1" applyAlignment="1">
      <alignment horizontal="center" vertical="center" wrapText="1"/>
    </xf>
    <xf numFmtId="164" fontId="25" fillId="0" borderId="10" xfId="2" applyFont="1" applyFill="1" applyBorder="1" applyAlignment="1">
      <alignment horizontal="center" vertical="center" wrapText="1"/>
    </xf>
    <xf numFmtId="164" fontId="25" fillId="0" borderId="12" xfId="2" applyFont="1" applyFill="1" applyBorder="1" applyAlignment="1">
      <alignment horizontal="center" vertical="center" wrapText="1"/>
    </xf>
    <xf numFmtId="164" fontId="25" fillId="0" borderId="33" xfId="2" applyFont="1" applyFill="1" applyBorder="1" applyAlignment="1">
      <alignment horizontal="center" vertical="center"/>
    </xf>
    <xf numFmtId="164" fontId="13" fillId="0" borderId="0" xfId="2" applyFont="1" applyFill="1" applyAlignment="1">
      <alignment horizontal="center"/>
    </xf>
    <xf numFmtId="164" fontId="27" fillId="0" borderId="0" xfId="2" applyFont="1" applyFill="1" applyAlignment="1">
      <alignment horizontal="center"/>
    </xf>
    <xf numFmtId="0" fontId="28" fillId="0" borderId="34" xfId="6" applyFont="1" applyBorder="1" applyAlignment="1">
      <alignment horizontal="center"/>
    </xf>
    <xf numFmtId="0" fontId="28" fillId="0" borderId="32" xfId="6" applyFont="1" applyBorder="1" applyAlignment="1">
      <alignment horizontal="center"/>
    </xf>
    <xf numFmtId="0" fontId="13" fillId="0" borderId="30" xfId="3" quotePrefix="1" applyFont="1" applyBorder="1" applyAlignment="1">
      <alignment horizontal="right" vertical="center"/>
    </xf>
    <xf numFmtId="0" fontId="13" fillId="0" borderId="31" xfId="3" quotePrefix="1" applyFont="1" applyBorder="1" applyAlignment="1">
      <alignment horizontal="right" vertical="center"/>
    </xf>
    <xf numFmtId="0" fontId="13" fillId="0" borderId="29" xfId="3" quotePrefix="1" applyFont="1" applyBorder="1" applyAlignment="1">
      <alignment horizontal="right" vertical="center"/>
    </xf>
    <xf numFmtId="0" fontId="13" fillId="0" borderId="6" xfId="3" quotePrefix="1" applyFont="1" applyBorder="1" applyAlignment="1">
      <alignment horizontal="right" vertical="center"/>
    </xf>
    <xf numFmtId="169" fontId="13" fillId="0" borderId="6" xfId="7" applyNumberFormat="1" applyFont="1" applyFill="1" applyBorder="1" applyAlignment="1">
      <alignment horizontal="center" vertical="center"/>
    </xf>
    <xf numFmtId="0" fontId="13" fillId="0" borderId="30" xfId="3" quotePrefix="1" applyFont="1" applyBorder="1" applyAlignment="1">
      <alignment horizontal="center" vertical="center"/>
    </xf>
    <xf numFmtId="0" fontId="13" fillId="0" borderId="29" xfId="3" quotePrefix="1" applyFont="1" applyBorder="1" applyAlignment="1">
      <alignment horizontal="center" vertical="center"/>
    </xf>
    <xf numFmtId="164" fontId="15" fillId="0" borderId="7" xfId="2" applyFont="1" applyFill="1" applyBorder="1" applyAlignment="1">
      <alignment horizontal="center" vertical="center" wrapText="1"/>
    </xf>
    <xf numFmtId="164" fontId="15" fillId="0" borderId="12" xfId="2" applyFont="1" applyFill="1" applyBorder="1" applyAlignment="1">
      <alignment horizontal="center" vertical="center" wrapText="1"/>
    </xf>
    <xf numFmtId="164" fontId="15" fillId="0" borderId="34" xfId="2" applyFont="1" applyFill="1" applyBorder="1" applyAlignment="1">
      <alignment horizontal="center" vertical="center"/>
    </xf>
    <xf numFmtId="164" fontId="15" fillId="0" borderId="32" xfId="2" applyFont="1" applyFill="1" applyBorder="1" applyAlignment="1">
      <alignment horizontal="center" vertical="center"/>
    </xf>
    <xf numFmtId="9" fontId="15" fillId="0" borderId="7" xfId="8" applyFont="1" applyFill="1" applyBorder="1" applyAlignment="1">
      <alignment horizontal="center" vertical="center" wrapText="1"/>
    </xf>
    <xf numFmtId="9" fontId="15" fillId="0" borderId="10" xfId="8" applyFont="1" applyFill="1" applyBorder="1" applyAlignment="1">
      <alignment horizontal="center" vertical="center" wrapText="1"/>
    </xf>
    <xf numFmtId="9" fontId="15" fillId="0" borderId="12" xfId="8" applyFont="1" applyFill="1" applyBorder="1" applyAlignment="1">
      <alignment horizontal="center" vertical="center" wrapText="1"/>
    </xf>
    <xf numFmtId="164" fontId="15" fillId="0" borderId="33" xfId="2" applyFont="1" applyFill="1" applyBorder="1" applyAlignment="1">
      <alignment horizontal="center" vertical="center"/>
    </xf>
    <xf numFmtId="0" fontId="15" fillId="0" borderId="12" xfId="6" applyFont="1" applyBorder="1" applyAlignment="1">
      <alignment horizontal="center"/>
    </xf>
    <xf numFmtId="0" fontId="29" fillId="0" borderId="5" xfId="6" applyFont="1" applyBorder="1" applyAlignment="1"/>
    <xf numFmtId="0" fontId="29" fillId="0" borderId="13" xfId="6" applyFont="1" applyBorder="1" applyAlignment="1"/>
    <xf numFmtId="0" fontId="15" fillId="0" borderId="5" xfId="6" applyFont="1" applyBorder="1" applyAlignment="1">
      <alignment horizontal="center"/>
    </xf>
    <xf numFmtId="0" fontId="15" fillId="0" borderId="13" xfId="6" applyFont="1" applyBorder="1" applyAlignment="1">
      <alignment horizontal="center"/>
    </xf>
    <xf numFmtId="164" fontId="15" fillId="0" borderId="6" xfId="2" applyFont="1" applyFill="1" applyBorder="1" applyAlignment="1">
      <alignment horizontal="center" vertical="center"/>
    </xf>
    <xf numFmtId="164" fontId="15" fillId="0" borderId="8" xfId="2" applyFont="1" applyFill="1" applyBorder="1" applyAlignment="1">
      <alignment horizontal="center" vertical="center" wrapText="1"/>
    </xf>
    <xf numFmtId="164" fontId="15" fillId="0" borderId="9" xfId="2" applyFont="1" applyFill="1" applyBorder="1" applyAlignment="1">
      <alignment horizontal="center" vertical="center" wrapText="1"/>
    </xf>
    <xf numFmtId="164" fontId="15" fillId="0" borderId="10" xfId="2" applyFont="1" applyFill="1" applyBorder="1" applyAlignment="1">
      <alignment horizontal="center" vertical="center" wrapText="1"/>
    </xf>
    <xf numFmtId="164" fontId="15" fillId="0" borderId="0" xfId="2" applyFont="1" applyFill="1" applyBorder="1" applyAlignment="1">
      <alignment horizontal="center" vertical="center" wrapText="1"/>
    </xf>
    <xf numFmtId="164" fontId="15" fillId="0" borderId="11" xfId="2" applyFont="1" applyFill="1" applyBorder="1" applyAlignment="1">
      <alignment horizontal="center" vertical="center" wrapText="1"/>
    </xf>
    <xf numFmtId="164" fontId="15" fillId="0" borderId="5" xfId="2" applyFont="1" applyFill="1" applyBorder="1" applyAlignment="1">
      <alignment horizontal="center" vertical="center" wrapText="1"/>
    </xf>
    <xf numFmtId="164" fontId="15" fillId="0" borderId="13" xfId="2" applyFont="1" applyFill="1" applyBorder="1" applyAlignment="1">
      <alignment horizontal="center" vertical="center" wrapText="1"/>
    </xf>
    <xf numFmtId="0" fontId="28" fillId="0" borderId="30" xfId="6" applyFont="1" applyBorder="1" applyAlignment="1">
      <alignment horizontal="center" vertical="center"/>
    </xf>
    <xf numFmtId="0" fontId="28" fillId="0" borderId="29" xfId="6" applyFont="1" applyBorder="1" applyAlignment="1">
      <alignment horizontal="center" vertical="center"/>
    </xf>
    <xf numFmtId="0" fontId="28" fillId="0" borderId="33" xfId="6" applyFont="1" applyBorder="1" applyAlignment="1">
      <alignment horizontal="center"/>
    </xf>
    <xf numFmtId="164" fontId="20" fillId="0" borderId="0" xfId="2" applyFont="1" applyFill="1" applyAlignment="1">
      <alignment horizontal="center"/>
    </xf>
    <xf numFmtId="164" fontId="21" fillId="0" borderId="0" xfId="2" applyFont="1" applyFill="1" applyAlignment="1">
      <alignment horizontal="center"/>
    </xf>
    <xf numFmtId="3" fontId="13" fillId="0" borderId="30" xfId="3" quotePrefix="1" applyNumberFormat="1" applyFont="1" applyBorder="1" applyAlignment="1">
      <alignment horizontal="right" vertical="center"/>
    </xf>
    <xf numFmtId="169" fontId="13" fillId="0" borderId="30" xfId="7" applyNumberFormat="1" applyFont="1" applyFill="1" applyBorder="1" applyAlignment="1">
      <alignment horizontal="center" vertical="center"/>
    </xf>
    <xf numFmtId="169" fontId="13" fillId="0" borderId="31" xfId="7" applyNumberFormat="1" applyFont="1" applyFill="1" applyBorder="1" applyAlignment="1">
      <alignment horizontal="center" vertical="center"/>
    </xf>
    <xf numFmtId="169" fontId="13" fillId="0" borderId="29" xfId="7" applyNumberFormat="1" applyFont="1" applyFill="1" applyBorder="1" applyAlignment="1">
      <alignment horizontal="center" vertical="center"/>
    </xf>
    <xf numFmtId="164" fontId="15" fillId="0" borderId="30" xfId="2" applyFont="1" applyFill="1" applyBorder="1" applyAlignment="1">
      <alignment horizontal="center" vertical="center" wrapText="1"/>
    </xf>
    <xf numFmtId="164" fontId="15" fillId="0" borderId="31" xfId="2" applyFont="1" applyFill="1" applyBorder="1" applyAlignment="1">
      <alignment horizontal="center" vertical="center" wrapText="1"/>
    </xf>
    <xf numFmtId="164" fontId="15" fillId="0" borderId="29" xfId="2" applyFont="1" applyFill="1" applyBorder="1" applyAlignment="1">
      <alignment horizontal="center" vertical="center" wrapText="1"/>
    </xf>
    <xf numFmtId="0" fontId="15" fillId="0" borderId="6" xfId="2" applyNumberFormat="1" applyFont="1" applyFill="1" applyBorder="1" applyAlignment="1">
      <alignment horizontal="center" vertical="center" wrapText="1"/>
    </xf>
    <xf numFmtId="165" fontId="15" fillId="0" borderId="6" xfId="2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2" xfId="5" xr:uid="{0CF8347C-C28E-3E4C-9B0E-C62AA79130C4}"/>
    <cellStyle name="Comma 2 2" xfId="9" xr:uid="{E9C8C678-8A2C-3542-A8CD-30A35FC5C7FE}"/>
    <cellStyle name="Comma 2 3" xfId="11" xr:uid="{59A49B7F-8280-8046-A78F-47C738B1D915}"/>
    <cellStyle name="Comma 3 2" xfId="2" xr:uid="{DE165E5A-B249-D640-AF4F-5A33836F6A39}"/>
    <cellStyle name="Comma 4" xfId="7" xr:uid="{F6C85159-3FA0-CC4B-A303-BCE60B6A873E}"/>
    <cellStyle name="Normal" xfId="0" builtinId="0"/>
    <cellStyle name="Normal 2" xfId="6" xr:uid="{74B976D1-C2F2-7245-8B2A-A33B58EB3D03}"/>
    <cellStyle name="Normal 2 2" xfId="10" xr:uid="{C0DE5618-0E78-A948-8363-C78A7C9E4EDF}"/>
    <cellStyle name="Normal 3" xfId="3" xr:uid="{6DC63852-FE70-7A48-845A-5BFEDD1E31CC}"/>
    <cellStyle name="Normal_TYPHOON%20PEPENG%20SUMMARY%20-FINAL%20DAMAGE%20REPORT%20OCT%2012%2C%202009%28Updated%29(1)" xfId="4" xr:uid="{ACCBFC70-B209-804E-820B-6FCB66656467}"/>
    <cellStyle name="Percent 2" xfId="8" xr:uid="{91B41953-9880-D145-AE3A-A930EB958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10</xdr:row>
      <xdr:rowOff>25400</xdr:rowOff>
    </xdr:from>
    <xdr:to>
      <xdr:col>12</xdr:col>
      <xdr:colOff>393700</xdr:colOff>
      <xdr:row>10</xdr:row>
      <xdr:rowOff>127000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04B7B6DB-4422-484B-9A0F-6D0B0E0F9B0E}"/>
            </a:ext>
          </a:extLst>
        </xdr:cNvPr>
        <xdr:cNvSpPr>
          <a:spLocks noChangeArrowheads="1"/>
        </xdr:cNvSpPr>
      </xdr:nvSpPr>
      <xdr:spPr bwMode="auto">
        <a:xfrm>
          <a:off x="9817100" y="1816100"/>
          <a:ext cx="1778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11</xdr:row>
      <xdr:rowOff>25400</xdr:rowOff>
    </xdr:from>
    <xdr:to>
      <xdr:col>12</xdr:col>
      <xdr:colOff>393700</xdr:colOff>
      <xdr:row>11</xdr:row>
      <xdr:rowOff>127000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C4C73390-0441-2E44-AB6C-09EA787BAC33}"/>
            </a:ext>
          </a:extLst>
        </xdr:cNvPr>
        <xdr:cNvSpPr>
          <a:spLocks noChangeArrowheads="1"/>
        </xdr:cNvSpPr>
      </xdr:nvSpPr>
      <xdr:spPr bwMode="auto">
        <a:xfrm>
          <a:off x="9817100" y="1993900"/>
          <a:ext cx="177800" cy="1016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9</xdr:row>
      <xdr:rowOff>12700</xdr:rowOff>
    </xdr:from>
    <xdr:to>
      <xdr:col>12</xdr:col>
      <xdr:colOff>393700</xdr:colOff>
      <xdr:row>9</xdr:row>
      <xdr:rowOff>114300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94A8ACC-1DB2-D14A-B817-C13F67F28507}"/>
            </a:ext>
          </a:extLst>
        </xdr:cNvPr>
        <xdr:cNvSpPr>
          <a:spLocks noChangeArrowheads="1"/>
        </xdr:cNvSpPr>
      </xdr:nvSpPr>
      <xdr:spPr bwMode="auto">
        <a:xfrm>
          <a:off x="9817100" y="1625600"/>
          <a:ext cx="1778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685800</xdr:colOff>
      <xdr:row>10</xdr:row>
      <xdr:rowOff>50800</xdr:rowOff>
    </xdr:from>
    <xdr:to>
      <xdr:col>17</xdr:col>
      <xdr:colOff>812800</xdr:colOff>
      <xdr:row>11</xdr:row>
      <xdr:rowOff>12700</xdr:rowOff>
    </xdr:to>
    <xdr:sp macro="" textlink="">
      <xdr:nvSpPr>
        <xdr:cNvPr id="5" name="Rectangle 10">
          <a:extLst>
            <a:ext uri="{FF2B5EF4-FFF2-40B4-BE49-F238E27FC236}">
              <a16:creationId xmlns:a16="http://schemas.microsoft.com/office/drawing/2014/main" id="{3B150861-1DC6-194E-8620-1CDFEEB04530}"/>
            </a:ext>
          </a:extLst>
        </xdr:cNvPr>
        <xdr:cNvSpPr>
          <a:spLocks noChangeArrowheads="1"/>
        </xdr:cNvSpPr>
      </xdr:nvSpPr>
      <xdr:spPr bwMode="auto">
        <a:xfrm>
          <a:off x="13754100" y="1841500"/>
          <a:ext cx="63500" cy="139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685800</xdr:colOff>
      <xdr:row>11</xdr:row>
      <xdr:rowOff>38100</xdr:rowOff>
    </xdr:from>
    <xdr:to>
      <xdr:col>17</xdr:col>
      <xdr:colOff>749300</xdr:colOff>
      <xdr:row>11</xdr:row>
      <xdr:rowOff>127000</xdr:rowOff>
    </xdr:to>
    <xdr:sp macro="" textlink="">
      <xdr:nvSpPr>
        <xdr:cNvPr id="6" name="Rectangle 17">
          <a:extLst>
            <a:ext uri="{FF2B5EF4-FFF2-40B4-BE49-F238E27FC236}">
              <a16:creationId xmlns:a16="http://schemas.microsoft.com/office/drawing/2014/main" id="{4F71E308-8B31-0F47-B3C2-C3E6CCF7ABE3}"/>
            </a:ext>
          </a:extLst>
        </xdr:cNvPr>
        <xdr:cNvSpPr>
          <a:spLocks noChangeArrowheads="1"/>
        </xdr:cNvSpPr>
      </xdr:nvSpPr>
      <xdr:spPr bwMode="auto">
        <a:xfrm>
          <a:off x="13754100" y="2006600"/>
          <a:ext cx="63500" cy="88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10</xdr:row>
      <xdr:rowOff>25400</xdr:rowOff>
    </xdr:from>
    <xdr:to>
      <xdr:col>12</xdr:col>
      <xdr:colOff>393700</xdr:colOff>
      <xdr:row>10</xdr:row>
      <xdr:rowOff>127000</xdr:rowOff>
    </xdr:to>
    <xdr:sp macro="" textlink="">
      <xdr:nvSpPr>
        <xdr:cNvPr id="7" name="Rectangle 4">
          <a:extLst>
            <a:ext uri="{FF2B5EF4-FFF2-40B4-BE49-F238E27FC236}">
              <a16:creationId xmlns:a16="http://schemas.microsoft.com/office/drawing/2014/main" id="{B9E8F4A1-07CC-2D47-B158-2E777F7F63BB}"/>
            </a:ext>
          </a:extLst>
        </xdr:cNvPr>
        <xdr:cNvSpPr>
          <a:spLocks noChangeArrowheads="1"/>
        </xdr:cNvSpPr>
      </xdr:nvSpPr>
      <xdr:spPr bwMode="auto">
        <a:xfrm>
          <a:off x="9817100" y="1816100"/>
          <a:ext cx="177800" cy="101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215900</xdr:colOff>
      <xdr:row>11</xdr:row>
      <xdr:rowOff>25400</xdr:rowOff>
    </xdr:from>
    <xdr:to>
      <xdr:col>12</xdr:col>
      <xdr:colOff>393700</xdr:colOff>
      <xdr:row>11</xdr:row>
      <xdr:rowOff>127000</xdr:rowOff>
    </xdr:to>
    <xdr:sp macro="" textlink="">
      <xdr:nvSpPr>
        <xdr:cNvPr id="8" name="Rectangle 5">
          <a:extLst>
            <a:ext uri="{FF2B5EF4-FFF2-40B4-BE49-F238E27FC236}">
              <a16:creationId xmlns:a16="http://schemas.microsoft.com/office/drawing/2014/main" id="{41902326-FAB4-BB4B-9175-A07B8022B49E}"/>
            </a:ext>
          </a:extLst>
        </xdr:cNvPr>
        <xdr:cNvSpPr>
          <a:spLocks noChangeArrowheads="1"/>
        </xdr:cNvSpPr>
      </xdr:nvSpPr>
      <xdr:spPr bwMode="auto">
        <a:xfrm>
          <a:off x="9817100" y="1993900"/>
          <a:ext cx="1778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9</xdr:row>
      <xdr:rowOff>12700</xdr:rowOff>
    </xdr:from>
    <xdr:to>
      <xdr:col>12</xdr:col>
      <xdr:colOff>393700</xdr:colOff>
      <xdr:row>9</xdr:row>
      <xdr:rowOff>114300</xdr:rowOff>
    </xdr:to>
    <xdr:sp macro="" textlink="">
      <xdr:nvSpPr>
        <xdr:cNvPr id="9" name="Rectangle 6">
          <a:extLst>
            <a:ext uri="{FF2B5EF4-FFF2-40B4-BE49-F238E27FC236}">
              <a16:creationId xmlns:a16="http://schemas.microsoft.com/office/drawing/2014/main" id="{D6D006F2-BB97-A04D-81E2-AEC51993EC80}"/>
            </a:ext>
          </a:extLst>
        </xdr:cNvPr>
        <xdr:cNvSpPr>
          <a:spLocks noChangeArrowheads="1"/>
        </xdr:cNvSpPr>
      </xdr:nvSpPr>
      <xdr:spPr bwMode="auto">
        <a:xfrm>
          <a:off x="9817100" y="1625600"/>
          <a:ext cx="1778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685800</xdr:colOff>
      <xdr:row>9</xdr:row>
      <xdr:rowOff>50800</xdr:rowOff>
    </xdr:from>
    <xdr:to>
      <xdr:col>17</xdr:col>
      <xdr:colOff>812800</xdr:colOff>
      <xdr:row>10</xdr:row>
      <xdr:rowOff>12700</xdr:rowOff>
    </xdr:to>
    <xdr:sp macro="" textlink="">
      <xdr:nvSpPr>
        <xdr:cNvPr id="10" name="Rectangle 7">
          <a:extLst>
            <a:ext uri="{FF2B5EF4-FFF2-40B4-BE49-F238E27FC236}">
              <a16:creationId xmlns:a16="http://schemas.microsoft.com/office/drawing/2014/main" id="{1A0E488E-4336-0544-BCA5-3C835A5BEC93}"/>
            </a:ext>
          </a:extLst>
        </xdr:cNvPr>
        <xdr:cNvSpPr>
          <a:spLocks noChangeArrowheads="1"/>
        </xdr:cNvSpPr>
      </xdr:nvSpPr>
      <xdr:spPr bwMode="auto">
        <a:xfrm>
          <a:off x="13754100" y="1663700"/>
          <a:ext cx="6350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685800</xdr:colOff>
      <xdr:row>10</xdr:row>
      <xdr:rowOff>50800</xdr:rowOff>
    </xdr:from>
    <xdr:to>
      <xdr:col>17</xdr:col>
      <xdr:colOff>812800</xdr:colOff>
      <xdr:row>11</xdr:row>
      <xdr:rowOff>12700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5468BB4-58F4-1D4D-AAA7-1E175ABA0CC5}"/>
            </a:ext>
          </a:extLst>
        </xdr:cNvPr>
        <xdr:cNvSpPr>
          <a:spLocks noChangeArrowheads="1"/>
        </xdr:cNvSpPr>
      </xdr:nvSpPr>
      <xdr:spPr bwMode="auto">
        <a:xfrm>
          <a:off x="13754100" y="1841500"/>
          <a:ext cx="63500" cy="139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685800</xdr:colOff>
      <xdr:row>11</xdr:row>
      <xdr:rowOff>38100</xdr:rowOff>
    </xdr:from>
    <xdr:to>
      <xdr:col>17</xdr:col>
      <xdr:colOff>749300</xdr:colOff>
      <xdr:row>11</xdr:row>
      <xdr:rowOff>127000</xdr:rowOff>
    </xdr:to>
    <xdr:sp macro="" textlink="">
      <xdr:nvSpPr>
        <xdr:cNvPr id="12" name="Rectangle 17">
          <a:extLst>
            <a:ext uri="{FF2B5EF4-FFF2-40B4-BE49-F238E27FC236}">
              <a16:creationId xmlns:a16="http://schemas.microsoft.com/office/drawing/2014/main" id="{4311D538-A151-E44F-AC6B-615CAB66EECA}"/>
            </a:ext>
          </a:extLst>
        </xdr:cNvPr>
        <xdr:cNvSpPr>
          <a:spLocks noChangeArrowheads="1"/>
        </xdr:cNvSpPr>
      </xdr:nvSpPr>
      <xdr:spPr bwMode="auto">
        <a:xfrm>
          <a:off x="13754100" y="2006600"/>
          <a:ext cx="63500" cy="88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11</xdr:row>
      <xdr:rowOff>25400</xdr:rowOff>
    </xdr:from>
    <xdr:to>
      <xdr:col>12</xdr:col>
      <xdr:colOff>393700</xdr:colOff>
      <xdr:row>11</xdr:row>
      <xdr:rowOff>127000</xdr:rowOff>
    </xdr:to>
    <xdr:sp macro="" textlink="">
      <xdr:nvSpPr>
        <xdr:cNvPr id="13" name="Rectangle 5">
          <a:extLst>
            <a:ext uri="{FF2B5EF4-FFF2-40B4-BE49-F238E27FC236}">
              <a16:creationId xmlns:a16="http://schemas.microsoft.com/office/drawing/2014/main" id="{BCF9C0DD-4CA5-CC46-81BB-A76467CBDB8E}"/>
            </a:ext>
          </a:extLst>
        </xdr:cNvPr>
        <xdr:cNvSpPr>
          <a:spLocks noChangeArrowheads="1"/>
        </xdr:cNvSpPr>
      </xdr:nvSpPr>
      <xdr:spPr bwMode="auto">
        <a:xfrm>
          <a:off x="9817100" y="1993900"/>
          <a:ext cx="177800" cy="1016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9</xdr:row>
      <xdr:rowOff>12700</xdr:rowOff>
    </xdr:from>
    <xdr:to>
      <xdr:col>12</xdr:col>
      <xdr:colOff>393700</xdr:colOff>
      <xdr:row>9</xdr:row>
      <xdr:rowOff>114300</xdr:rowOff>
    </xdr:to>
    <xdr:sp macro="" textlink="">
      <xdr:nvSpPr>
        <xdr:cNvPr id="14" name="Rectangle 6">
          <a:extLst>
            <a:ext uri="{FF2B5EF4-FFF2-40B4-BE49-F238E27FC236}">
              <a16:creationId xmlns:a16="http://schemas.microsoft.com/office/drawing/2014/main" id="{42229529-F530-DA45-8151-BABC1531FA7C}"/>
            </a:ext>
          </a:extLst>
        </xdr:cNvPr>
        <xdr:cNvSpPr>
          <a:spLocks noChangeArrowheads="1"/>
        </xdr:cNvSpPr>
      </xdr:nvSpPr>
      <xdr:spPr bwMode="auto">
        <a:xfrm>
          <a:off x="9817100" y="1625600"/>
          <a:ext cx="177800" cy="101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685800</xdr:colOff>
      <xdr:row>9</xdr:row>
      <xdr:rowOff>50800</xdr:rowOff>
    </xdr:from>
    <xdr:to>
      <xdr:col>18</xdr:col>
      <xdr:colOff>50800</xdr:colOff>
      <xdr:row>10</xdr:row>
      <xdr:rowOff>12700</xdr:rowOff>
    </xdr:to>
    <xdr:sp macro="" textlink="">
      <xdr:nvSpPr>
        <xdr:cNvPr id="15" name="Rectangle 7">
          <a:extLst>
            <a:ext uri="{FF2B5EF4-FFF2-40B4-BE49-F238E27FC236}">
              <a16:creationId xmlns:a16="http://schemas.microsoft.com/office/drawing/2014/main" id="{7F99B203-AD59-9E40-86CC-85031E8D33D5}"/>
            </a:ext>
          </a:extLst>
        </xdr:cNvPr>
        <xdr:cNvSpPr>
          <a:spLocks noChangeArrowheads="1"/>
        </xdr:cNvSpPr>
      </xdr:nvSpPr>
      <xdr:spPr bwMode="auto">
        <a:xfrm>
          <a:off x="13754100" y="1663700"/>
          <a:ext cx="11430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11</xdr:row>
      <xdr:rowOff>25400</xdr:rowOff>
    </xdr:from>
    <xdr:to>
      <xdr:col>12</xdr:col>
      <xdr:colOff>393700</xdr:colOff>
      <xdr:row>11</xdr:row>
      <xdr:rowOff>127000</xdr:rowOff>
    </xdr:to>
    <xdr:sp macro="" textlink="">
      <xdr:nvSpPr>
        <xdr:cNvPr id="16" name="Rectangle 5">
          <a:extLst>
            <a:ext uri="{FF2B5EF4-FFF2-40B4-BE49-F238E27FC236}">
              <a16:creationId xmlns:a16="http://schemas.microsoft.com/office/drawing/2014/main" id="{7B8068E3-C520-7640-BC08-D697247CF3D7}"/>
            </a:ext>
          </a:extLst>
        </xdr:cNvPr>
        <xdr:cNvSpPr>
          <a:spLocks noChangeArrowheads="1"/>
        </xdr:cNvSpPr>
      </xdr:nvSpPr>
      <xdr:spPr bwMode="auto">
        <a:xfrm>
          <a:off x="9817100" y="1993900"/>
          <a:ext cx="177800" cy="1016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9</xdr:row>
      <xdr:rowOff>12700</xdr:rowOff>
    </xdr:from>
    <xdr:to>
      <xdr:col>12</xdr:col>
      <xdr:colOff>393700</xdr:colOff>
      <xdr:row>9</xdr:row>
      <xdr:rowOff>114300</xdr:rowOff>
    </xdr:to>
    <xdr:sp macro="" textlink="">
      <xdr:nvSpPr>
        <xdr:cNvPr id="17" name="Rectangle 6">
          <a:extLst>
            <a:ext uri="{FF2B5EF4-FFF2-40B4-BE49-F238E27FC236}">
              <a16:creationId xmlns:a16="http://schemas.microsoft.com/office/drawing/2014/main" id="{018C8C8F-A727-384D-8DC7-45494AF95C78}"/>
            </a:ext>
          </a:extLst>
        </xdr:cNvPr>
        <xdr:cNvSpPr>
          <a:spLocks noChangeArrowheads="1"/>
        </xdr:cNvSpPr>
      </xdr:nvSpPr>
      <xdr:spPr bwMode="auto">
        <a:xfrm>
          <a:off x="9817100" y="1625600"/>
          <a:ext cx="1778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685800</xdr:colOff>
      <xdr:row>10</xdr:row>
      <xdr:rowOff>50800</xdr:rowOff>
    </xdr:from>
    <xdr:to>
      <xdr:col>17</xdr:col>
      <xdr:colOff>812800</xdr:colOff>
      <xdr:row>11</xdr:row>
      <xdr:rowOff>12700</xdr:rowOff>
    </xdr:to>
    <xdr:sp macro="" textlink="">
      <xdr:nvSpPr>
        <xdr:cNvPr id="18" name="Rectangle 10">
          <a:extLst>
            <a:ext uri="{FF2B5EF4-FFF2-40B4-BE49-F238E27FC236}">
              <a16:creationId xmlns:a16="http://schemas.microsoft.com/office/drawing/2014/main" id="{3B9412D8-5E05-C348-8F1C-425A3A45EB70}"/>
            </a:ext>
          </a:extLst>
        </xdr:cNvPr>
        <xdr:cNvSpPr>
          <a:spLocks noChangeArrowheads="1"/>
        </xdr:cNvSpPr>
      </xdr:nvSpPr>
      <xdr:spPr bwMode="auto">
        <a:xfrm>
          <a:off x="13754100" y="1841500"/>
          <a:ext cx="63500" cy="139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11</xdr:row>
      <xdr:rowOff>25400</xdr:rowOff>
    </xdr:from>
    <xdr:to>
      <xdr:col>12</xdr:col>
      <xdr:colOff>393700</xdr:colOff>
      <xdr:row>11</xdr:row>
      <xdr:rowOff>127000</xdr:rowOff>
    </xdr:to>
    <xdr:sp macro="" textlink="">
      <xdr:nvSpPr>
        <xdr:cNvPr id="19" name="Rectangle 5">
          <a:extLst>
            <a:ext uri="{FF2B5EF4-FFF2-40B4-BE49-F238E27FC236}">
              <a16:creationId xmlns:a16="http://schemas.microsoft.com/office/drawing/2014/main" id="{A599B4B9-8F98-014D-B889-E14F3CB3ABC2}"/>
            </a:ext>
          </a:extLst>
        </xdr:cNvPr>
        <xdr:cNvSpPr>
          <a:spLocks noChangeArrowheads="1"/>
        </xdr:cNvSpPr>
      </xdr:nvSpPr>
      <xdr:spPr bwMode="auto">
        <a:xfrm>
          <a:off x="9817100" y="1993900"/>
          <a:ext cx="1778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9</xdr:row>
      <xdr:rowOff>12700</xdr:rowOff>
    </xdr:from>
    <xdr:to>
      <xdr:col>12</xdr:col>
      <xdr:colOff>393700</xdr:colOff>
      <xdr:row>9</xdr:row>
      <xdr:rowOff>114300</xdr:rowOff>
    </xdr:to>
    <xdr:sp macro="" textlink="">
      <xdr:nvSpPr>
        <xdr:cNvPr id="20" name="Rectangle 6">
          <a:extLst>
            <a:ext uri="{FF2B5EF4-FFF2-40B4-BE49-F238E27FC236}">
              <a16:creationId xmlns:a16="http://schemas.microsoft.com/office/drawing/2014/main" id="{316A10AD-FE4E-1845-9FE9-1BA98B461D46}"/>
            </a:ext>
          </a:extLst>
        </xdr:cNvPr>
        <xdr:cNvSpPr>
          <a:spLocks noChangeArrowheads="1"/>
        </xdr:cNvSpPr>
      </xdr:nvSpPr>
      <xdr:spPr bwMode="auto">
        <a:xfrm>
          <a:off x="9817100" y="1625600"/>
          <a:ext cx="177800" cy="101600"/>
        </a:xfrm>
        <a:prstGeom prst="rect">
          <a:avLst/>
        </a:prstGeom>
        <a:noFill/>
        <a:ln w="9525">
          <a:solidFill>
            <a:srgbClr val="10253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215900</xdr:colOff>
      <xdr:row>9</xdr:row>
      <xdr:rowOff>12700</xdr:rowOff>
    </xdr:from>
    <xdr:to>
      <xdr:col>12</xdr:col>
      <xdr:colOff>393700</xdr:colOff>
      <xdr:row>9</xdr:row>
      <xdr:rowOff>114300</xdr:rowOff>
    </xdr:to>
    <xdr:sp macro="" textlink="">
      <xdr:nvSpPr>
        <xdr:cNvPr id="21" name="Rectangle 6">
          <a:extLst>
            <a:ext uri="{FF2B5EF4-FFF2-40B4-BE49-F238E27FC236}">
              <a16:creationId xmlns:a16="http://schemas.microsoft.com/office/drawing/2014/main" id="{80FFFD68-F2D1-AD4A-953F-7C42D14EF66D}"/>
            </a:ext>
          </a:extLst>
        </xdr:cNvPr>
        <xdr:cNvSpPr>
          <a:spLocks noChangeArrowheads="1"/>
        </xdr:cNvSpPr>
      </xdr:nvSpPr>
      <xdr:spPr bwMode="auto">
        <a:xfrm>
          <a:off x="9817100" y="1625600"/>
          <a:ext cx="177800" cy="101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203200</xdr:colOff>
      <xdr:row>9</xdr:row>
      <xdr:rowOff>12700</xdr:rowOff>
    </xdr:from>
    <xdr:to>
      <xdr:col>12</xdr:col>
      <xdr:colOff>381000</xdr:colOff>
      <xdr:row>9</xdr:row>
      <xdr:rowOff>114300</xdr:rowOff>
    </xdr:to>
    <xdr:sp macro="" textlink="">
      <xdr:nvSpPr>
        <xdr:cNvPr id="22" name="Rectangle 5">
          <a:extLst>
            <a:ext uri="{FF2B5EF4-FFF2-40B4-BE49-F238E27FC236}">
              <a16:creationId xmlns:a16="http://schemas.microsoft.com/office/drawing/2014/main" id="{6AD346A8-6FB7-A04D-877B-58DB62C989F7}"/>
            </a:ext>
          </a:extLst>
        </xdr:cNvPr>
        <xdr:cNvSpPr>
          <a:spLocks noChangeArrowheads="1"/>
        </xdr:cNvSpPr>
      </xdr:nvSpPr>
      <xdr:spPr bwMode="auto">
        <a:xfrm>
          <a:off x="9804400" y="1625600"/>
          <a:ext cx="1778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231140</xdr:colOff>
      <xdr:row>10</xdr:row>
      <xdr:rowOff>30481</xdr:rowOff>
    </xdr:from>
    <xdr:to>
      <xdr:col>12</xdr:col>
      <xdr:colOff>366607</xdr:colOff>
      <xdr:row>10</xdr:row>
      <xdr:rowOff>128017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DBA5061-30B7-4244-A129-51AA93FD1D86}"/>
            </a:ext>
          </a:extLst>
        </xdr:cNvPr>
        <xdr:cNvSpPr txBox="1"/>
      </xdr:nvSpPr>
      <xdr:spPr>
        <a:xfrm>
          <a:off x="9832340" y="1821181"/>
          <a:ext cx="135467" cy="975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000"/>
            <a:t> </a:t>
          </a:r>
        </a:p>
      </xdr:txBody>
    </xdr:sp>
    <xdr:clientData/>
  </xdr:twoCellAnchor>
  <xdr:twoCellAnchor>
    <xdr:from>
      <xdr:col>17</xdr:col>
      <xdr:colOff>690880</xdr:colOff>
      <xdr:row>11</xdr:row>
      <xdr:rowOff>33020</xdr:rowOff>
    </xdr:from>
    <xdr:to>
      <xdr:col>18</xdr:col>
      <xdr:colOff>59615</xdr:colOff>
      <xdr:row>11</xdr:row>
      <xdr:rowOff>126365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855866F-CABC-F940-8B72-BC5339B99266}"/>
            </a:ext>
          </a:extLst>
        </xdr:cNvPr>
        <xdr:cNvSpPr txBox="1"/>
      </xdr:nvSpPr>
      <xdr:spPr>
        <a:xfrm>
          <a:off x="13759180" y="2001520"/>
          <a:ext cx="118035" cy="9334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000"/>
            <a:t> </a:t>
          </a:r>
        </a:p>
      </xdr:txBody>
    </xdr:sp>
    <xdr:clientData/>
  </xdr:twoCellAnchor>
  <xdr:twoCellAnchor>
    <xdr:from>
      <xdr:col>17</xdr:col>
      <xdr:colOff>685800</xdr:colOff>
      <xdr:row>10</xdr:row>
      <xdr:rowOff>50800</xdr:rowOff>
    </xdr:from>
    <xdr:to>
      <xdr:col>18</xdr:col>
      <xdr:colOff>50800</xdr:colOff>
      <xdr:row>11</xdr:row>
      <xdr:rowOff>25400</xdr:rowOff>
    </xdr:to>
    <xdr:sp macro="" textlink="">
      <xdr:nvSpPr>
        <xdr:cNvPr id="25" name="Rectangle 7">
          <a:extLst>
            <a:ext uri="{FF2B5EF4-FFF2-40B4-BE49-F238E27FC236}">
              <a16:creationId xmlns:a16="http://schemas.microsoft.com/office/drawing/2014/main" id="{E4CBC58B-013D-3C47-A52B-9648C84BDEC4}"/>
            </a:ext>
          </a:extLst>
        </xdr:cNvPr>
        <xdr:cNvSpPr>
          <a:spLocks noChangeArrowheads="1"/>
        </xdr:cNvSpPr>
      </xdr:nvSpPr>
      <xdr:spPr bwMode="auto">
        <a:xfrm>
          <a:off x="13754100" y="1841500"/>
          <a:ext cx="1143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15</xdr:col>
      <xdr:colOff>0</xdr:colOff>
      <xdr:row>12</xdr:row>
      <xdr:rowOff>209548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418BC6-67AF-CB43-AC41-9C061A662E98}"/>
            </a:ext>
          </a:extLst>
        </xdr:cNvPr>
        <xdr:cNvSpPr txBox="1"/>
      </xdr:nvSpPr>
      <xdr:spPr>
        <a:xfrm>
          <a:off x="14503400" y="2133600"/>
          <a:ext cx="0" cy="184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15</xdr:col>
      <xdr:colOff>0</xdr:colOff>
      <xdr:row>12</xdr:row>
      <xdr:rowOff>209548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B37B24-4487-BC4F-8FE2-AD9B5CCFFDA2}"/>
            </a:ext>
          </a:extLst>
        </xdr:cNvPr>
        <xdr:cNvSpPr txBox="1"/>
      </xdr:nvSpPr>
      <xdr:spPr>
        <a:xfrm>
          <a:off x="14084300" y="2286000"/>
          <a:ext cx="0" cy="196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12</xdr:row>
      <xdr:rowOff>25400</xdr:rowOff>
    </xdr:from>
    <xdr:to>
      <xdr:col>12</xdr:col>
      <xdr:colOff>381000</xdr:colOff>
      <xdr:row>12</xdr:row>
      <xdr:rowOff>139700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580E7F35-EB44-034A-9A1E-67B481C82545}"/>
            </a:ext>
          </a:extLst>
        </xdr:cNvPr>
        <xdr:cNvSpPr>
          <a:spLocks noChangeArrowheads="1"/>
        </xdr:cNvSpPr>
      </xdr:nvSpPr>
      <xdr:spPr bwMode="auto">
        <a:xfrm>
          <a:off x="9982200" y="2336800"/>
          <a:ext cx="1651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13</xdr:row>
      <xdr:rowOff>25400</xdr:rowOff>
    </xdr:from>
    <xdr:to>
      <xdr:col>12</xdr:col>
      <xdr:colOff>381000</xdr:colOff>
      <xdr:row>13</xdr:row>
      <xdr:rowOff>139700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68D5EF4B-6028-7D40-A922-969C2655616D}"/>
            </a:ext>
          </a:extLst>
        </xdr:cNvPr>
        <xdr:cNvSpPr>
          <a:spLocks noChangeArrowheads="1"/>
        </xdr:cNvSpPr>
      </xdr:nvSpPr>
      <xdr:spPr bwMode="auto">
        <a:xfrm>
          <a:off x="9982200" y="2527300"/>
          <a:ext cx="165100" cy="1143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11</xdr:row>
      <xdr:rowOff>25400</xdr:rowOff>
    </xdr:from>
    <xdr:to>
      <xdr:col>12</xdr:col>
      <xdr:colOff>381000</xdr:colOff>
      <xdr:row>11</xdr:row>
      <xdr:rowOff>139700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D112401-DDC3-054E-AB4C-5E610F2BA292}"/>
            </a:ext>
          </a:extLst>
        </xdr:cNvPr>
        <xdr:cNvSpPr>
          <a:spLocks noChangeArrowheads="1"/>
        </xdr:cNvSpPr>
      </xdr:nvSpPr>
      <xdr:spPr bwMode="auto">
        <a:xfrm>
          <a:off x="9982200" y="2146300"/>
          <a:ext cx="1651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660400</xdr:colOff>
      <xdr:row>12</xdr:row>
      <xdr:rowOff>63500</xdr:rowOff>
    </xdr:from>
    <xdr:to>
      <xdr:col>17</xdr:col>
      <xdr:colOff>787400</xdr:colOff>
      <xdr:row>13</xdr:row>
      <xdr:rowOff>12700</xdr:rowOff>
    </xdr:to>
    <xdr:sp macro="" textlink="">
      <xdr:nvSpPr>
        <xdr:cNvPr id="5" name="Rectangle 10">
          <a:extLst>
            <a:ext uri="{FF2B5EF4-FFF2-40B4-BE49-F238E27FC236}">
              <a16:creationId xmlns:a16="http://schemas.microsoft.com/office/drawing/2014/main" id="{B72408E8-4C8E-3C42-AE17-709958C21B24}"/>
            </a:ext>
          </a:extLst>
        </xdr:cNvPr>
        <xdr:cNvSpPr>
          <a:spLocks noChangeArrowheads="1"/>
        </xdr:cNvSpPr>
      </xdr:nvSpPr>
      <xdr:spPr bwMode="auto">
        <a:xfrm>
          <a:off x="14516100" y="2374900"/>
          <a:ext cx="12700" cy="139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660400</xdr:colOff>
      <xdr:row>13</xdr:row>
      <xdr:rowOff>50800</xdr:rowOff>
    </xdr:from>
    <xdr:to>
      <xdr:col>17</xdr:col>
      <xdr:colOff>673100</xdr:colOff>
      <xdr:row>13</xdr:row>
      <xdr:rowOff>152400</xdr:rowOff>
    </xdr:to>
    <xdr:sp macro="" textlink="">
      <xdr:nvSpPr>
        <xdr:cNvPr id="6" name="Rectangle 17">
          <a:extLst>
            <a:ext uri="{FF2B5EF4-FFF2-40B4-BE49-F238E27FC236}">
              <a16:creationId xmlns:a16="http://schemas.microsoft.com/office/drawing/2014/main" id="{C5FA4F7A-3040-1245-9681-2E337EE4C771}"/>
            </a:ext>
          </a:extLst>
        </xdr:cNvPr>
        <xdr:cNvSpPr>
          <a:spLocks noChangeArrowheads="1"/>
        </xdr:cNvSpPr>
      </xdr:nvSpPr>
      <xdr:spPr bwMode="auto">
        <a:xfrm>
          <a:off x="14516100" y="2552700"/>
          <a:ext cx="127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12</xdr:row>
      <xdr:rowOff>25400</xdr:rowOff>
    </xdr:from>
    <xdr:to>
      <xdr:col>12</xdr:col>
      <xdr:colOff>381000</xdr:colOff>
      <xdr:row>12</xdr:row>
      <xdr:rowOff>139700</xdr:rowOff>
    </xdr:to>
    <xdr:sp macro="" textlink="">
      <xdr:nvSpPr>
        <xdr:cNvPr id="7" name="Rectangle 4">
          <a:extLst>
            <a:ext uri="{FF2B5EF4-FFF2-40B4-BE49-F238E27FC236}">
              <a16:creationId xmlns:a16="http://schemas.microsoft.com/office/drawing/2014/main" id="{346ACCDE-853F-8748-B8D1-1E80A4CCCB0F}"/>
            </a:ext>
          </a:extLst>
        </xdr:cNvPr>
        <xdr:cNvSpPr>
          <a:spLocks noChangeArrowheads="1"/>
        </xdr:cNvSpPr>
      </xdr:nvSpPr>
      <xdr:spPr bwMode="auto">
        <a:xfrm>
          <a:off x="9982200" y="2336800"/>
          <a:ext cx="16510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215900</xdr:colOff>
      <xdr:row>13</xdr:row>
      <xdr:rowOff>25400</xdr:rowOff>
    </xdr:from>
    <xdr:to>
      <xdr:col>12</xdr:col>
      <xdr:colOff>381000</xdr:colOff>
      <xdr:row>13</xdr:row>
      <xdr:rowOff>139700</xdr:rowOff>
    </xdr:to>
    <xdr:sp macro="" textlink="">
      <xdr:nvSpPr>
        <xdr:cNvPr id="8" name="Rectangle 5">
          <a:extLst>
            <a:ext uri="{FF2B5EF4-FFF2-40B4-BE49-F238E27FC236}">
              <a16:creationId xmlns:a16="http://schemas.microsoft.com/office/drawing/2014/main" id="{B5749CC8-053F-1E41-9444-7E5C92B9D0F3}"/>
            </a:ext>
          </a:extLst>
        </xdr:cNvPr>
        <xdr:cNvSpPr>
          <a:spLocks noChangeArrowheads="1"/>
        </xdr:cNvSpPr>
      </xdr:nvSpPr>
      <xdr:spPr bwMode="auto">
        <a:xfrm>
          <a:off x="9982200" y="2527300"/>
          <a:ext cx="1651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11</xdr:row>
      <xdr:rowOff>25400</xdr:rowOff>
    </xdr:from>
    <xdr:to>
      <xdr:col>12</xdr:col>
      <xdr:colOff>381000</xdr:colOff>
      <xdr:row>11</xdr:row>
      <xdr:rowOff>139700</xdr:rowOff>
    </xdr:to>
    <xdr:sp macro="" textlink="">
      <xdr:nvSpPr>
        <xdr:cNvPr id="9" name="Rectangle 6">
          <a:extLst>
            <a:ext uri="{FF2B5EF4-FFF2-40B4-BE49-F238E27FC236}">
              <a16:creationId xmlns:a16="http://schemas.microsoft.com/office/drawing/2014/main" id="{4210492F-AF94-E04A-93B6-60DBB4DBC50A}"/>
            </a:ext>
          </a:extLst>
        </xdr:cNvPr>
        <xdr:cNvSpPr>
          <a:spLocks noChangeArrowheads="1"/>
        </xdr:cNvSpPr>
      </xdr:nvSpPr>
      <xdr:spPr bwMode="auto">
        <a:xfrm>
          <a:off x="9982200" y="2146300"/>
          <a:ext cx="1651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660400</xdr:colOff>
      <xdr:row>11</xdr:row>
      <xdr:rowOff>63500</xdr:rowOff>
    </xdr:from>
    <xdr:to>
      <xdr:col>17</xdr:col>
      <xdr:colOff>787400</xdr:colOff>
      <xdr:row>12</xdr:row>
      <xdr:rowOff>12700</xdr:rowOff>
    </xdr:to>
    <xdr:sp macro="" textlink="">
      <xdr:nvSpPr>
        <xdr:cNvPr id="10" name="Rectangle 7">
          <a:extLst>
            <a:ext uri="{FF2B5EF4-FFF2-40B4-BE49-F238E27FC236}">
              <a16:creationId xmlns:a16="http://schemas.microsoft.com/office/drawing/2014/main" id="{43397C0A-4D91-524C-B8E6-4B2CD8BC9A69}"/>
            </a:ext>
          </a:extLst>
        </xdr:cNvPr>
        <xdr:cNvSpPr>
          <a:spLocks noChangeArrowheads="1"/>
        </xdr:cNvSpPr>
      </xdr:nvSpPr>
      <xdr:spPr bwMode="auto">
        <a:xfrm>
          <a:off x="14516100" y="2184400"/>
          <a:ext cx="1270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660400</xdr:colOff>
      <xdr:row>12</xdr:row>
      <xdr:rowOff>63500</xdr:rowOff>
    </xdr:from>
    <xdr:to>
      <xdr:col>17</xdr:col>
      <xdr:colOff>787400</xdr:colOff>
      <xdr:row>13</xdr:row>
      <xdr:rowOff>12700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BD95F56-7052-C24A-A02C-904E487E4C3C}"/>
            </a:ext>
          </a:extLst>
        </xdr:cNvPr>
        <xdr:cNvSpPr>
          <a:spLocks noChangeArrowheads="1"/>
        </xdr:cNvSpPr>
      </xdr:nvSpPr>
      <xdr:spPr bwMode="auto">
        <a:xfrm>
          <a:off x="14516100" y="2374900"/>
          <a:ext cx="12700" cy="139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660400</xdr:colOff>
      <xdr:row>13</xdr:row>
      <xdr:rowOff>50800</xdr:rowOff>
    </xdr:from>
    <xdr:to>
      <xdr:col>17</xdr:col>
      <xdr:colOff>673100</xdr:colOff>
      <xdr:row>13</xdr:row>
      <xdr:rowOff>152400</xdr:rowOff>
    </xdr:to>
    <xdr:sp macro="" textlink="">
      <xdr:nvSpPr>
        <xdr:cNvPr id="12" name="Rectangle 17">
          <a:extLst>
            <a:ext uri="{FF2B5EF4-FFF2-40B4-BE49-F238E27FC236}">
              <a16:creationId xmlns:a16="http://schemas.microsoft.com/office/drawing/2014/main" id="{AA70AD20-4819-004E-B511-E259616F055E}"/>
            </a:ext>
          </a:extLst>
        </xdr:cNvPr>
        <xdr:cNvSpPr>
          <a:spLocks noChangeArrowheads="1"/>
        </xdr:cNvSpPr>
      </xdr:nvSpPr>
      <xdr:spPr bwMode="auto">
        <a:xfrm>
          <a:off x="14516100" y="2552700"/>
          <a:ext cx="127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13</xdr:row>
      <xdr:rowOff>25400</xdr:rowOff>
    </xdr:from>
    <xdr:to>
      <xdr:col>12</xdr:col>
      <xdr:colOff>381000</xdr:colOff>
      <xdr:row>13</xdr:row>
      <xdr:rowOff>139700</xdr:rowOff>
    </xdr:to>
    <xdr:sp macro="" textlink="">
      <xdr:nvSpPr>
        <xdr:cNvPr id="13" name="Rectangle 5">
          <a:extLst>
            <a:ext uri="{FF2B5EF4-FFF2-40B4-BE49-F238E27FC236}">
              <a16:creationId xmlns:a16="http://schemas.microsoft.com/office/drawing/2014/main" id="{24F0E625-76DD-7E42-BC99-9C9D7ACC4C8F}"/>
            </a:ext>
          </a:extLst>
        </xdr:cNvPr>
        <xdr:cNvSpPr>
          <a:spLocks noChangeArrowheads="1"/>
        </xdr:cNvSpPr>
      </xdr:nvSpPr>
      <xdr:spPr bwMode="auto">
        <a:xfrm>
          <a:off x="9982200" y="2527300"/>
          <a:ext cx="165100" cy="1143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11</xdr:row>
      <xdr:rowOff>25400</xdr:rowOff>
    </xdr:from>
    <xdr:to>
      <xdr:col>12</xdr:col>
      <xdr:colOff>381000</xdr:colOff>
      <xdr:row>11</xdr:row>
      <xdr:rowOff>139700</xdr:rowOff>
    </xdr:to>
    <xdr:sp macro="" textlink="">
      <xdr:nvSpPr>
        <xdr:cNvPr id="14" name="Rectangle 6">
          <a:extLst>
            <a:ext uri="{FF2B5EF4-FFF2-40B4-BE49-F238E27FC236}">
              <a16:creationId xmlns:a16="http://schemas.microsoft.com/office/drawing/2014/main" id="{DD603E2F-DB83-2942-A303-9EAFA6098003}"/>
            </a:ext>
          </a:extLst>
        </xdr:cNvPr>
        <xdr:cNvSpPr>
          <a:spLocks noChangeArrowheads="1"/>
        </xdr:cNvSpPr>
      </xdr:nvSpPr>
      <xdr:spPr bwMode="auto">
        <a:xfrm>
          <a:off x="9982200" y="2146300"/>
          <a:ext cx="16510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660400</xdr:colOff>
      <xdr:row>11</xdr:row>
      <xdr:rowOff>63500</xdr:rowOff>
    </xdr:from>
    <xdr:to>
      <xdr:col>17</xdr:col>
      <xdr:colOff>787400</xdr:colOff>
      <xdr:row>12</xdr:row>
      <xdr:rowOff>12700</xdr:rowOff>
    </xdr:to>
    <xdr:sp macro="" textlink="">
      <xdr:nvSpPr>
        <xdr:cNvPr id="15" name="Rectangle 7">
          <a:extLst>
            <a:ext uri="{FF2B5EF4-FFF2-40B4-BE49-F238E27FC236}">
              <a16:creationId xmlns:a16="http://schemas.microsoft.com/office/drawing/2014/main" id="{A4B06EBA-899D-0041-BB90-21BC66D43FAF}"/>
            </a:ext>
          </a:extLst>
        </xdr:cNvPr>
        <xdr:cNvSpPr>
          <a:spLocks noChangeArrowheads="1"/>
        </xdr:cNvSpPr>
      </xdr:nvSpPr>
      <xdr:spPr bwMode="auto">
        <a:xfrm>
          <a:off x="14516100" y="2184400"/>
          <a:ext cx="1270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12</xdr:row>
      <xdr:rowOff>25400</xdr:rowOff>
    </xdr:from>
    <xdr:to>
      <xdr:col>12</xdr:col>
      <xdr:colOff>381000</xdr:colOff>
      <xdr:row>12</xdr:row>
      <xdr:rowOff>139700</xdr:rowOff>
    </xdr:to>
    <xdr:sp macro="" textlink="">
      <xdr:nvSpPr>
        <xdr:cNvPr id="16" name="Rectangle 4">
          <a:extLst>
            <a:ext uri="{FF2B5EF4-FFF2-40B4-BE49-F238E27FC236}">
              <a16:creationId xmlns:a16="http://schemas.microsoft.com/office/drawing/2014/main" id="{F0D9CE39-434E-7B47-913A-90E5D67BACA7}"/>
            </a:ext>
          </a:extLst>
        </xdr:cNvPr>
        <xdr:cNvSpPr>
          <a:spLocks noChangeArrowheads="1"/>
        </xdr:cNvSpPr>
      </xdr:nvSpPr>
      <xdr:spPr bwMode="auto">
        <a:xfrm>
          <a:off x="9982200" y="2336800"/>
          <a:ext cx="16510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215900</xdr:colOff>
      <xdr:row>13</xdr:row>
      <xdr:rowOff>25400</xdr:rowOff>
    </xdr:from>
    <xdr:to>
      <xdr:col>12</xdr:col>
      <xdr:colOff>381000</xdr:colOff>
      <xdr:row>13</xdr:row>
      <xdr:rowOff>139700</xdr:rowOff>
    </xdr:to>
    <xdr:sp macro="" textlink="">
      <xdr:nvSpPr>
        <xdr:cNvPr id="17" name="Rectangle 5">
          <a:extLst>
            <a:ext uri="{FF2B5EF4-FFF2-40B4-BE49-F238E27FC236}">
              <a16:creationId xmlns:a16="http://schemas.microsoft.com/office/drawing/2014/main" id="{8471C4EA-0E9B-9E43-9807-5ECB4F7B1CDC}"/>
            </a:ext>
          </a:extLst>
        </xdr:cNvPr>
        <xdr:cNvSpPr>
          <a:spLocks noChangeArrowheads="1"/>
        </xdr:cNvSpPr>
      </xdr:nvSpPr>
      <xdr:spPr bwMode="auto">
        <a:xfrm>
          <a:off x="9982200" y="2527300"/>
          <a:ext cx="165100" cy="1143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11</xdr:row>
      <xdr:rowOff>25400</xdr:rowOff>
    </xdr:from>
    <xdr:to>
      <xdr:col>12</xdr:col>
      <xdr:colOff>381000</xdr:colOff>
      <xdr:row>11</xdr:row>
      <xdr:rowOff>139700</xdr:rowOff>
    </xdr:to>
    <xdr:sp macro="" textlink="">
      <xdr:nvSpPr>
        <xdr:cNvPr id="18" name="Rectangle 6">
          <a:extLst>
            <a:ext uri="{FF2B5EF4-FFF2-40B4-BE49-F238E27FC236}">
              <a16:creationId xmlns:a16="http://schemas.microsoft.com/office/drawing/2014/main" id="{2F6DE8FB-E31B-8A43-8886-D51896E677CB}"/>
            </a:ext>
          </a:extLst>
        </xdr:cNvPr>
        <xdr:cNvSpPr>
          <a:spLocks noChangeArrowheads="1"/>
        </xdr:cNvSpPr>
      </xdr:nvSpPr>
      <xdr:spPr bwMode="auto">
        <a:xfrm>
          <a:off x="9982200" y="2146300"/>
          <a:ext cx="1651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660400</xdr:colOff>
      <xdr:row>12</xdr:row>
      <xdr:rowOff>63500</xdr:rowOff>
    </xdr:from>
    <xdr:to>
      <xdr:col>17</xdr:col>
      <xdr:colOff>787400</xdr:colOff>
      <xdr:row>13</xdr:row>
      <xdr:rowOff>12700</xdr:rowOff>
    </xdr:to>
    <xdr:sp macro="" textlink="">
      <xdr:nvSpPr>
        <xdr:cNvPr id="19" name="Rectangle 10">
          <a:extLst>
            <a:ext uri="{FF2B5EF4-FFF2-40B4-BE49-F238E27FC236}">
              <a16:creationId xmlns:a16="http://schemas.microsoft.com/office/drawing/2014/main" id="{9E7BCD1B-92ED-7C4B-B57F-72796D868BC7}"/>
            </a:ext>
          </a:extLst>
        </xdr:cNvPr>
        <xdr:cNvSpPr>
          <a:spLocks noChangeArrowheads="1"/>
        </xdr:cNvSpPr>
      </xdr:nvSpPr>
      <xdr:spPr bwMode="auto">
        <a:xfrm>
          <a:off x="14516100" y="2374900"/>
          <a:ext cx="12700" cy="139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660400</xdr:colOff>
      <xdr:row>13</xdr:row>
      <xdr:rowOff>50800</xdr:rowOff>
    </xdr:from>
    <xdr:to>
      <xdr:col>17</xdr:col>
      <xdr:colOff>673100</xdr:colOff>
      <xdr:row>13</xdr:row>
      <xdr:rowOff>152400</xdr:rowOff>
    </xdr:to>
    <xdr:sp macro="" textlink="">
      <xdr:nvSpPr>
        <xdr:cNvPr id="20" name="Rectangle 17">
          <a:extLst>
            <a:ext uri="{FF2B5EF4-FFF2-40B4-BE49-F238E27FC236}">
              <a16:creationId xmlns:a16="http://schemas.microsoft.com/office/drawing/2014/main" id="{624051AD-2AE1-A64C-A460-D396C61A80CC}"/>
            </a:ext>
          </a:extLst>
        </xdr:cNvPr>
        <xdr:cNvSpPr>
          <a:spLocks noChangeArrowheads="1"/>
        </xdr:cNvSpPr>
      </xdr:nvSpPr>
      <xdr:spPr bwMode="auto">
        <a:xfrm>
          <a:off x="14516100" y="2552700"/>
          <a:ext cx="127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12</xdr:row>
      <xdr:rowOff>25400</xdr:rowOff>
    </xdr:from>
    <xdr:to>
      <xdr:col>12</xdr:col>
      <xdr:colOff>381000</xdr:colOff>
      <xdr:row>12</xdr:row>
      <xdr:rowOff>139700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3B20241A-E76D-A94A-8A38-FF324FB6A4C6}"/>
            </a:ext>
          </a:extLst>
        </xdr:cNvPr>
        <xdr:cNvSpPr>
          <a:spLocks noChangeArrowheads="1"/>
        </xdr:cNvSpPr>
      </xdr:nvSpPr>
      <xdr:spPr bwMode="auto">
        <a:xfrm>
          <a:off x="9982200" y="2336800"/>
          <a:ext cx="165100" cy="114300"/>
        </a:xfrm>
        <a:prstGeom prst="rect">
          <a:avLst/>
        </a:prstGeom>
        <a:noFill/>
        <a:ln w="9525">
          <a:solidFill>
            <a:srgbClr val="10253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215900</xdr:colOff>
      <xdr:row>13</xdr:row>
      <xdr:rowOff>25400</xdr:rowOff>
    </xdr:from>
    <xdr:to>
      <xdr:col>12</xdr:col>
      <xdr:colOff>381000</xdr:colOff>
      <xdr:row>13</xdr:row>
      <xdr:rowOff>139700</xdr:rowOff>
    </xdr:to>
    <xdr:sp macro="" textlink="">
      <xdr:nvSpPr>
        <xdr:cNvPr id="22" name="Rectangle 5">
          <a:extLst>
            <a:ext uri="{FF2B5EF4-FFF2-40B4-BE49-F238E27FC236}">
              <a16:creationId xmlns:a16="http://schemas.microsoft.com/office/drawing/2014/main" id="{70C3686E-50C5-B24E-9F60-19FF56FDE7B3}"/>
            </a:ext>
          </a:extLst>
        </xdr:cNvPr>
        <xdr:cNvSpPr>
          <a:spLocks noChangeArrowheads="1"/>
        </xdr:cNvSpPr>
      </xdr:nvSpPr>
      <xdr:spPr bwMode="auto">
        <a:xfrm>
          <a:off x="9982200" y="2527300"/>
          <a:ext cx="1651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11</xdr:row>
      <xdr:rowOff>25400</xdr:rowOff>
    </xdr:from>
    <xdr:to>
      <xdr:col>12</xdr:col>
      <xdr:colOff>381000</xdr:colOff>
      <xdr:row>11</xdr:row>
      <xdr:rowOff>139700</xdr:rowOff>
    </xdr:to>
    <xdr:sp macro="" textlink="">
      <xdr:nvSpPr>
        <xdr:cNvPr id="23" name="Rectangle 6">
          <a:extLst>
            <a:ext uri="{FF2B5EF4-FFF2-40B4-BE49-F238E27FC236}">
              <a16:creationId xmlns:a16="http://schemas.microsoft.com/office/drawing/2014/main" id="{5F93F303-4363-8F48-9D3F-707CEFDB4E6E}"/>
            </a:ext>
          </a:extLst>
        </xdr:cNvPr>
        <xdr:cNvSpPr>
          <a:spLocks noChangeArrowheads="1"/>
        </xdr:cNvSpPr>
      </xdr:nvSpPr>
      <xdr:spPr bwMode="auto">
        <a:xfrm>
          <a:off x="9982200" y="2146300"/>
          <a:ext cx="165100" cy="114300"/>
        </a:xfrm>
        <a:prstGeom prst="rect">
          <a:avLst/>
        </a:prstGeom>
        <a:noFill/>
        <a:ln w="9525">
          <a:solidFill>
            <a:srgbClr val="10253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660400</xdr:colOff>
      <xdr:row>11</xdr:row>
      <xdr:rowOff>63500</xdr:rowOff>
    </xdr:from>
    <xdr:to>
      <xdr:col>17</xdr:col>
      <xdr:colOff>787400</xdr:colOff>
      <xdr:row>12</xdr:row>
      <xdr:rowOff>12700</xdr:rowOff>
    </xdr:to>
    <xdr:sp macro="" textlink="">
      <xdr:nvSpPr>
        <xdr:cNvPr id="24" name="Rectangle 7">
          <a:extLst>
            <a:ext uri="{FF2B5EF4-FFF2-40B4-BE49-F238E27FC236}">
              <a16:creationId xmlns:a16="http://schemas.microsoft.com/office/drawing/2014/main" id="{36C252E3-8489-9149-A4BC-51A3F97D7296}"/>
            </a:ext>
          </a:extLst>
        </xdr:cNvPr>
        <xdr:cNvSpPr>
          <a:spLocks noChangeArrowheads="1"/>
        </xdr:cNvSpPr>
      </xdr:nvSpPr>
      <xdr:spPr bwMode="auto">
        <a:xfrm>
          <a:off x="14516100" y="2184400"/>
          <a:ext cx="1270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660400</xdr:colOff>
      <xdr:row>12</xdr:row>
      <xdr:rowOff>63500</xdr:rowOff>
    </xdr:from>
    <xdr:to>
      <xdr:col>17</xdr:col>
      <xdr:colOff>787400</xdr:colOff>
      <xdr:row>13</xdr:row>
      <xdr:rowOff>12700</xdr:rowOff>
    </xdr:to>
    <xdr:sp macro="" textlink="">
      <xdr:nvSpPr>
        <xdr:cNvPr id="25" name="Rectangle 10">
          <a:extLst>
            <a:ext uri="{FF2B5EF4-FFF2-40B4-BE49-F238E27FC236}">
              <a16:creationId xmlns:a16="http://schemas.microsoft.com/office/drawing/2014/main" id="{F36B3ADF-E7EB-CB48-B54F-D678FEA30D81}"/>
            </a:ext>
          </a:extLst>
        </xdr:cNvPr>
        <xdr:cNvSpPr>
          <a:spLocks noChangeArrowheads="1"/>
        </xdr:cNvSpPr>
      </xdr:nvSpPr>
      <xdr:spPr bwMode="auto">
        <a:xfrm>
          <a:off x="14516100" y="2374900"/>
          <a:ext cx="12700" cy="139700"/>
        </a:xfrm>
        <a:prstGeom prst="rect">
          <a:avLst/>
        </a:prstGeom>
        <a:solidFill>
          <a:srgbClr val="17375E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660400</xdr:colOff>
      <xdr:row>13</xdr:row>
      <xdr:rowOff>50800</xdr:rowOff>
    </xdr:from>
    <xdr:to>
      <xdr:col>17</xdr:col>
      <xdr:colOff>673100</xdr:colOff>
      <xdr:row>13</xdr:row>
      <xdr:rowOff>152400</xdr:rowOff>
    </xdr:to>
    <xdr:sp macro="" textlink="">
      <xdr:nvSpPr>
        <xdr:cNvPr id="26" name="Rectangle 17">
          <a:extLst>
            <a:ext uri="{FF2B5EF4-FFF2-40B4-BE49-F238E27FC236}">
              <a16:creationId xmlns:a16="http://schemas.microsoft.com/office/drawing/2014/main" id="{2C521A57-1003-CE4A-8D66-ADB8DEB9970F}"/>
            </a:ext>
          </a:extLst>
        </xdr:cNvPr>
        <xdr:cNvSpPr>
          <a:spLocks noChangeArrowheads="1"/>
        </xdr:cNvSpPr>
      </xdr:nvSpPr>
      <xdr:spPr bwMode="auto">
        <a:xfrm>
          <a:off x="14516100" y="2552700"/>
          <a:ext cx="127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13</xdr:row>
      <xdr:rowOff>25400</xdr:rowOff>
    </xdr:from>
    <xdr:to>
      <xdr:col>12</xdr:col>
      <xdr:colOff>381000</xdr:colOff>
      <xdr:row>13</xdr:row>
      <xdr:rowOff>139700</xdr:rowOff>
    </xdr:to>
    <xdr:sp macro="" textlink="">
      <xdr:nvSpPr>
        <xdr:cNvPr id="27" name="Rectangle 5">
          <a:extLst>
            <a:ext uri="{FF2B5EF4-FFF2-40B4-BE49-F238E27FC236}">
              <a16:creationId xmlns:a16="http://schemas.microsoft.com/office/drawing/2014/main" id="{60AB7541-F48C-174C-9EAE-9231E1BBB7B4}"/>
            </a:ext>
          </a:extLst>
        </xdr:cNvPr>
        <xdr:cNvSpPr>
          <a:spLocks noChangeArrowheads="1"/>
        </xdr:cNvSpPr>
      </xdr:nvSpPr>
      <xdr:spPr bwMode="auto">
        <a:xfrm>
          <a:off x="9982200" y="2527300"/>
          <a:ext cx="165100" cy="114300"/>
        </a:xfrm>
        <a:prstGeom prst="rect">
          <a:avLst/>
        </a:prstGeom>
        <a:solidFill>
          <a:srgbClr val="984807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215900</xdr:colOff>
      <xdr:row>11</xdr:row>
      <xdr:rowOff>25400</xdr:rowOff>
    </xdr:from>
    <xdr:to>
      <xdr:col>12</xdr:col>
      <xdr:colOff>381000</xdr:colOff>
      <xdr:row>11</xdr:row>
      <xdr:rowOff>139700</xdr:rowOff>
    </xdr:to>
    <xdr:sp macro="" textlink="">
      <xdr:nvSpPr>
        <xdr:cNvPr id="28" name="Rectangle 6">
          <a:extLst>
            <a:ext uri="{FF2B5EF4-FFF2-40B4-BE49-F238E27FC236}">
              <a16:creationId xmlns:a16="http://schemas.microsoft.com/office/drawing/2014/main" id="{83CB1B43-E5EE-3345-BE95-675D489DB6D6}"/>
            </a:ext>
          </a:extLst>
        </xdr:cNvPr>
        <xdr:cNvSpPr>
          <a:spLocks noChangeArrowheads="1"/>
        </xdr:cNvSpPr>
      </xdr:nvSpPr>
      <xdr:spPr bwMode="auto">
        <a:xfrm>
          <a:off x="9982200" y="2146300"/>
          <a:ext cx="16510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660400</xdr:colOff>
      <xdr:row>11</xdr:row>
      <xdr:rowOff>63500</xdr:rowOff>
    </xdr:from>
    <xdr:to>
      <xdr:col>17</xdr:col>
      <xdr:colOff>787400</xdr:colOff>
      <xdr:row>12</xdr:row>
      <xdr:rowOff>12700</xdr:rowOff>
    </xdr:to>
    <xdr:sp macro="" textlink="">
      <xdr:nvSpPr>
        <xdr:cNvPr id="29" name="Rectangle 7">
          <a:extLst>
            <a:ext uri="{FF2B5EF4-FFF2-40B4-BE49-F238E27FC236}">
              <a16:creationId xmlns:a16="http://schemas.microsoft.com/office/drawing/2014/main" id="{F8F9F513-090C-DA45-BE03-59C4D3B612F8}"/>
            </a:ext>
          </a:extLst>
        </xdr:cNvPr>
        <xdr:cNvSpPr>
          <a:spLocks noChangeArrowheads="1"/>
        </xdr:cNvSpPr>
      </xdr:nvSpPr>
      <xdr:spPr bwMode="auto">
        <a:xfrm>
          <a:off x="14516100" y="2184400"/>
          <a:ext cx="1270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11</xdr:row>
      <xdr:rowOff>165100</xdr:rowOff>
    </xdr:from>
    <xdr:to>
      <xdr:col>14</xdr:col>
      <xdr:colOff>568699</xdr:colOff>
      <xdr:row>12</xdr:row>
      <xdr:rowOff>101599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CCE40C-6DD8-4449-BB4D-7783A19CC8E4}"/>
            </a:ext>
          </a:extLst>
        </xdr:cNvPr>
        <xdr:cNvSpPr txBox="1"/>
      </xdr:nvSpPr>
      <xdr:spPr>
        <a:xfrm>
          <a:off x="13036550" y="2120900"/>
          <a:ext cx="244849" cy="114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14</xdr:col>
      <xdr:colOff>323850</xdr:colOff>
      <xdr:row>11</xdr:row>
      <xdr:rowOff>165100</xdr:rowOff>
    </xdr:from>
    <xdr:to>
      <xdr:col>14</xdr:col>
      <xdr:colOff>568699</xdr:colOff>
      <xdr:row>12</xdr:row>
      <xdr:rowOff>101599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2924C4-4041-A448-8508-E1F482E82D7C}"/>
            </a:ext>
          </a:extLst>
        </xdr:cNvPr>
        <xdr:cNvSpPr txBox="1"/>
      </xdr:nvSpPr>
      <xdr:spPr>
        <a:xfrm>
          <a:off x="13036550" y="2120900"/>
          <a:ext cx="244849" cy="114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/Downloads/Cost%20of%20Production%20by%20Stages%20of%20%20%20%20%20%20%20Rice%20Crop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6">
          <cell r="E6">
            <v>6802</v>
          </cell>
        </row>
        <row r="8">
          <cell r="H8">
            <v>38855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39E9-542B-FC4A-A80A-1C129CB8DC72}">
  <dimension ref="A1:DQ127"/>
  <sheetViews>
    <sheetView tabSelected="1" topLeftCell="C1" zoomScale="70" zoomScaleNormal="70" workbookViewId="0">
      <pane xSplit="11" ySplit="2" topLeftCell="DF24" activePane="bottomRight" state="frozen"/>
      <selection pane="topRight" activeCell="N1" sqref="N1"/>
      <selection pane="bottomLeft" activeCell="C3" sqref="C3"/>
      <selection pane="bottomRight" activeCell="M23" sqref="M23"/>
    </sheetView>
  </sheetViews>
  <sheetFormatPr defaultColWidth="10.875" defaultRowHeight="15.75" x14ac:dyDescent="0.25"/>
  <cols>
    <col min="1" max="2" width="0" hidden="1" customWidth="1"/>
    <col min="3" max="3" width="24.125" style="383" bestFit="1" customWidth="1"/>
    <col min="4" max="4" width="0" hidden="1" customWidth="1"/>
    <col min="5" max="5" width="19.875" style="383" customWidth="1"/>
    <col min="6" max="6" width="0" hidden="1" customWidth="1"/>
    <col min="7" max="7" width="32.375" style="383" bestFit="1" customWidth="1"/>
    <col min="8" max="12" width="11" style="383" customWidth="1"/>
    <col min="13" max="13" width="13" style="383" customWidth="1"/>
    <col min="14" max="18" width="10.875" style="383" customWidth="1"/>
    <col min="19" max="19" width="14.875" style="383" customWidth="1"/>
    <col min="20" max="24" width="10.875" style="383" customWidth="1"/>
    <col min="25" max="25" width="14.875" style="383" customWidth="1"/>
    <col min="26" max="30" width="10.875" style="383" customWidth="1"/>
    <col min="31" max="31" width="14.875" style="383" customWidth="1"/>
    <col min="32" max="32" width="10.875" style="683" customWidth="1"/>
    <col min="33" max="36" width="10.875" style="383" customWidth="1"/>
    <col min="37" max="37" width="15" style="383" customWidth="1"/>
    <col min="38" max="42" width="10.875" style="383" customWidth="1"/>
    <col min="43" max="43" width="11.5" style="383" customWidth="1"/>
    <col min="44" max="48" width="10.875" style="383" customWidth="1"/>
    <col min="49" max="49" width="13" style="383" customWidth="1"/>
    <col min="50" max="53" width="10.875" style="383" customWidth="1"/>
    <col min="54" max="54" width="14.375" style="383" customWidth="1"/>
    <col min="55" max="55" width="13" style="383" customWidth="1"/>
    <col min="56" max="60" width="10.875" style="383" customWidth="1"/>
    <col min="61" max="61" width="14.875" style="383" customWidth="1"/>
    <col min="62" max="66" width="10.875" style="383" customWidth="1"/>
    <col min="67" max="67" width="14.875" style="383" customWidth="1"/>
    <col min="68" max="72" width="10.875" style="383" customWidth="1"/>
    <col min="73" max="73" width="14.875" style="383" customWidth="1"/>
    <col min="74" max="78" width="10.875" style="383" customWidth="1"/>
    <col min="79" max="79" width="14.875" style="383" customWidth="1"/>
    <col min="80" max="84" width="10.875" style="383" customWidth="1"/>
    <col min="85" max="85" width="14.875" style="383" customWidth="1"/>
    <col min="86" max="90" width="10.875" style="383"/>
    <col min="91" max="91" width="14.875" style="383" bestFit="1" customWidth="1"/>
    <col min="92" max="96" width="10.875" style="383"/>
    <col min="97" max="97" width="14.875" style="383" bestFit="1" customWidth="1"/>
    <col min="98" max="102" width="10.875" style="383"/>
    <col min="103" max="103" width="14.875" style="383" bestFit="1" customWidth="1"/>
    <col min="104" max="108" width="10.875" style="383"/>
    <col min="109" max="109" width="14.875" style="383" bestFit="1" customWidth="1"/>
    <col min="110" max="114" width="10.875" style="383"/>
    <col min="115" max="115" width="14.875" style="383" bestFit="1" customWidth="1"/>
    <col min="116" max="120" width="10.875" style="383"/>
    <col min="121" max="121" width="14.875" style="383" bestFit="1" customWidth="1"/>
    <col min="122" max="16384" width="10.875" style="383"/>
  </cols>
  <sheetData>
    <row r="1" spans="1:121" x14ac:dyDescent="0.25">
      <c r="H1" s="1574" t="s">
        <v>0</v>
      </c>
      <c r="I1" s="1575"/>
      <c r="J1" s="1575"/>
      <c r="K1" s="1575"/>
      <c r="L1" s="1575"/>
      <c r="M1" s="1576"/>
      <c r="N1" s="1574" t="s">
        <v>1</v>
      </c>
      <c r="O1" s="1575"/>
      <c r="P1" s="1575"/>
      <c r="Q1" s="1575"/>
      <c r="R1" s="1575"/>
      <c r="S1" s="1576"/>
      <c r="T1" s="1574" t="s">
        <v>2</v>
      </c>
      <c r="U1" s="1575"/>
      <c r="V1" s="1575"/>
      <c r="W1" s="1575"/>
      <c r="X1" s="1575"/>
      <c r="Y1" s="1576"/>
      <c r="Z1" s="1574" t="s">
        <v>3</v>
      </c>
      <c r="AA1" s="1575"/>
      <c r="AB1" s="1575"/>
      <c r="AC1" s="1575"/>
      <c r="AD1" s="1575"/>
      <c r="AE1" s="1576"/>
      <c r="AF1" s="1577" t="s">
        <v>4</v>
      </c>
      <c r="AG1" s="1575"/>
      <c r="AH1" s="1575"/>
      <c r="AI1" s="1575"/>
      <c r="AJ1" s="1575"/>
      <c r="AK1" s="1576"/>
      <c r="AL1" s="1574" t="s">
        <v>5</v>
      </c>
      <c r="AM1" s="1575"/>
      <c r="AN1" s="1575"/>
      <c r="AO1" s="1575"/>
      <c r="AP1" s="1575"/>
      <c r="AQ1" s="1576"/>
      <c r="AR1" s="1574" t="s">
        <v>6</v>
      </c>
      <c r="AS1" s="1575"/>
      <c r="AT1" s="1575"/>
      <c r="AU1" s="1575"/>
      <c r="AV1" s="1575"/>
      <c r="AW1" s="1576"/>
      <c r="AX1" s="1574" t="s">
        <v>7</v>
      </c>
      <c r="AY1" s="1575"/>
      <c r="AZ1" s="1575"/>
      <c r="BA1" s="1575"/>
      <c r="BB1" s="1575"/>
      <c r="BC1" s="1576"/>
      <c r="BD1" s="1574" t="s">
        <v>8</v>
      </c>
      <c r="BE1" s="1575"/>
      <c r="BF1" s="1575"/>
      <c r="BG1" s="1575"/>
      <c r="BH1" s="1575"/>
      <c r="BI1" s="1576"/>
      <c r="BJ1" s="1574" t="s">
        <v>9</v>
      </c>
      <c r="BK1" s="1575"/>
      <c r="BL1" s="1575"/>
      <c r="BM1" s="1575"/>
      <c r="BN1" s="1575"/>
      <c r="BO1" s="1576"/>
      <c r="BP1" s="1574" t="s">
        <v>10</v>
      </c>
      <c r="BQ1" s="1575"/>
      <c r="BR1" s="1575"/>
      <c r="BS1" s="1575"/>
      <c r="BT1" s="1575"/>
      <c r="BU1" s="1576"/>
      <c r="BV1" s="1574" t="s">
        <v>11</v>
      </c>
      <c r="BW1" s="1575"/>
      <c r="BX1" s="1575"/>
      <c r="BY1" s="1575"/>
      <c r="BZ1" s="1575"/>
      <c r="CA1" s="1576"/>
      <c r="CB1" s="1574" t="s">
        <v>12</v>
      </c>
      <c r="CC1" s="1575"/>
      <c r="CD1" s="1575"/>
      <c r="CE1" s="1575"/>
      <c r="CF1" s="1575"/>
      <c r="CG1" s="1576"/>
      <c r="CH1" s="1574" t="s">
        <v>13</v>
      </c>
      <c r="CI1" s="1575"/>
      <c r="CJ1" s="1575"/>
      <c r="CK1" s="1575"/>
      <c r="CL1" s="1575"/>
      <c r="CM1" s="1576"/>
      <c r="CN1" s="1574" t="s">
        <v>14</v>
      </c>
      <c r="CO1" s="1575"/>
      <c r="CP1" s="1575"/>
      <c r="CQ1" s="1575"/>
      <c r="CR1" s="1575"/>
      <c r="CS1" s="1576"/>
      <c r="CT1" s="1574" t="s">
        <v>15</v>
      </c>
      <c r="CU1" s="1575"/>
      <c r="CV1" s="1575"/>
      <c r="CW1" s="1575"/>
      <c r="CX1" s="1575"/>
      <c r="CY1" s="1576"/>
      <c r="CZ1" s="1574" t="s">
        <v>16</v>
      </c>
      <c r="DA1" s="1575"/>
      <c r="DB1" s="1575"/>
      <c r="DC1" s="1575"/>
      <c r="DD1" s="1575"/>
      <c r="DE1" s="1576"/>
      <c r="DF1" s="1574" t="s">
        <v>17</v>
      </c>
      <c r="DG1" s="1575"/>
      <c r="DH1" s="1575"/>
      <c r="DI1" s="1575"/>
      <c r="DJ1" s="1575"/>
      <c r="DK1" s="1576"/>
      <c r="DL1" s="1574" t="s">
        <v>18</v>
      </c>
      <c r="DM1" s="1575"/>
      <c r="DN1" s="1575"/>
      <c r="DO1" s="1575"/>
      <c r="DP1" s="1575"/>
      <c r="DQ1" s="1576"/>
    </row>
    <row r="2" spans="1:121" s="384" customFormat="1" ht="49.5" x14ac:dyDescent="0.25">
      <c r="A2" s="382" t="s">
        <v>19</v>
      </c>
      <c r="B2" s="382" t="s">
        <v>20</v>
      </c>
      <c r="C2" s="384" t="s">
        <v>21</v>
      </c>
      <c r="D2" s="382" t="s">
        <v>22</v>
      </c>
      <c r="E2" s="384" t="s">
        <v>23</v>
      </c>
      <c r="F2" s="382" t="s">
        <v>24</v>
      </c>
      <c r="G2" s="384" t="s">
        <v>25</v>
      </c>
      <c r="H2" s="38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2" t="s">
        <v>31</v>
      </c>
      <c r="N2" s="38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2" t="s">
        <v>31</v>
      </c>
      <c r="T2" s="38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2" t="s">
        <v>31</v>
      </c>
      <c r="Z2" s="38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2" t="s">
        <v>31</v>
      </c>
      <c r="AF2" s="681" t="s">
        <v>26</v>
      </c>
      <c r="AG2" s="1" t="s">
        <v>27</v>
      </c>
      <c r="AH2" s="1" t="s">
        <v>28</v>
      </c>
      <c r="AI2" s="1" t="s">
        <v>29</v>
      </c>
      <c r="AJ2" s="1" t="s">
        <v>30</v>
      </c>
      <c r="AK2" s="2" t="s">
        <v>31</v>
      </c>
      <c r="AL2" s="381" t="s">
        <v>26</v>
      </c>
      <c r="AM2" s="1" t="s">
        <v>27</v>
      </c>
      <c r="AN2" s="1" t="s">
        <v>28</v>
      </c>
      <c r="AO2" s="1" t="s">
        <v>29</v>
      </c>
      <c r="AP2" s="1" t="s">
        <v>30</v>
      </c>
      <c r="AQ2" s="2" t="s">
        <v>31</v>
      </c>
      <c r="AR2" s="381" t="s">
        <v>26</v>
      </c>
      <c r="AS2" s="1" t="s">
        <v>27</v>
      </c>
      <c r="AT2" s="1" t="s">
        <v>28</v>
      </c>
      <c r="AU2" s="1" t="s">
        <v>29</v>
      </c>
      <c r="AV2" s="1" t="s">
        <v>30</v>
      </c>
      <c r="AW2" s="2" t="s">
        <v>31</v>
      </c>
      <c r="AX2" s="381" t="s">
        <v>26</v>
      </c>
      <c r="AY2" s="1" t="s">
        <v>27</v>
      </c>
      <c r="AZ2" s="1" t="s">
        <v>28</v>
      </c>
      <c r="BA2" s="1" t="s">
        <v>29</v>
      </c>
      <c r="BB2" s="1" t="s">
        <v>30</v>
      </c>
      <c r="BC2" s="2" t="s">
        <v>31</v>
      </c>
      <c r="BD2" s="381" t="s">
        <v>26</v>
      </c>
      <c r="BE2" s="1" t="s">
        <v>27</v>
      </c>
      <c r="BF2" s="1" t="s">
        <v>28</v>
      </c>
      <c r="BG2" s="1" t="s">
        <v>29</v>
      </c>
      <c r="BH2" s="1" t="s">
        <v>30</v>
      </c>
      <c r="BI2" s="2" t="s">
        <v>31</v>
      </c>
      <c r="BJ2" s="381" t="s">
        <v>26</v>
      </c>
      <c r="BK2" s="1" t="s">
        <v>27</v>
      </c>
      <c r="BL2" s="1" t="s">
        <v>28</v>
      </c>
      <c r="BM2" s="1" t="s">
        <v>29</v>
      </c>
      <c r="BN2" s="1" t="s">
        <v>30</v>
      </c>
      <c r="BO2" s="2" t="s">
        <v>31</v>
      </c>
      <c r="BP2" s="381" t="s">
        <v>26</v>
      </c>
      <c r="BQ2" s="1" t="s">
        <v>27</v>
      </c>
      <c r="BR2" s="1" t="s">
        <v>28</v>
      </c>
      <c r="BS2" s="1" t="s">
        <v>29</v>
      </c>
      <c r="BT2" s="1" t="s">
        <v>30</v>
      </c>
      <c r="BU2" s="2" t="s">
        <v>31</v>
      </c>
      <c r="BV2" s="381" t="s">
        <v>26</v>
      </c>
      <c r="BW2" s="1" t="s">
        <v>27</v>
      </c>
      <c r="BX2" s="1" t="s">
        <v>28</v>
      </c>
      <c r="BY2" s="1" t="s">
        <v>29</v>
      </c>
      <c r="BZ2" s="1" t="s">
        <v>30</v>
      </c>
      <c r="CA2" s="2" t="s">
        <v>31</v>
      </c>
      <c r="CB2" s="381" t="s">
        <v>26</v>
      </c>
      <c r="CC2" s="1" t="s">
        <v>27</v>
      </c>
      <c r="CD2" s="1" t="s">
        <v>28</v>
      </c>
      <c r="CE2" s="1" t="s">
        <v>29</v>
      </c>
      <c r="CF2" s="1" t="s">
        <v>30</v>
      </c>
      <c r="CG2" s="2" t="s">
        <v>31</v>
      </c>
      <c r="CH2" s="381" t="s">
        <v>26</v>
      </c>
      <c r="CI2" s="1" t="s">
        <v>27</v>
      </c>
      <c r="CJ2" s="1" t="s">
        <v>28</v>
      </c>
      <c r="CK2" s="1" t="s">
        <v>29</v>
      </c>
      <c r="CL2" s="1" t="s">
        <v>30</v>
      </c>
      <c r="CM2" s="2" t="s">
        <v>31</v>
      </c>
      <c r="CN2" s="381" t="s">
        <v>26</v>
      </c>
      <c r="CO2" s="1" t="s">
        <v>27</v>
      </c>
      <c r="CP2" s="1" t="s">
        <v>28</v>
      </c>
      <c r="CQ2" s="1" t="s">
        <v>29</v>
      </c>
      <c r="CR2" s="1" t="s">
        <v>30</v>
      </c>
      <c r="CS2" s="2" t="s">
        <v>31</v>
      </c>
      <c r="CT2" s="381" t="s">
        <v>26</v>
      </c>
      <c r="CU2" s="1" t="s">
        <v>27</v>
      </c>
      <c r="CV2" s="1" t="s">
        <v>28</v>
      </c>
      <c r="CW2" s="1" t="s">
        <v>29</v>
      </c>
      <c r="CX2" s="1" t="s">
        <v>30</v>
      </c>
      <c r="CY2" s="2" t="s">
        <v>31</v>
      </c>
      <c r="CZ2" s="381" t="s">
        <v>26</v>
      </c>
      <c r="DA2" s="1" t="s">
        <v>27</v>
      </c>
      <c r="DB2" s="1" t="s">
        <v>28</v>
      </c>
      <c r="DC2" s="1" t="s">
        <v>29</v>
      </c>
      <c r="DD2" s="1" t="s">
        <v>30</v>
      </c>
      <c r="DE2" s="2" t="s">
        <v>31</v>
      </c>
      <c r="DF2" s="381" t="s">
        <v>26</v>
      </c>
      <c r="DG2" s="1" t="s">
        <v>27</v>
      </c>
      <c r="DH2" s="1" t="s">
        <v>28</v>
      </c>
      <c r="DI2" s="1" t="s">
        <v>29</v>
      </c>
      <c r="DJ2" s="1" t="s">
        <v>30</v>
      </c>
      <c r="DK2" s="2" t="s">
        <v>31</v>
      </c>
      <c r="DL2" s="381" t="s">
        <v>26</v>
      </c>
      <c r="DM2" s="1" t="s">
        <v>27</v>
      </c>
      <c r="DN2" s="1" t="s">
        <v>28</v>
      </c>
      <c r="DO2" s="1" t="s">
        <v>29</v>
      </c>
      <c r="DP2" s="1" t="s">
        <v>30</v>
      </c>
      <c r="DQ2" s="2" t="s">
        <v>31</v>
      </c>
    </row>
    <row r="3" spans="1:121" customFormat="1" x14ac:dyDescent="0.25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s="3"/>
      <c r="I3" s="4"/>
      <c r="J3" s="4"/>
      <c r="K3" s="4"/>
      <c r="L3" s="4"/>
      <c r="M3" s="5"/>
      <c r="N3" s="385" t="str">
        <f t="shared" ref="N3:N25" si="0">IFERROR(VLOOKUP(G3,QUINTA,4,FALSE),"")</f>
        <v/>
      </c>
      <c r="O3" s="386" t="str">
        <f t="shared" ref="O3:O25" si="1">IFERROR(VLOOKUP(G3,QUINTA,7,FALSE),"")</f>
        <v/>
      </c>
      <c r="P3" s="386" t="str">
        <f t="shared" ref="P3:P25" si="2">IFERROR(VLOOKUP(G3,QUINTA,8,FALSE),"")</f>
        <v/>
      </c>
      <c r="Q3" s="386">
        <f>SUM(O3:P3)</f>
        <v>0</v>
      </c>
      <c r="R3" s="386" t="str">
        <f t="shared" ref="R3:R25" si="3">IFERROR(VLOOKUP(G3,QUINTA,19,FALSE),"")</f>
        <v/>
      </c>
      <c r="S3" s="387" t="str">
        <f t="shared" ref="S3:S25" si="4">IFERROR(VLOOKUP(G3,QUINTA,23,FALSE),"")</f>
        <v/>
      </c>
      <c r="T3" s="385" t="str">
        <f t="shared" ref="T3:T25" si="5">IFERROR(VLOOKUP(G3,Ulysses_Ilocos,4,FALSE),"")</f>
        <v/>
      </c>
      <c r="U3" s="386" t="str">
        <f t="shared" ref="U3:U25" si="6">IFERROR(VLOOKUP(G3,Ulysses_Ilocos,7,FALSE),"")</f>
        <v/>
      </c>
      <c r="V3" s="386" t="str">
        <f t="shared" ref="V3:V25" si="7">IFERROR(VLOOKUP(G3,Ulysses_Ilocos,8,FALSE),"")</f>
        <v/>
      </c>
      <c r="W3" s="386">
        <f>SUM(U3:V3)</f>
        <v>0</v>
      </c>
      <c r="X3" s="386" t="str">
        <f t="shared" ref="X3:X25" si="8">IFERROR(VLOOKUP(G3,Ulysses_Ilocos,19,FALSE),"")</f>
        <v/>
      </c>
      <c r="Y3" s="387" t="str">
        <f t="shared" ref="Y3:Y25" si="9">IFERROR(VLOOKUP(G3,Ulysses_Ilocos,23,FALSE),"")</f>
        <v/>
      </c>
      <c r="Z3" s="3" t="str">
        <f>IFERROR(VLOOKUP(G3,Ulysses_Ilocos,4,FALSE),"")</f>
        <v/>
      </c>
      <c r="AA3" s="4" t="str">
        <f>IFERROR(VLOOKUP(G3,Ulysses_Ilocos,7,FALSE),"")</f>
        <v/>
      </c>
      <c r="AB3" s="386" t="str">
        <f>IFERROR(VLOOKUP(G3,Ulysses_Ilocos,8,FALSE),"")</f>
        <v/>
      </c>
      <c r="AC3" s="386">
        <f>SUM(AA3:AB3)</f>
        <v>0</v>
      </c>
      <c r="AD3" s="386" t="str">
        <f>IFERROR(VLOOKUP(G3,Ulysses_Ilocos,19,FALSE),"")</f>
        <v/>
      </c>
      <c r="AE3" s="387" t="str">
        <f>IFERROR(VLOOKUP(G3,Ulysses_Ilocos,23,FALSE),"")</f>
        <v/>
      </c>
      <c r="AF3" s="3"/>
      <c r="AG3" s="4"/>
      <c r="AH3" s="4"/>
      <c r="AI3" s="4"/>
      <c r="AJ3" s="4"/>
      <c r="AK3" s="5"/>
      <c r="AL3" s="3"/>
      <c r="AM3" s="4"/>
      <c r="AN3" s="4"/>
      <c r="AO3" s="4"/>
      <c r="AP3" s="4"/>
      <c r="AQ3" s="5"/>
      <c r="AR3" s="682">
        <f t="shared" ref="AR3:AR25" si="10">IFERROR(VLOOKUP(G3,LAWIN_LN,3,FALSE),"")</f>
        <v>29</v>
      </c>
      <c r="AS3" s="4">
        <f t="shared" ref="AS3:AS25" si="11">IFERROR(VLOOKUP(G3,LAWIN_LN,7,FALSE),"")</f>
        <v>0</v>
      </c>
      <c r="AT3" s="386">
        <f t="shared" ref="AT3:AT25" si="12">IFERROR(VLOOKUP(G3,LAWIN_LN,8,FALSE),"")</f>
        <v>22</v>
      </c>
      <c r="AU3" s="386">
        <f t="shared" ref="AU3" si="13">SUM(AS3:AT3)</f>
        <v>22</v>
      </c>
      <c r="AV3" s="386">
        <f t="shared" ref="AV3:AV25" si="14">IFERROR(VLOOKUP(G3,LAWIN_LN,15,FALSE),"")</f>
        <v>45.933</v>
      </c>
      <c r="AW3" s="387">
        <f t="shared" ref="AW3:AW25" si="15">IFERROR(VLOOKUP(G3,LAWIN_LN,17,FALSE),"")</f>
        <v>780860.99999999988</v>
      </c>
      <c r="AX3" s="3"/>
      <c r="AY3" s="4"/>
      <c r="AZ3" s="4"/>
      <c r="BA3" s="4"/>
      <c r="BB3" s="4"/>
      <c r="BC3" s="5"/>
      <c r="BD3" s="682">
        <f t="shared" ref="BD3:BD25" si="16">IFERROR(VLOOKUP(G3,INENG_IN,3,FALSE),"")</f>
        <v>0</v>
      </c>
      <c r="BE3" s="4">
        <f t="shared" ref="BE3:BE25" si="17">IFERROR(VLOOKUP(G3,INENG_IN,7,FALSE),"")</f>
        <v>80</v>
      </c>
      <c r="BF3" s="386">
        <f t="shared" ref="BF3:BF25" si="18">IFERROR(VLOOKUP(G3,INENG_IN,8,FALSE),"")</f>
        <v>0</v>
      </c>
      <c r="BG3" s="386">
        <f t="shared" ref="BG3" si="19">SUM(BE3:BF3)</f>
        <v>80</v>
      </c>
      <c r="BH3" s="386">
        <f t="shared" ref="BH3:BH25" si="20">IFERROR(VLOOKUP(G3,INENG_IN,16,FALSE),"")</f>
        <v>0</v>
      </c>
      <c r="BI3" s="387">
        <f t="shared" ref="BI3:BI25" si="21">IFERROR(VLOOKUP(G3,INENG_IN,19,FALSE),"")</f>
        <v>78520</v>
      </c>
      <c r="BJ3" s="682" t="str">
        <f t="shared" ref="BJ3:BJ25" si="22">IFERROR(VLOOKUP(M3,INENG_IN,3,FALSE),"")</f>
        <v/>
      </c>
      <c r="BK3" s="4" t="str">
        <f t="shared" ref="BK3:BK25" si="23">IFERROR(VLOOKUP(M3,INENG_IN,7,FALSE),"")</f>
        <v/>
      </c>
      <c r="BL3" s="386" t="str">
        <f t="shared" ref="BL3:BL25" si="24">IFERROR(VLOOKUP(M3,INENG_IN,8,FALSE),"")</f>
        <v/>
      </c>
      <c r="BM3" s="386">
        <f t="shared" ref="BM3:BM66" si="25">SUM(BK3:BL3)</f>
        <v>0</v>
      </c>
      <c r="BN3" s="386" t="str">
        <f t="shared" ref="BN3:BN25" si="26">IFERROR(VLOOKUP(M3,INENG_IN,16,FALSE),"")</f>
        <v/>
      </c>
      <c r="BO3" s="387" t="str">
        <f t="shared" ref="BO3:BO25" si="27">IFERROR(VLOOKUP(M3,INENG_IN,19,FALSE),"")</f>
        <v/>
      </c>
      <c r="BP3" s="682">
        <f t="shared" ref="BP3:BP25" si="28">IFERROR(VLOOKUP(G3,LANDO_ILOCOS_N,3,FALSE),"")</f>
        <v>0</v>
      </c>
      <c r="BQ3" s="4">
        <f t="shared" ref="BQ3:BQ25" si="29">IFERROR(VLOOKUP(G3,LANDO_ILOCOS_N,7,FALSE),"")</f>
        <v>0</v>
      </c>
      <c r="BR3" s="386">
        <f t="shared" ref="BR3:BR25" si="30">IFERROR(VLOOKUP(G3,LANDO_ILOCOS_N,8,FALSE),"")</f>
        <v>15</v>
      </c>
      <c r="BS3" s="386">
        <f t="shared" ref="BS3" si="31">SUM(BQ3:BR3)</f>
        <v>15</v>
      </c>
      <c r="BT3" s="386">
        <f t="shared" ref="BT3:BT25" si="32">IFERROR(VLOOKUP(G3,LANDO_ILOCOS_N,15,FALSE),"")</f>
        <v>7.2900000000000009</v>
      </c>
      <c r="BU3" s="387">
        <f t="shared" ref="BU3:BU25" si="33">IFERROR(VLOOKUP(G3,LANDO_ILOCOS_N,17,FALSE),"")</f>
        <v>120285.00000000001</v>
      </c>
      <c r="BV3" s="682" t="str">
        <f t="shared" ref="BV3:BV25" si="34">IFERROR(VLOOKUP(Y3,INENG_IN,3,FALSE),"")</f>
        <v/>
      </c>
      <c r="BW3" s="4" t="str">
        <f t="shared" ref="BW3:BW25" si="35">IFERROR(VLOOKUP(Y3,INENG_IN,7,FALSE),"")</f>
        <v/>
      </c>
      <c r="BX3" s="386" t="str">
        <f t="shared" ref="BX3:BX25" si="36">IFERROR(VLOOKUP(Y3,INENG_IN,8,FALSE),"")</f>
        <v/>
      </c>
      <c r="BY3" s="386">
        <f t="shared" ref="BY3:BY66" si="37">SUM(BW3:BX3)</f>
        <v>0</v>
      </c>
      <c r="BZ3" s="386" t="str">
        <f t="shared" ref="BZ3:BZ25" si="38">IFERROR(VLOOKUP(Y3,INENG_IN,16,FALSE),"")</f>
        <v/>
      </c>
      <c r="CA3" s="387" t="str">
        <f t="shared" ref="CA3:CA25" si="39">IFERROR(VLOOKUP(Y3,INENG_IN,19,FALSE),"")</f>
        <v/>
      </c>
      <c r="CB3" s="682" t="str">
        <f t="shared" ref="CB3:CB25" si="40">IFERROR(VLOOKUP(AE3,INENG_IN,3,FALSE),"")</f>
        <v/>
      </c>
      <c r="CC3" s="4" t="str">
        <f t="shared" ref="CC3:CC25" si="41">IFERROR(VLOOKUP(AE3,INENG_IN,7,FALSE),"")</f>
        <v/>
      </c>
      <c r="CD3" s="386" t="str">
        <f t="shared" ref="CD3:CD25" si="42">IFERROR(VLOOKUP(AE3,INENG_IN,8,FALSE),"")</f>
        <v/>
      </c>
      <c r="CE3" s="386">
        <f t="shared" ref="CE3:CE66" si="43">SUM(CC3:CD3)</f>
        <v>0</v>
      </c>
      <c r="CF3" s="386" t="str">
        <f t="shared" ref="CF3:CF25" si="44">IFERROR(VLOOKUP(AE3,INENG_IN,16,FALSE),"")</f>
        <v/>
      </c>
      <c r="CG3" s="387" t="str">
        <f t="shared" ref="CG3:CG25" si="45">IFERROR(VLOOKUP(AE3,INENG_IN,19,FALSE),"")</f>
        <v/>
      </c>
      <c r="CH3" s="682">
        <f t="shared" ref="CH3:CH25" si="46">IFERROR(VLOOKUP(G3,LUIS_IN,3,FALSE),"")</f>
        <v>0</v>
      </c>
      <c r="CI3" s="4">
        <f t="shared" ref="CI3:CI25" si="47">IFERROR(VLOOKUP(G3,LUIS_IN,7,FALSE),"")</f>
        <v>0</v>
      </c>
      <c r="CJ3" s="386">
        <f t="shared" ref="CJ3:CJ25" si="48">IFERROR(VLOOKUP(G3,LUIS_IN,8,FALSE),"")</f>
        <v>1.5</v>
      </c>
      <c r="CK3" s="386">
        <f t="shared" ref="CK3" si="49">SUM(CI3:CJ3)</f>
        <v>1.5</v>
      </c>
      <c r="CL3" s="386">
        <f t="shared" ref="CL3:CL25" si="50">IFERROR(VLOOKUP(G3,LUIS_IN,13,FALSE),"")</f>
        <v>0.71850000000000003</v>
      </c>
      <c r="CM3" s="387">
        <f t="shared" ref="CM3:CM25" si="51">IFERROR(VLOOKUP(G3,LUIS_IN,15,FALSE),"")</f>
        <v>16884.75</v>
      </c>
      <c r="CN3" s="682" t="str">
        <f t="shared" ref="CN3:CN25" si="52">IFERROR(VLOOKUP(G3,MARING_IN,3,FALSE),"")</f>
        <v/>
      </c>
      <c r="CO3" s="4" t="str">
        <f t="shared" ref="CO3:CO25" si="53">IFERROR(VLOOKUP(G3,MARING_IN,7,FALSE),"")</f>
        <v/>
      </c>
      <c r="CP3" s="386" t="str">
        <f t="shared" ref="CP3:CP25" si="54">IFERROR(VLOOKUP(G3,MARING_IN,8,FALSE),"")</f>
        <v/>
      </c>
      <c r="CQ3" s="386">
        <f t="shared" ref="CQ3" si="55">SUM(CO3:CP3)</f>
        <v>0</v>
      </c>
      <c r="CR3" s="386" t="str">
        <f t="shared" ref="CR3:CR25" si="56">IFERROR(VLOOKUP(G3,MARING_IN,13,FALSE),"")</f>
        <v/>
      </c>
      <c r="CS3" s="387" t="str">
        <f t="shared" ref="CS3:CS25" si="57">IFERROR(VLOOKUP(G3,MARING_IN,16,FALSE),"")</f>
        <v/>
      </c>
      <c r="CT3" s="682" t="str">
        <f t="shared" ref="CT3:CT25" si="58">IFERROR(VLOOKUP(G3,ODETTE_IN,3,FALSE),"")</f>
        <v/>
      </c>
      <c r="CU3" s="4" t="str">
        <f t="shared" ref="CU3:CU25" si="59">IFERROR(VLOOKUP(G3,ODETTE_IN,7,FALSE),"")</f>
        <v/>
      </c>
      <c r="CV3" s="386" t="str">
        <f t="shared" ref="CV3:CV25" si="60">IFERROR(VLOOKUP(G3,ODETTE_IN,8,FALSE),"")</f>
        <v/>
      </c>
      <c r="CW3" s="386">
        <f t="shared" ref="CW3" si="61">SUM(CU3:CV3)</f>
        <v>0</v>
      </c>
      <c r="CX3" s="386" t="str">
        <f t="shared" ref="CX3:CX25" si="62">IFERROR(VLOOKUP(G3,ODETTE_IN,13,FALSE),"")</f>
        <v/>
      </c>
      <c r="CY3" s="387" t="str">
        <f t="shared" ref="CY3:CY25" si="63">IFERROR(VLOOKUP(G3,ODETTE_IN,16,FALSE),"")</f>
        <v/>
      </c>
      <c r="CZ3" s="682" t="str">
        <f t="shared" ref="CZ3:CZ25" si="64">IFERROR(VLOOKUP(G3,VINTA_IN,3,FALSE),"")</f>
        <v/>
      </c>
      <c r="DA3" s="4" t="str">
        <f t="shared" ref="DA3:DA25" si="65">IFERROR(VLOOKUP(G3,VINTA_IN,7,FALSE),"")</f>
        <v/>
      </c>
      <c r="DB3" s="386" t="str">
        <f t="shared" ref="DB3:DB25" si="66">IFERROR(VLOOKUP(G3,VINTA_IN,8,FALSE),"")</f>
        <v/>
      </c>
      <c r="DC3" s="386">
        <f t="shared" ref="DC3" si="67">SUM(DA3:DB3)</f>
        <v>0</v>
      </c>
      <c r="DD3" s="386" t="str">
        <f t="shared" ref="DD3:DD25" si="68">IFERROR(VLOOKUP(G3,VINTA_IN,16,FALSE),"")</f>
        <v/>
      </c>
      <c r="DE3" s="387" t="str">
        <f t="shared" ref="DE3:DE25" si="69">IFERROR(VLOOKUP(G3,VINTA_IN,19,FALSE),"")</f>
        <v/>
      </c>
      <c r="DF3" s="682" t="str">
        <f t="shared" ref="DF3:DF25" si="70">IFERROR(VLOOKUP(BI3,INENG_IN,3,FALSE),"")</f>
        <v/>
      </c>
      <c r="DG3" s="4" t="str">
        <f t="shared" ref="DG3:DG25" si="71">IFERROR(VLOOKUP(BI3,INENG_IN,7,FALSE),"")</f>
        <v/>
      </c>
      <c r="DH3" s="386" t="str">
        <f t="shared" ref="DH3:DH25" si="72">IFERROR(VLOOKUP(BI3,INENG_IN,8,FALSE),"")</f>
        <v/>
      </c>
      <c r="DI3" s="386">
        <f t="shared" ref="DI3:DI26" si="73">SUM(DG3:DH3)</f>
        <v>0</v>
      </c>
      <c r="DJ3" s="386" t="str">
        <f t="shared" ref="DJ3:DJ25" si="74">IFERROR(VLOOKUP(BI3,INENG_IN,16,FALSE),"")</f>
        <v/>
      </c>
      <c r="DK3" s="387" t="str">
        <f t="shared" ref="DK3:DK25" si="75">IFERROR(VLOOKUP(BI3,INENG_IN,19,FALSE),"")</f>
        <v/>
      </c>
      <c r="DL3" s="682" t="str">
        <f t="shared" ref="DL3:DL25" si="76">IFERROR(VLOOKUP(BO3,INENG_IN,3,FALSE),"")</f>
        <v/>
      </c>
      <c r="DM3" s="4" t="str">
        <f t="shared" ref="DM3:DM25" si="77">IFERROR(VLOOKUP(BO3,INENG_IN,7,FALSE),"")</f>
        <v/>
      </c>
      <c r="DN3" s="386" t="str">
        <f t="shared" ref="DN3:DN25" si="78">IFERROR(VLOOKUP(BO3,INENG_IN,8,FALSE),"")</f>
        <v/>
      </c>
      <c r="DO3" s="386">
        <f t="shared" ref="DO3:DO60" si="79">SUM(DM3:DN3)</f>
        <v>0</v>
      </c>
      <c r="DP3" s="386" t="str">
        <f t="shared" ref="DP3:DP25" si="80">IFERROR(VLOOKUP(BO3,INENG_IN,16,FALSE),"")</f>
        <v/>
      </c>
      <c r="DQ3" s="387" t="str">
        <f t="shared" ref="DQ3:DQ25" si="81">IFERROR(VLOOKUP(BO3,INENG_IN,19,FALSE),"")</f>
        <v/>
      </c>
    </row>
    <row r="4" spans="1:121" customFormat="1" x14ac:dyDescent="0.25">
      <c r="A4" t="s">
        <v>39</v>
      </c>
      <c r="B4" t="s">
        <v>33</v>
      </c>
      <c r="C4" t="s">
        <v>34</v>
      </c>
      <c r="D4" t="s">
        <v>35</v>
      </c>
      <c r="E4" t="s">
        <v>36</v>
      </c>
      <c r="F4" t="s">
        <v>40</v>
      </c>
      <c r="G4" t="s">
        <v>41</v>
      </c>
      <c r="H4" s="3"/>
      <c r="I4" s="4"/>
      <c r="J4" s="4"/>
      <c r="K4" s="4"/>
      <c r="L4" s="4"/>
      <c r="M4" s="5"/>
      <c r="N4" s="385" t="str">
        <f t="shared" si="0"/>
        <v/>
      </c>
      <c r="O4" s="386" t="str">
        <f t="shared" si="1"/>
        <v/>
      </c>
      <c r="P4" s="386" t="str">
        <f t="shared" si="2"/>
        <v/>
      </c>
      <c r="Q4" s="386">
        <f t="shared" ref="Q4:Q25" si="82">SUM(O4:P4)</f>
        <v>0</v>
      </c>
      <c r="R4" s="386" t="str">
        <f t="shared" si="3"/>
        <v/>
      </c>
      <c r="S4" s="387" t="str">
        <f t="shared" si="4"/>
        <v/>
      </c>
      <c r="T4" s="385" t="str">
        <f t="shared" si="5"/>
        <v/>
      </c>
      <c r="U4" s="386" t="str">
        <f t="shared" si="6"/>
        <v/>
      </c>
      <c r="V4" s="386" t="str">
        <f t="shared" si="7"/>
        <v/>
      </c>
      <c r="W4" s="386">
        <f t="shared" ref="W4:W25" si="83">SUM(U4:V4)</f>
        <v>0</v>
      </c>
      <c r="X4" s="386" t="str">
        <f t="shared" si="8"/>
        <v/>
      </c>
      <c r="Y4" s="387" t="str">
        <f t="shared" si="9"/>
        <v/>
      </c>
      <c r="Z4" s="3"/>
      <c r="AA4" s="4"/>
      <c r="AB4" s="4"/>
      <c r="AC4" s="4"/>
      <c r="AD4" s="4"/>
      <c r="AE4" s="5"/>
      <c r="AF4" s="3"/>
      <c r="AG4" s="4"/>
      <c r="AH4" s="4"/>
      <c r="AI4" s="4"/>
      <c r="AJ4" s="4"/>
      <c r="AK4" s="5"/>
      <c r="AL4" s="3"/>
      <c r="AM4" s="4"/>
      <c r="AN4" s="4"/>
      <c r="AO4" s="4"/>
      <c r="AP4" s="4"/>
      <c r="AQ4" s="5"/>
      <c r="AR4" s="682" t="str">
        <f t="shared" si="10"/>
        <v/>
      </c>
      <c r="AS4" s="4" t="str">
        <f t="shared" si="11"/>
        <v/>
      </c>
      <c r="AT4" s="386" t="str">
        <f t="shared" si="12"/>
        <v/>
      </c>
      <c r="AU4" s="386">
        <f t="shared" ref="AU4:AU26" si="84">SUM(AS4:AT4)</f>
        <v>0</v>
      </c>
      <c r="AV4" s="386" t="str">
        <f t="shared" si="14"/>
        <v/>
      </c>
      <c r="AW4" s="387" t="str">
        <f t="shared" si="15"/>
        <v/>
      </c>
      <c r="AX4" s="3"/>
      <c r="AY4" s="4"/>
      <c r="AZ4" s="4"/>
      <c r="BA4" s="4"/>
      <c r="BB4" s="4"/>
      <c r="BC4" s="5"/>
      <c r="BD4" s="682">
        <f t="shared" si="16"/>
        <v>0</v>
      </c>
      <c r="BE4" s="4">
        <f t="shared" si="17"/>
        <v>186.39</v>
      </c>
      <c r="BF4" s="386">
        <f t="shared" si="18"/>
        <v>11.89</v>
      </c>
      <c r="BG4" s="386">
        <f t="shared" ref="BG4:BG25" si="85">SUM(BE4:BF4)</f>
        <v>198.27999999999997</v>
      </c>
      <c r="BH4" s="386">
        <f t="shared" si="20"/>
        <v>221.17040000000006</v>
      </c>
      <c r="BI4" s="387">
        <f t="shared" si="21"/>
        <v>4014242.7600000012</v>
      </c>
      <c r="BJ4" s="682" t="str">
        <f t="shared" si="22"/>
        <v/>
      </c>
      <c r="BK4" s="4" t="str">
        <f t="shared" si="23"/>
        <v/>
      </c>
      <c r="BL4" s="386" t="str">
        <f t="shared" si="24"/>
        <v/>
      </c>
      <c r="BM4" s="386">
        <f t="shared" si="25"/>
        <v>0</v>
      </c>
      <c r="BN4" s="386" t="str">
        <f t="shared" si="26"/>
        <v/>
      </c>
      <c r="BO4" s="387" t="str">
        <f t="shared" si="27"/>
        <v/>
      </c>
      <c r="BP4" s="682">
        <f t="shared" si="28"/>
        <v>0</v>
      </c>
      <c r="BQ4" s="4">
        <f t="shared" si="29"/>
        <v>0</v>
      </c>
      <c r="BR4" s="386">
        <f t="shared" si="30"/>
        <v>288</v>
      </c>
      <c r="BS4" s="386">
        <f t="shared" ref="BS4:BS25" si="86">SUM(BQ4:BR4)</f>
        <v>288</v>
      </c>
      <c r="BT4" s="386">
        <f t="shared" si="32"/>
        <v>208.25100000000003</v>
      </c>
      <c r="BU4" s="387">
        <f t="shared" si="33"/>
        <v>3436141.5000000005</v>
      </c>
      <c r="BV4" s="682" t="str">
        <f t="shared" si="34"/>
        <v/>
      </c>
      <c r="BW4" s="4" t="str">
        <f t="shared" si="35"/>
        <v/>
      </c>
      <c r="BX4" s="386" t="str">
        <f t="shared" si="36"/>
        <v/>
      </c>
      <c r="BY4" s="386">
        <f t="shared" si="37"/>
        <v>0</v>
      </c>
      <c r="BZ4" s="386" t="str">
        <f t="shared" si="38"/>
        <v/>
      </c>
      <c r="CA4" s="387" t="str">
        <f t="shared" si="39"/>
        <v/>
      </c>
      <c r="CB4" s="682" t="str">
        <f t="shared" si="40"/>
        <v/>
      </c>
      <c r="CC4" s="4" t="str">
        <f t="shared" si="41"/>
        <v/>
      </c>
      <c r="CD4" s="386" t="str">
        <f t="shared" si="42"/>
        <v/>
      </c>
      <c r="CE4" s="386">
        <f t="shared" si="43"/>
        <v>0</v>
      </c>
      <c r="CF4" s="386" t="str">
        <f t="shared" si="44"/>
        <v/>
      </c>
      <c r="CG4" s="387" t="str">
        <f t="shared" si="45"/>
        <v/>
      </c>
      <c r="CH4" s="682">
        <f t="shared" si="46"/>
        <v>0</v>
      </c>
      <c r="CI4" s="4">
        <f t="shared" si="47"/>
        <v>0</v>
      </c>
      <c r="CJ4" s="386">
        <f t="shared" si="48"/>
        <v>1965</v>
      </c>
      <c r="CK4" s="386">
        <f t="shared" ref="CK4:CK25" si="87">SUM(CI4:CJ4)</f>
        <v>1965</v>
      </c>
      <c r="CL4" s="386">
        <f t="shared" si="50"/>
        <v>1522.741</v>
      </c>
      <c r="CM4" s="387">
        <f t="shared" si="51"/>
        <v>35784413.5</v>
      </c>
      <c r="CN4" s="682">
        <f t="shared" si="52"/>
        <v>50</v>
      </c>
      <c r="CO4" s="4">
        <f t="shared" si="53"/>
        <v>0</v>
      </c>
      <c r="CP4" s="386">
        <f t="shared" si="54"/>
        <v>36.6</v>
      </c>
      <c r="CQ4" s="386">
        <f t="shared" ref="CQ4:CQ25" si="88">SUM(CO4:CP4)</f>
        <v>36.6</v>
      </c>
      <c r="CR4" s="386">
        <f t="shared" si="56"/>
        <v>27.285299999999996</v>
      </c>
      <c r="CS4" s="387">
        <f t="shared" si="57"/>
        <v>467124.33599999995</v>
      </c>
      <c r="CT4" s="682" t="str">
        <f t="shared" si="58"/>
        <v/>
      </c>
      <c r="CU4" s="4" t="str">
        <f t="shared" si="59"/>
        <v/>
      </c>
      <c r="CV4" s="386" t="str">
        <f t="shared" si="60"/>
        <v/>
      </c>
      <c r="CW4" s="386">
        <f t="shared" ref="CW4:CW26" si="89">SUM(CU4:CV4)</f>
        <v>0</v>
      </c>
      <c r="CX4" s="386" t="str">
        <f t="shared" si="62"/>
        <v/>
      </c>
      <c r="CY4" s="387" t="str">
        <f t="shared" si="63"/>
        <v/>
      </c>
      <c r="CZ4" s="682">
        <f t="shared" si="64"/>
        <v>80</v>
      </c>
      <c r="DA4" s="4">
        <f t="shared" si="65"/>
        <v>60</v>
      </c>
      <c r="DB4" s="386">
        <f t="shared" si="66"/>
        <v>0</v>
      </c>
      <c r="DC4" s="386">
        <f t="shared" ref="DC4:DC26" si="90">SUM(DA4:DB4)</f>
        <v>60</v>
      </c>
      <c r="DD4" s="386">
        <f t="shared" si="68"/>
        <v>14.25</v>
      </c>
      <c r="DE4" s="387">
        <f t="shared" si="69"/>
        <v>279727.5</v>
      </c>
      <c r="DF4" s="682" t="str">
        <f t="shared" si="70"/>
        <v/>
      </c>
      <c r="DG4" s="4" t="str">
        <f t="shared" si="71"/>
        <v/>
      </c>
      <c r="DH4" s="386" t="str">
        <f t="shared" si="72"/>
        <v/>
      </c>
      <c r="DI4" s="386">
        <f t="shared" si="73"/>
        <v>0</v>
      </c>
      <c r="DJ4" s="386" t="str">
        <f t="shared" si="74"/>
        <v/>
      </c>
      <c r="DK4" s="387" t="str">
        <f t="shared" si="75"/>
        <v/>
      </c>
      <c r="DL4" s="682" t="str">
        <f t="shared" si="76"/>
        <v/>
      </c>
      <c r="DM4" s="4" t="str">
        <f t="shared" si="77"/>
        <v/>
      </c>
      <c r="DN4" s="386" t="str">
        <f t="shared" si="78"/>
        <v/>
      </c>
      <c r="DO4" s="386">
        <f t="shared" si="79"/>
        <v>0</v>
      </c>
      <c r="DP4" s="386" t="str">
        <f t="shared" si="80"/>
        <v/>
      </c>
      <c r="DQ4" s="387" t="str">
        <f t="shared" si="81"/>
        <v/>
      </c>
    </row>
    <row r="5" spans="1:121" customFormat="1" x14ac:dyDescent="0.25">
      <c r="A5" t="s">
        <v>42</v>
      </c>
      <c r="B5" t="s">
        <v>33</v>
      </c>
      <c r="C5" t="s">
        <v>34</v>
      </c>
      <c r="D5" t="s">
        <v>35</v>
      </c>
      <c r="E5" t="s">
        <v>36</v>
      </c>
      <c r="F5" t="s">
        <v>43</v>
      </c>
      <c r="G5" t="s">
        <v>44</v>
      </c>
      <c r="H5" s="3"/>
      <c r="I5" s="4"/>
      <c r="J5" s="4"/>
      <c r="K5" s="4"/>
      <c r="L5" s="4"/>
      <c r="M5" s="5"/>
      <c r="N5" s="385" t="str">
        <f t="shared" si="0"/>
        <v/>
      </c>
      <c r="O5" s="386" t="str">
        <f t="shared" si="1"/>
        <v/>
      </c>
      <c r="P5" s="386" t="str">
        <f t="shared" si="2"/>
        <v/>
      </c>
      <c r="Q5" s="386">
        <f t="shared" si="82"/>
        <v>0</v>
      </c>
      <c r="R5" s="386" t="str">
        <f t="shared" si="3"/>
        <v/>
      </c>
      <c r="S5" s="387" t="str">
        <f t="shared" si="4"/>
        <v/>
      </c>
      <c r="T5" s="385" t="str">
        <f t="shared" si="5"/>
        <v/>
      </c>
      <c r="U5" s="386" t="str">
        <f t="shared" si="6"/>
        <v/>
      </c>
      <c r="V5" s="386" t="str">
        <f t="shared" si="7"/>
        <v/>
      </c>
      <c r="W5" s="386">
        <f t="shared" si="83"/>
        <v>0</v>
      </c>
      <c r="X5" s="386" t="str">
        <f t="shared" si="8"/>
        <v/>
      </c>
      <c r="Y5" s="387" t="str">
        <f t="shared" si="9"/>
        <v/>
      </c>
      <c r="Z5" s="3"/>
      <c r="AA5" s="4"/>
      <c r="AB5" s="4"/>
      <c r="AC5" s="4"/>
      <c r="AD5" s="4"/>
      <c r="AE5" s="5"/>
      <c r="AF5" s="3"/>
      <c r="AG5" s="4"/>
      <c r="AH5" s="4"/>
      <c r="AI5" s="4"/>
      <c r="AJ5" s="4"/>
      <c r="AK5" s="5"/>
      <c r="AL5" s="3"/>
      <c r="AM5" s="4"/>
      <c r="AN5" s="4"/>
      <c r="AO5" s="4"/>
      <c r="AP5" s="4"/>
      <c r="AQ5" s="5"/>
      <c r="AR5" s="682">
        <f t="shared" si="10"/>
        <v>990</v>
      </c>
      <c r="AS5" s="4">
        <f t="shared" si="11"/>
        <v>0</v>
      </c>
      <c r="AT5" s="386">
        <f t="shared" si="12"/>
        <v>743</v>
      </c>
      <c r="AU5" s="386">
        <f t="shared" si="84"/>
        <v>743</v>
      </c>
      <c r="AV5" s="386">
        <f t="shared" si="14"/>
        <v>1248.6950000000002</v>
      </c>
      <c r="AW5" s="387">
        <f t="shared" si="15"/>
        <v>21227815</v>
      </c>
      <c r="AX5" s="3"/>
      <c r="AY5" s="4"/>
      <c r="AZ5" s="4"/>
      <c r="BA5" s="4"/>
      <c r="BB5" s="4"/>
      <c r="BC5" s="5"/>
      <c r="BD5" s="682">
        <f t="shared" si="16"/>
        <v>0</v>
      </c>
      <c r="BE5" s="4">
        <f t="shared" si="17"/>
        <v>32</v>
      </c>
      <c r="BF5" s="386">
        <f t="shared" si="18"/>
        <v>5</v>
      </c>
      <c r="BG5" s="386">
        <f t="shared" si="85"/>
        <v>37</v>
      </c>
      <c r="BH5" s="386">
        <f t="shared" si="20"/>
        <v>56.970000000000013</v>
      </c>
      <c r="BI5" s="387">
        <f t="shared" si="21"/>
        <v>1034005.5</v>
      </c>
      <c r="BJ5" s="682" t="str">
        <f t="shared" si="22"/>
        <v/>
      </c>
      <c r="BK5" s="4" t="str">
        <f t="shared" si="23"/>
        <v/>
      </c>
      <c r="BL5" s="386" t="str">
        <f t="shared" si="24"/>
        <v/>
      </c>
      <c r="BM5" s="386">
        <f t="shared" si="25"/>
        <v>0</v>
      </c>
      <c r="BN5" s="386" t="str">
        <f t="shared" si="26"/>
        <v/>
      </c>
      <c r="BO5" s="387" t="str">
        <f t="shared" si="27"/>
        <v/>
      </c>
      <c r="BP5" s="682">
        <f t="shared" si="28"/>
        <v>0</v>
      </c>
      <c r="BQ5" s="4">
        <f t="shared" si="29"/>
        <v>0</v>
      </c>
      <c r="BR5" s="386">
        <f t="shared" si="30"/>
        <v>37.5</v>
      </c>
      <c r="BS5" s="386">
        <f t="shared" si="86"/>
        <v>37.5</v>
      </c>
      <c r="BT5" s="386">
        <f t="shared" si="32"/>
        <v>36.450000000000003</v>
      </c>
      <c r="BU5" s="387">
        <f t="shared" si="33"/>
        <v>601425.00000000012</v>
      </c>
      <c r="BV5" s="682" t="str">
        <f t="shared" si="34"/>
        <v/>
      </c>
      <c r="BW5" s="4" t="str">
        <f t="shared" si="35"/>
        <v/>
      </c>
      <c r="BX5" s="386" t="str">
        <f t="shared" si="36"/>
        <v/>
      </c>
      <c r="BY5" s="386">
        <f t="shared" si="37"/>
        <v>0</v>
      </c>
      <c r="BZ5" s="386" t="str">
        <f t="shared" si="38"/>
        <v/>
      </c>
      <c r="CA5" s="387" t="str">
        <f t="shared" si="39"/>
        <v/>
      </c>
      <c r="CB5" s="682" t="str">
        <f t="shared" si="40"/>
        <v/>
      </c>
      <c r="CC5" s="4" t="str">
        <f t="shared" si="41"/>
        <v/>
      </c>
      <c r="CD5" s="386" t="str">
        <f t="shared" si="42"/>
        <v/>
      </c>
      <c r="CE5" s="386">
        <f t="shared" si="43"/>
        <v>0</v>
      </c>
      <c r="CF5" s="386" t="str">
        <f t="shared" si="44"/>
        <v/>
      </c>
      <c r="CG5" s="387" t="str">
        <f t="shared" si="45"/>
        <v/>
      </c>
      <c r="CH5" s="682">
        <f t="shared" si="46"/>
        <v>0</v>
      </c>
      <c r="CI5" s="4">
        <f t="shared" si="47"/>
        <v>0</v>
      </c>
      <c r="CJ5" s="386">
        <f t="shared" si="48"/>
        <v>1000</v>
      </c>
      <c r="CK5" s="386">
        <f t="shared" si="87"/>
        <v>1000</v>
      </c>
      <c r="CL5" s="386">
        <f t="shared" si="50"/>
        <v>1437</v>
      </c>
      <c r="CM5" s="387">
        <f t="shared" si="51"/>
        <v>33769500</v>
      </c>
      <c r="CN5" s="682">
        <f t="shared" si="52"/>
        <v>0</v>
      </c>
      <c r="CO5" s="4">
        <f t="shared" si="53"/>
        <v>10</v>
      </c>
      <c r="CP5" s="386">
        <f t="shared" si="54"/>
        <v>20</v>
      </c>
      <c r="CQ5" s="386">
        <f t="shared" si="88"/>
        <v>30</v>
      </c>
      <c r="CR5" s="386">
        <f t="shared" si="56"/>
        <v>64.61</v>
      </c>
      <c r="CS5" s="387">
        <f t="shared" si="57"/>
        <v>1106123.2</v>
      </c>
      <c r="CT5" s="682" t="str">
        <f t="shared" si="58"/>
        <v/>
      </c>
      <c r="CU5" s="4" t="str">
        <f t="shared" si="59"/>
        <v/>
      </c>
      <c r="CV5" s="386" t="str">
        <f t="shared" si="60"/>
        <v/>
      </c>
      <c r="CW5" s="386">
        <f t="shared" si="89"/>
        <v>0</v>
      </c>
      <c r="CX5" s="386" t="str">
        <f t="shared" si="62"/>
        <v/>
      </c>
      <c r="CY5" s="387" t="str">
        <f t="shared" si="63"/>
        <v/>
      </c>
      <c r="CZ5" s="682">
        <f t="shared" si="64"/>
        <v>10</v>
      </c>
      <c r="DA5" s="4">
        <f t="shared" si="65"/>
        <v>7.75</v>
      </c>
      <c r="DB5" s="386">
        <f t="shared" si="66"/>
        <v>0</v>
      </c>
      <c r="DC5" s="386">
        <f t="shared" si="90"/>
        <v>7.75</v>
      </c>
      <c r="DD5" s="386">
        <f t="shared" si="68"/>
        <v>1.8406250000000002</v>
      </c>
      <c r="DE5" s="387">
        <f t="shared" si="69"/>
        <v>36131.46875</v>
      </c>
      <c r="DF5" s="682" t="str">
        <f t="shared" si="70"/>
        <v/>
      </c>
      <c r="DG5" s="4" t="str">
        <f t="shared" si="71"/>
        <v/>
      </c>
      <c r="DH5" s="386" t="str">
        <f t="shared" si="72"/>
        <v/>
      </c>
      <c r="DI5" s="386">
        <f t="shared" si="73"/>
        <v>0</v>
      </c>
      <c r="DJ5" s="386" t="str">
        <f t="shared" si="74"/>
        <v/>
      </c>
      <c r="DK5" s="387" t="str">
        <f t="shared" si="75"/>
        <v/>
      </c>
      <c r="DL5" s="682" t="str">
        <f t="shared" si="76"/>
        <v/>
      </c>
      <c r="DM5" s="4" t="str">
        <f t="shared" si="77"/>
        <v/>
      </c>
      <c r="DN5" s="386" t="str">
        <f t="shared" si="78"/>
        <v/>
      </c>
      <c r="DO5" s="386">
        <f t="shared" si="79"/>
        <v>0</v>
      </c>
      <c r="DP5" s="386" t="str">
        <f t="shared" si="80"/>
        <v/>
      </c>
      <c r="DQ5" s="387" t="str">
        <f t="shared" si="81"/>
        <v/>
      </c>
    </row>
    <row r="6" spans="1:121" customFormat="1" x14ac:dyDescent="0.25">
      <c r="A6" t="s">
        <v>45</v>
      </c>
      <c r="B6" t="s">
        <v>33</v>
      </c>
      <c r="C6" t="s">
        <v>34</v>
      </c>
      <c r="D6" t="s">
        <v>35</v>
      </c>
      <c r="E6" t="s">
        <v>36</v>
      </c>
      <c r="F6" t="s">
        <v>46</v>
      </c>
      <c r="G6" t="s">
        <v>47</v>
      </c>
      <c r="H6" s="3"/>
      <c r="I6" s="4"/>
      <c r="J6" s="4"/>
      <c r="K6" s="4"/>
      <c r="L6" s="4"/>
      <c r="M6" s="5"/>
      <c r="N6" s="385">
        <f t="shared" si="0"/>
        <v>30</v>
      </c>
      <c r="O6" s="386">
        <f t="shared" si="1"/>
        <v>0</v>
      </c>
      <c r="P6" s="386">
        <f t="shared" si="2"/>
        <v>15</v>
      </c>
      <c r="Q6" s="386">
        <f t="shared" si="82"/>
        <v>15</v>
      </c>
      <c r="R6" s="386">
        <f t="shared" si="3"/>
        <v>26.25</v>
      </c>
      <c r="S6" s="387">
        <f t="shared" si="4"/>
        <v>393750</v>
      </c>
      <c r="T6" s="385">
        <f t="shared" si="5"/>
        <v>0</v>
      </c>
      <c r="U6" s="386">
        <f t="shared" si="6"/>
        <v>0</v>
      </c>
      <c r="V6" s="386">
        <f t="shared" si="7"/>
        <v>120</v>
      </c>
      <c r="W6" s="386">
        <f t="shared" si="83"/>
        <v>120</v>
      </c>
      <c r="X6" s="386">
        <f t="shared" si="8"/>
        <v>90</v>
      </c>
      <c r="Y6" s="387">
        <f t="shared" si="9"/>
        <v>1350000</v>
      </c>
      <c r="Z6" s="3"/>
      <c r="AA6" s="4"/>
      <c r="AB6" s="4"/>
      <c r="AC6" s="4"/>
      <c r="AD6" s="4"/>
      <c r="AE6" s="5"/>
      <c r="AF6" s="3"/>
      <c r="AG6" s="4"/>
      <c r="AH6" s="4"/>
      <c r="AI6" s="4"/>
      <c r="AJ6" s="4"/>
      <c r="AK6" s="5"/>
      <c r="AL6" s="3"/>
      <c r="AM6" s="4"/>
      <c r="AN6" s="4"/>
      <c r="AO6" s="4"/>
      <c r="AP6" s="4"/>
      <c r="AQ6" s="5"/>
      <c r="AR6" s="682">
        <f t="shared" si="10"/>
        <v>700</v>
      </c>
      <c r="AS6" s="4">
        <f t="shared" si="11"/>
        <v>0</v>
      </c>
      <c r="AT6" s="386">
        <f t="shared" si="12"/>
        <v>525</v>
      </c>
      <c r="AU6" s="386">
        <f t="shared" si="84"/>
        <v>525</v>
      </c>
      <c r="AV6" s="386">
        <f t="shared" si="14"/>
        <v>857.66699999999992</v>
      </c>
      <c r="AW6" s="387">
        <f t="shared" si="15"/>
        <v>14580338.999999998</v>
      </c>
      <c r="AX6" s="3"/>
      <c r="AY6" s="4"/>
      <c r="AZ6" s="4"/>
      <c r="BA6" s="4"/>
      <c r="BB6" s="4"/>
      <c r="BC6" s="5"/>
      <c r="BD6" s="682">
        <f t="shared" si="16"/>
        <v>0</v>
      </c>
      <c r="BE6" s="4">
        <f t="shared" si="17"/>
        <v>68</v>
      </c>
      <c r="BF6" s="386">
        <f t="shared" si="18"/>
        <v>0</v>
      </c>
      <c r="BG6" s="386">
        <f t="shared" si="85"/>
        <v>68</v>
      </c>
      <c r="BH6" s="386">
        <f t="shared" si="20"/>
        <v>49.640000000000022</v>
      </c>
      <c r="BI6" s="387">
        <f t="shared" si="21"/>
        <v>900966.00000000035</v>
      </c>
      <c r="BJ6" s="682" t="str">
        <f t="shared" si="22"/>
        <v/>
      </c>
      <c r="BK6" s="4" t="str">
        <f t="shared" si="23"/>
        <v/>
      </c>
      <c r="BL6" s="386" t="str">
        <f t="shared" si="24"/>
        <v/>
      </c>
      <c r="BM6" s="386">
        <f t="shared" si="25"/>
        <v>0</v>
      </c>
      <c r="BN6" s="386" t="str">
        <f t="shared" si="26"/>
        <v/>
      </c>
      <c r="BO6" s="387" t="str">
        <f t="shared" si="27"/>
        <v/>
      </c>
      <c r="BP6" s="682">
        <f t="shared" si="28"/>
        <v>0</v>
      </c>
      <c r="BQ6" s="4">
        <f t="shared" si="29"/>
        <v>0.2</v>
      </c>
      <c r="BR6" s="386">
        <f t="shared" si="30"/>
        <v>544.6</v>
      </c>
      <c r="BS6" s="386">
        <f t="shared" si="86"/>
        <v>544.80000000000007</v>
      </c>
      <c r="BT6" s="386">
        <f t="shared" si="32"/>
        <v>222.55155000000002</v>
      </c>
      <c r="BU6" s="387">
        <f t="shared" si="33"/>
        <v>3672100.5750000002</v>
      </c>
      <c r="BV6" s="682" t="str">
        <f t="shared" si="34"/>
        <v/>
      </c>
      <c r="BW6" s="4" t="str">
        <f t="shared" si="35"/>
        <v/>
      </c>
      <c r="BX6" s="386" t="str">
        <f t="shared" si="36"/>
        <v/>
      </c>
      <c r="BY6" s="386">
        <f t="shared" si="37"/>
        <v>0</v>
      </c>
      <c r="BZ6" s="386" t="str">
        <f t="shared" si="38"/>
        <v/>
      </c>
      <c r="CA6" s="387" t="str">
        <f t="shared" si="39"/>
        <v/>
      </c>
      <c r="CB6" s="682" t="str">
        <f t="shared" si="40"/>
        <v/>
      </c>
      <c r="CC6" s="4" t="str">
        <f t="shared" si="41"/>
        <v/>
      </c>
      <c r="CD6" s="386" t="str">
        <f t="shared" si="42"/>
        <v/>
      </c>
      <c r="CE6" s="386">
        <f t="shared" si="43"/>
        <v>0</v>
      </c>
      <c r="CF6" s="386" t="str">
        <f t="shared" si="44"/>
        <v/>
      </c>
      <c r="CG6" s="387" t="str">
        <f t="shared" si="45"/>
        <v/>
      </c>
      <c r="CH6" s="682">
        <f t="shared" si="46"/>
        <v>0</v>
      </c>
      <c r="CI6" s="4">
        <f t="shared" si="47"/>
        <v>0</v>
      </c>
      <c r="CJ6" s="386">
        <f t="shared" si="48"/>
        <v>131</v>
      </c>
      <c r="CK6" s="386">
        <f t="shared" si="87"/>
        <v>131</v>
      </c>
      <c r="CL6" s="386">
        <f t="shared" si="50"/>
        <v>90.052000000000007</v>
      </c>
      <c r="CM6" s="387">
        <f t="shared" si="51"/>
        <v>2116222</v>
      </c>
      <c r="CN6" s="682" t="str">
        <f t="shared" si="52"/>
        <v/>
      </c>
      <c r="CO6" s="4" t="str">
        <f t="shared" si="53"/>
        <v/>
      </c>
      <c r="CP6" s="386" t="str">
        <f t="shared" si="54"/>
        <v/>
      </c>
      <c r="CQ6" s="386">
        <f t="shared" si="88"/>
        <v>0</v>
      </c>
      <c r="CR6" s="386" t="str">
        <f t="shared" si="56"/>
        <v/>
      </c>
      <c r="CS6" s="387" t="str">
        <f t="shared" si="57"/>
        <v/>
      </c>
      <c r="CT6" s="682" t="str">
        <f t="shared" si="58"/>
        <v/>
      </c>
      <c r="CU6" s="4" t="str">
        <f t="shared" si="59"/>
        <v/>
      </c>
      <c r="CV6" s="386" t="str">
        <f t="shared" si="60"/>
        <v/>
      </c>
      <c r="CW6" s="386">
        <f t="shared" si="89"/>
        <v>0</v>
      </c>
      <c r="CX6" s="386" t="str">
        <f t="shared" si="62"/>
        <v/>
      </c>
      <c r="CY6" s="387" t="str">
        <f t="shared" si="63"/>
        <v/>
      </c>
      <c r="CZ6" s="682">
        <f t="shared" si="64"/>
        <v>400</v>
      </c>
      <c r="DA6" s="4">
        <f t="shared" si="65"/>
        <v>300</v>
      </c>
      <c r="DB6" s="386">
        <f t="shared" si="66"/>
        <v>0</v>
      </c>
      <c r="DC6" s="386">
        <f t="shared" si="90"/>
        <v>300</v>
      </c>
      <c r="DD6" s="386">
        <f t="shared" si="68"/>
        <v>83.837500000000006</v>
      </c>
      <c r="DE6" s="387">
        <f t="shared" si="69"/>
        <v>1645730.125</v>
      </c>
      <c r="DF6" s="682" t="str">
        <f t="shared" si="70"/>
        <v/>
      </c>
      <c r="DG6" s="4" t="str">
        <f t="shared" si="71"/>
        <v/>
      </c>
      <c r="DH6" s="386" t="str">
        <f t="shared" si="72"/>
        <v/>
      </c>
      <c r="DI6" s="386">
        <f t="shared" si="73"/>
        <v>0</v>
      </c>
      <c r="DJ6" s="386" t="str">
        <f t="shared" si="74"/>
        <v/>
      </c>
      <c r="DK6" s="387" t="str">
        <f t="shared" si="75"/>
        <v/>
      </c>
      <c r="DL6" s="682" t="str">
        <f t="shared" si="76"/>
        <v/>
      </c>
      <c r="DM6" s="4" t="str">
        <f t="shared" si="77"/>
        <v/>
      </c>
      <c r="DN6" s="386" t="str">
        <f t="shared" si="78"/>
        <v/>
      </c>
      <c r="DO6" s="386">
        <f t="shared" si="79"/>
        <v>0</v>
      </c>
      <c r="DP6" s="386" t="str">
        <f t="shared" si="80"/>
        <v/>
      </c>
      <c r="DQ6" s="387" t="str">
        <f t="shared" si="81"/>
        <v/>
      </c>
    </row>
    <row r="7" spans="1:121" customFormat="1" x14ac:dyDescent="0.25">
      <c r="A7" t="s">
        <v>48</v>
      </c>
      <c r="B7" t="s">
        <v>33</v>
      </c>
      <c r="C7" t="s">
        <v>34</v>
      </c>
      <c r="D7" t="s">
        <v>35</v>
      </c>
      <c r="E7" t="s">
        <v>36</v>
      </c>
      <c r="F7" t="s">
        <v>49</v>
      </c>
      <c r="G7" t="s">
        <v>50</v>
      </c>
      <c r="H7" s="3"/>
      <c r="I7" s="4"/>
      <c r="J7" s="4"/>
      <c r="K7" s="4"/>
      <c r="L7" s="4"/>
      <c r="M7" s="5"/>
      <c r="N7" s="385" t="str">
        <f t="shared" si="0"/>
        <v/>
      </c>
      <c r="O7" s="386" t="str">
        <f t="shared" si="1"/>
        <v/>
      </c>
      <c r="P7" s="386" t="str">
        <f t="shared" si="2"/>
        <v/>
      </c>
      <c r="Q7" s="386">
        <f t="shared" si="82"/>
        <v>0</v>
      </c>
      <c r="R7" s="386" t="str">
        <f t="shared" si="3"/>
        <v/>
      </c>
      <c r="S7" s="387" t="str">
        <f t="shared" si="4"/>
        <v/>
      </c>
      <c r="T7" s="385" t="str">
        <f t="shared" si="5"/>
        <v/>
      </c>
      <c r="U7" s="386" t="str">
        <f t="shared" si="6"/>
        <v/>
      </c>
      <c r="V7" s="386" t="str">
        <f t="shared" si="7"/>
        <v/>
      </c>
      <c r="W7" s="386">
        <f t="shared" si="83"/>
        <v>0</v>
      </c>
      <c r="X7" s="386" t="str">
        <f t="shared" si="8"/>
        <v/>
      </c>
      <c r="Y7" s="387" t="str">
        <f t="shared" si="9"/>
        <v/>
      </c>
      <c r="Z7" s="3"/>
      <c r="AA7" s="4"/>
      <c r="AB7" s="4"/>
      <c r="AC7" s="4"/>
      <c r="AD7" s="4"/>
      <c r="AE7" s="5"/>
      <c r="AF7" s="3"/>
      <c r="AG7" s="4"/>
      <c r="AH7" s="4"/>
      <c r="AI7" s="4"/>
      <c r="AJ7" s="4"/>
      <c r="AK7" s="5"/>
      <c r="AL7" s="3"/>
      <c r="AM7" s="4"/>
      <c r="AN7" s="4"/>
      <c r="AO7" s="4"/>
      <c r="AP7" s="4"/>
      <c r="AQ7" s="5"/>
      <c r="AR7" s="682" t="str">
        <f t="shared" si="10"/>
        <v/>
      </c>
      <c r="AS7" s="4" t="str">
        <f t="shared" si="11"/>
        <v/>
      </c>
      <c r="AT7" s="386" t="str">
        <f t="shared" si="12"/>
        <v/>
      </c>
      <c r="AU7" s="386">
        <f t="shared" si="84"/>
        <v>0</v>
      </c>
      <c r="AV7" s="386" t="str">
        <f t="shared" si="14"/>
        <v/>
      </c>
      <c r="AW7" s="387" t="str">
        <f t="shared" si="15"/>
        <v/>
      </c>
      <c r="AX7" s="3"/>
      <c r="AY7" s="4"/>
      <c r="AZ7" s="4"/>
      <c r="BA7" s="4"/>
      <c r="BB7" s="4"/>
      <c r="BC7" s="5"/>
      <c r="BD7" s="682" t="str">
        <f t="shared" si="16"/>
        <v/>
      </c>
      <c r="BE7" s="4" t="str">
        <f t="shared" si="17"/>
        <v/>
      </c>
      <c r="BF7" s="386" t="str">
        <f t="shared" si="18"/>
        <v/>
      </c>
      <c r="BG7" s="386">
        <f t="shared" si="85"/>
        <v>0</v>
      </c>
      <c r="BH7" s="386" t="str">
        <f t="shared" si="20"/>
        <v/>
      </c>
      <c r="BI7" s="387" t="str">
        <f t="shared" si="21"/>
        <v/>
      </c>
      <c r="BJ7" s="682" t="str">
        <f t="shared" si="22"/>
        <v/>
      </c>
      <c r="BK7" s="4" t="str">
        <f t="shared" si="23"/>
        <v/>
      </c>
      <c r="BL7" s="386" t="str">
        <f t="shared" si="24"/>
        <v/>
      </c>
      <c r="BM7" s="386">
        <f t="shared" si="25"/>
        <v>0</v>
      </c>
      <c r="BN7" s="386" t="str">
        <f t="shared" si="26"/>
        <v/>
      </c>
      <c r="BO7" s="387" t="str">
        <f t="shared" si="27"/>
        <v/>
      </c>
      <c r="BP7" s="682" t="str">
        <f t="shared" si="28"/>
        <v/>
      </c>
      <c r="BQ7" s="4" t="str">
        <f t="shared" si="29"/>
        <v/>
      </c>
      <c r="BR7" s="386" t="str">
        <f t="shared" si="30"/>
        <v/>
      </c>
      <c r="BS7" s="386">
        <f t="shared" si="86"/>
        <v>0</v>
      </c>
      <c r="BT7" s="386" t="str">
        <f t="shared" si="32"/>
        <v/>
      </c>
      <c r="BU7" s="387" t="str">
        <f t="shared" si="33"/>
        <v/>
      </c>
      <c r="BV7" s="682" t="str">
        <f t="shared" si="34"/>
        <v/>
      </c>
      <c r="BW7" s="4" t="str">
        <f t="shared" si="35"/>
        <v/>
      </c>
      <c r="BX7" s="386" t="str">
        <f t="shared" si="36"/>
        <v/>
      </c>
      <c r="BY7" s="386">
        <f t="shared" si="37"/>
        <v>0</v>
      </c>
      <c r="BZ7" s="386" t="str">
        <f t="shared" si="38"/>
        <v/>
      </c>
      <c r="CA7" s="387" t="str">
        <f t="shared" si="39"/>
        <v/>
      </c>
      <c r="CB7" s="682" t="str">
        <f t="shared" si="40"/>
        <v/>
      </c>
      <c r="CC7" s="4" t="str">
        <f t="shared" si="41"/>
        <v/>
      </c>
      <c r="CD7" s="386" t="str">
        <f t="shared" si="42"/>
        <v/>
      </c>
      <c r="CE7" s="386">
        <f t="shared" si="43"/>
        <v>0</v>
      </c>
      <c r="CF7" s="386" t="str">
        <f t="shared" si="44"/>
        <v/>
      </c>
      <c r="CG7" s="387" t="str">
        <f t="shared" si="45"/>
        <v/>
      </c>
      <c r="CH7" s="682" t="str">
        <f t="shared" si="46"/>
        <v/>
      </c>
      <c r="CI7" s="4" t="str">
        <f t="shared" si="47"/>
        <v/>
      </c>
      <c r="CJ7" s="386" t="str">
        <f t="shared" si="48"/>
        <v/>
      </c>
      <c r="CK7" s="386">
        <f t="shared" si="87"/>
        <v>0</v>
      </c>
      <c r="CL7" s="386" t="str">
        <f t="shared" si="50"/>
        <v/>
      </c>
      <c r="CM7" s="387" t="str">
        <f t="shared" si="51"/>
        <v/>
      </c>
      <c r="CN7" s="682" t="str">
        <f t="shared" si="52"/>
        <v/>
      </c>
      <c r="CO7" s="4" t="str">
        <f t="shared" si="53"/>
        <v/>
      </c>
      <c r="CP7" s="386" t="str">
        <f t="shared" si="54"/>
        <v/>
      </c>
      <c r="CQ7" s="386">
        <f t="shared" si="88"/>
        <v>0</v>
      </c>
      <c r="CR7" s="386" t="str">
        <f t="shared" si="56"/>
        <v/>
      </c>
      <c r="CS7" s="387" t="str">
        <f t="shared" si="57"/>
        <v/>
      </c>
      <c r="CT7" s="682" t="str">
        <f t="shared" si="58"/>
        <v/>
      </c>
      <c r="CU7" s="4" t="str">
        <f t="shared" si="59"/>
        <v/>
      </c>
      <c r="CV7" s="386" t="str">
        <f t="shared" si="60"/>
        <v/>
      </c>
      <c r="CW7" s="386">
        <f t="shared" si="89"/>
        <v>0</v>
      </c>
      <c r="CX7" s="386" t="str">
        <f t="shared" si="62"/>
        <v/>
      </c>
      <c r="CY7" s="387" t="str">
        <f t="shared" si="63"/>
        <v/>
      </c>
      <c r="CZ7" s="682" t="str">
        <f t="shared" si="64"/>
        <v/>
      </c>
      <c r="DA7" s="4" t="str">
        <f t="shared" si="65"/>
        <v/>
      </c>
      <c r="DB7" s="386" t="str">
        <f t="shared" si="66"/>
        <v/>
      </c>
      <c r="DC7" s="386">
        <f t="shared" si="90"/>
        <v>0</v>
      </c>
      <c r="DD7" s="386" t="str">
        <f t="shared" si="68"/>
        <v/>
      </c>
      <c r="DE7" s="387" t="str">
        <f t="shared" si="69"/>
        <v/>
      </c>
      <c r="DF7" s="682" t="str">
        <f t="shared" si="70"/>
        <v/>
      </c>
      <c r="DG7" s="4" t="str">
        <f t="shared" si="71"/>
        <v/>
      </c>
      <c r="DH7" s="386" t="str">
        <f t="shared" si="72"/>
        <v/>
      </c>
      <c r="DI7" s="386">
        <f t="shared" si="73"/>
        <v>0</v>
      </c>
      <c r="DJ7" s="386" t="str">
        <f t="shared" si="74"/>
        <v/>
      </c>
      <c r="DK7" s="387" t="str">
        <f t="shared" si="75"/>
        <v/>
      </c>
      <c r="DL7" s="682" t="str">
        <f t="shared" si="76"/>
        <v/>
      </c>
      <c r="DM7" s="4" t="str">
        <f t="shared" si="77"/>
        <v/>
      </c>
      <c r="DN7" s="386" t="str">
        <f t="shared" si="78"/>
        <v/>
      </c>
      <c r="DO7" s="386">
        <f t="shared" si="79"/>
        <v>0</v>
      </c>
      <c r="DP7" s="386" t="str">
        <f t="shared" si="80"/>
        <v/>
      </c>
      <c r="DQ7" s="387" t="str">
        <f t="shared" si="81"/>
        <v/>
      </c>
    </row>
    <row r="8" spans="1:121" customFormat="1" x14ac:dyDescent="0.25">
      <c r="A8" t="s">
        <v>51</v>
      </c>
      <c r="B8" t="s">
        <v>33</v>
      </c>
      <c r="C8" t="s">
        <v>34</v>
      </c>
      <c r="D8" t="s">
        <v>35</v>
      </c>
      <c r="E8" t="s">
        <v>36</v>
      </c>
      <c r="F8" t="s">
        <v>52</v>
      </c>
      <c r="G8" t="s">
        <v>53</v>
      </c>
      <c r="H8" s="3"/>
      <c r="I8" s="4"/>
      <c r="J8" s="4"/>
      <c r="K8" s="4"/>
      <c r="L8" s="4"/>
      <c r="M8" s="5"/>
      <c r="N8" s="385">
        <f t="shared" si="0"/>
        <v>3</v>
      </c>
      <c r="O8" s="386">
        <f t="shared" si="1"/>
        <v>0</v>
      </c>
      <c r="P8" s="386">
        <f t="shared" si="2"/>
        <v>1.75</v>
      </c>
      <c r="Q8" s="386">
        <f t="shared" si="82"/>
        <v>1.75</v>
      </c>
      <c r="R8" s="386">
        <f t="shared" si="3"/>
        <v>1.3125</v>
      </c>
      <c r="S8" s="387">
        <f t="shared" si="4"/>
        <v>19687.5</v>
      </c>
      <c r="T8" s="385">
        <f t="shared" si="5"/>
        <v>0</v>
      </c>
      <c r="U8" s="386">
        <f t="shared" si="6"/>
        <v>0</v>
      </c>
      <c r="V8" s="386">
        <f t="shared" si="7"/>
        <v>75</v>
      </c>
      <c r="W8" s="386">
        <f t="shared" si="83"/>
        <v>75</v>
      </c>
      <c r="X8" s="386">
        <f t="shared" si="8"/>
        <v>56.25</v>
      </c>
      <c r="Y8" s="387">
        <f t="shared" si="9"/>
        <v>843750</v>
      </c>
      <c r="Z8" s="3"/>
      <c r="AA8" s="4"/>
      <c r="AB8" s="4"/>
      <c r="AC8" s="4"/>
      <c r="AD8" s="4"/>
      <c r="AE8" s="5"/>
      <c r="AF8" s="3"/>
      <c r="AG8" s="4"/>
      <c r="AH8" s="4"/>
      <c r="AI8" s="4"/>
      <c r="AJ8" s="4"/>
      <c r="AK8" s="5"/>
      <c r="AL8" s="3"/>
      <c r="AM8" s="4"/>
      <c r="AN8" s="4"/>
      <c r="AO8" s="4"/>
      <c r="AP8" s="4"/>
      <c r="AQ8" s="5"/>
      <c r="AR8" s="682">
        <f t="shared" si="10"/>
        <v>695</v>
      </c>
      <c r="AS8" s="4">
        <f t="shared" si="11"/>
        <v>0</v>
      </c>
      <c r="AT8" s="386">
        <f t="shared" si="12"/>
        <v>521</v>
      </c>
      <c r="AU8" s="386">
        <f t="shared" si="84"/>
        <v>521</v>
      </c>
      <c r="AV8" s="386">
        <f t="shared" si="14"/>
        <v>1015.836</v>
      </c>
      <c r="AW8" s="387">
        <f t="shared" si="15"/>
        <v>17269212</v>
      </c>
      <c r="AX8" s="3"/>
      <c r="AY8" s="4"/>
      <c r="AZ8" s="4"/>
      <c r="BA8" s="4"/>
      <c r="BB8" s="4"/>
      <c r="BC8" s="5"/>
      <c r="BD8" s="682">
        <f t="shared" si="16"/>
        <v>0</v>
      </c>
      <c r="BE8" s="4">
        <f t="shared" si="17"/>
        <v>134</v>
      </c>
      <c r="BF8" s="386">
        <f t="shared" si="18"/>
        <v>0</v>
      </c>
      <c r="BG8" s="386">
        <f t="shared" si="85"/>
        <v>134</v>
      </c>
      <c r="BH8" s="386">
        <f t="shared" si="20"/>
        <v>97.82000000000005</v>
      </c>
      <c r="BI8" s="387">
        <f t="shared" si="21"/>
        <v>1775433.0000000007</v>
      </c>
      <c r="BJ8" s="682" t="str">
        <f t="shared" si="22"/>
        <v/>
      </c>
      <c r="BK8" s="4" t="str">
        <f t="shared" si="23"/>
        <v/>
      </c>
      <c r="BL8" s="386" t="str">
        <f t="shared" si="24"/>
        <v/>
      </c>
      <c r="BM8" s="386">
        <f t="shared" si="25"/>
        <v>0</v>
      </c>
      <c r="BN8" s="386" t="str">
        <f t="shared" si="26"/>
        <v/>
      </c>
      <c r="BO8" s="387" t="str">
        <f t="shared" si="27"/>
        <v/>
      </c>
      <c r="BP8" s="682">
        <f t="shared" si="28"/>
        <v>0</v>
      </c>
      <c r="BQ8" s="4">
        <f t="shared" si="29"/>
        <v>0</v>
      </c>
      <c r="BR8" s="386">
        <f t="shared" si="30"/>
        <v>186.98</v>
      </c>
      <c r="BS8" s="386">
        <f t="shared" si="86"/>
        <v>186.98</v>
      </c>
      <c r="BT8" s="386">
        <f t="shared" si="32"/>
        <v>146.15478000000002</v>
      </c>
      <c r="BU8" s="387">
        <f t="shared" si="33"/>
        <v>2411553.87</v>
      </c>
      <c r="BV8" s="682" t="str">
        <f t="shared" si="34"/>
        <v/>
      </c>
      <c r="BW8" s="4" t="str">
        <f t="shared" si="35"/>
        <v/>
      </c>
      <c r="BX8" s="386" t="str">
        <f t="shared" si="36"/>
        <v/>
      </c>
      <c r="BY8" s="386">
        <f t="shared" si="37"/>
        <v>0</v>
      </c>
      <c r="BZ8" s="386" t="str">
        <f t="shared" si="38"/>
        <v/>
      </c>
      <c r="CA8" s="387" t="str">
        <f t="shared" si="39"/>
        <v/>
      </c>
      <c r="CB8" s="682" t="str">
        <f t="shared" si="40"/>
        <v/>
      </c>
      <c r="CC8" s="4" t="str">
        <f t="shared" si="41"/>
        <v/>
      </c>
      <c r="CD8" s="386" t="str">
        <f t="shared" si="42"/>
        <v/>
      </c>
      <c r="CE8" s="386">
        <f t="shared" si="43"/>
        <v>0</v>
      </c>
      <c r="CF8" s="386" t="str">
        <f t="shared" si="44"/>
        <v/>
      </c>
      <c r="CG8" s="387" t="str">
        <f t="shared" si="45"/>
        <v/>
      </c>
      <c r="CH8" s="682">
        <f t="shared" si="46"/>
        <v>0</v>
      </c>
      <c r="CI8" s="4">
        <f t="shared" si="47"/>
        <v>0</v>
      </c>
      <c r="CJ8" s="386">
        <f t="shared" si="48"/>
        <v>504</v>
      </c>
      <c r="CK8" s="386">
        <f t="shared" si="87"/>
        <v>504</v>
      </c>
      <c r="CL8" s="386">
        <f t="shared" si="50"/>
        <v>354.93900000000002</v>
      </c>
      <c r="CM8" s="387">
        <f t="shared" si="51"/>
        <v>8341066.5</v>
      </c>
      <c r="CN8" s="682" t="str">
        <f t="shared" si="52"/>
        <v/>
      </c>
      <c r="CO8" s="4" t="str">
        <f t="shared" si="53"/>
        <v/>
      </c>
      <c r="CP8" s="386" t="str">
        <f t="shared" si="54"/>
        <v/>
      </c>
      <c r="CQ8" s="386">
        <f t="shared" si="88"/>
        <v>0</v>
      </c>
      <c r="CR8" s="386" t="str">
        <f t="shared" si="56"/>
        <v/>
      </c>
      <c r="CS8" s="387" t="str">
        <f t="shared" si="57"/>
        <v/>
      </c>
      <c r="CT8" s="682" t="str">
        <f t="shared" si="58"/>
        <v/>
      </c>
      <c r="CU8" s="4" t="str">
        <f t="shared" si="59"/>
        <v/>
      </c>
      <c r="CV8" s="386" t="str">
        <f t="shared" si="60"/>
        <v/>
      </c>
      <c r="CW8" s="386">
        <f t="shared" si="89"/>
        <v>0</v>
      </c>
      <c r="CX8" s="386" t="str">
        <f t="shared" si="62"/>
        <v/>
      </c>
      <c r="CY8" s="387" t="str">
        <f t="shared" si="63"/>
        <v/>
      </c>
      <c r="CZ8" s="682">
        <f t="shared" si="64"/>
        <v>498</v>
      </c>
      <c r="DA8" s="4">
        <f t="shared" si="65"/>
        <v>376</v>
      </c>
      <c r="DB8" s="386">
        <f t="shared" si="66"/>
        <v>0</v>
      </c>
      <c r="DC8" s="386">
        <f t="shared" si="90"/>
        <v>376</v>
      </c>
      <c r="DD8" s="386">
        <f t="shared" si="68"/>
        <v>89.300000000000011</v>
      </c>
      <c r="DE8" s="387">
        <f t="shared" si="69"/>
        <v>1752959.0000000002</v>
      </c>
      <c r="DF8" s="682" t="str">
        <f t="shared" si="70"/>
        <v/>
      </c>
      <c r="DG8" s="4" t="str">
        <f t="shared" si="71"/>
        <v/>
      </c>
      <c r="DH8" s="386" t="str">
        <f t="shared" si="72"/>
        <v/>
      </c>
      <c r="DI8" s="386">
        <f t="shared" si="73"/>
        <v>0</v>
      </c>
      <c r="DJ8" s="386" t="str">
        <f t="shared" si="74"/>
        <v/>
      </c>
      <c r="DK8" s="387" t="str">
        <f t="shared" si="75"/>
        <v/>
      </c>
      <c r="DL8" s="682" t="str">
        <f t="shared" si="76"/>
        <v/>
      </c>
      <c r="DM8" s="4" t="str">
        <f t="shared" si="77"/>
        <v/>
      </c>
      <c r="DN8" s="386" t="str">
        <f t="shared" si="78"/>
        <v/>
      </c>
      <c r="DO8" s="386">
        <f t="shared" si="79"/>
        <v>0</v>
      </c>
      <c r="DP8" s="386" t="str">
        <f t="shared" si="80"/>
        <v/>
      </c>
      <c r="DQ8" s="387" t="str">
        <f t="shared" si="81"/>
        <v/>
      </c>
    </row>
    <row r="9" spans="1:121" customFormat="1" x14ac:dyDescent="0.25">
      <c r="A9" t="s">
        <v>54</v>
      </c>
      <c r="B9" t="s">
        <v>33</v>
      </c>
      <c r="C9" t="s">
        <v>34</v>
      </c>
      <c r="D9" t="s">
        <v>35</v>
      </c>
      <c r="E9" t="s">
        <v>36</v>
      </c>
      <c r="F9" t="s">
        <v>55</v>
      </c>
      <c r="G9" t="s">
        <v>56</v>
      </c>
      <c r="H9" s="3"/>
      <c r="I9" s="4"/>
      <c r="J9" s="4"/>
      <c r="K9" s="4"/>
      <c r="L9" s="4"/>
      <c r="M9" s="5"/>
      <c r="N9" s="385" t="str">
        <f t="shared" si="0"/>
        <v/>
      </c>
      <c r="O9" s="386" t="str">
        <f t="shared" si="1"/>
        <v/>
      </c>
      <c r="P9" s="386" t="str">
        <f t="shared" si="2"/>
        <v/>
      </c>
      <c r="Q9" s="386">
        <f t="shared" si="82"/>
        <v>0</v>
      </c>
      <c r="R9" s="386" t="str">
        <f t="shared" si="3"/>
        <v/>
      </c>
      <c r="S9" s="387" t="str">
        <f t="shared" si="4"/>
        <v/>
      </c>
      <c r="T9" s="385" t="str">
        <f t="shared" si="5"/>
        <v/>
      </c>
      <c r="U9" s="386" t="str">
        <f t="shared" si="6"/>
        <v/>
      </c>
      <c r="V9" s="386" t="str">
        <f t="shared" si="7"/>
        <v/>
      </c>
      <c r="W9" s="386">
        <f t="shared" si="83"/>
        <v>0</v>
      </c>
      <c r="X9" s="386" t="str">
        <f t="shared" si="8"/>
        <v/>
      </c>
      <c r="Y9" s="387" t="str">
        <f t="shared" si="9"/>
        <v/>
      </c>
      <c r="Z9" s="3"/>
      <c r="AA9" s="4"/>
      <c r="AB9" s="4"/>
      <c r="AC9" s="4"/>
      <c r="AD9" s="4"/>
      <c r="AE9" s="5"/>
      <c r="AF9" s="3"/>
      <c r="AG9" s="4"/>
      <c r="AH9" s="4"/>
      <c r="AI9" s="4"/>
      <c r="AJ9" s="4"/>
      <c r="AK9" s="5"/>
      <c r="AL9" s="3"/>
      <c r="AM9" s="4"/>
      <c r="AN9" s="4"/>
      <c r="AO9" s="4"/>
      <c r="AP9" s="4"/>
      <c r="AQ9" s="5"/>
      <c r="AR9" s="682">
        <f t="shared" si="10"/>
        <v>77</v>
      </c>
      <c r="AS9" s="4">
        <f t="shared" si="11"/>
        <v>0</v>
      </c>
      <c r="AT9" s="386">
        <f t="shared" si="12"/>
        <v>58</v>
      </c>
      <c r="AU9" s="386">
        <f t="shared" si="84"/>
        <v>58</v>
      </c>
      <c r="AV9" s="386">
        <f t="shared" si="14"/>
        <v>77.952000000000012</v>
      </c>
      <c r="AW9" s="387">
        <f t="shared" si="15"/>
        <v>1325184.0000000002</v>
      </c>
      <c r="AX9" s="3"/>
      <c r="AY9" s="4"/>
      <c r="AZ9" s="4"/>
      <c r="BA9" s="4"/>
      <c r="BB9" s="4"/>
      <c r="BC9" s="5"/>
      <c r="BD9" s="682">
        <f t="shared" si="16"/>
        <v>0</v>
      </c>
      <c r="BE9" s="4">
        <f t="shared" si="17"/>
        <v>12</v>
      </c>
      <c r="BF9" s="386">
        <f t="shared" si="18"/>
        <v>1</v>
      </c>
      <c r="BG9" s="386">
        <f t="shared" si="85"/>
        <v>13</v>
      </c>
      <c r="BH9" s="386">
        <f t="shared" si="20"/>
        <v>18.170000000000005</v>
      </c>
      <c r="BI9" s="387">
        <f t="shared" si="21"/>
        <v>329785.50000000006</v>
      </c>
      <c r="BJ9" s="682" t="str">
        <f t="shared" si="22"/>
        <v/>
      </c>
      <c r="BK9" s="4" t="str">
        <f t="shared" si="23"/>
        <v/>
      </c>
      <c r="BL9" s="386" t="str">
        <f t="shared" si="24"/>
        <v/>
      </c>
      <c r="BM9" s="386">
        <f t="shared" si="25"/>
        <v>0</v>
      </c>
      <c r="BN9" s="386" t="str">
        <f t="shared" si="26"/>
        <v/>
      </c>
      <c r="BO9" s="387" t="str">
        <f t="shared" si="27"/>
        <v/>
      </c>
      <c r="BP9" s="682" t="str">
        <f t="shared" si="28"/>
        <v/>
      </c>
      <c r="BQ9" s="4" t="str">
        <f t="shared" si="29"/>
        <v/>
      </c>
      <c r="BR9" s="386" t="str">
        <f t="shared" si="30"/>
        <v/>
      </c>
      <c r="BS9" s="386">
        <f t="shared" si="86"/>
        <v>0</v>
      </c>
      <c r="BT9" s="386" t="str">
        <f t="shared" si="32"/>
        <v/>
      </c>
      <c r="BU9" s="387" t="str">
        <f t="shared" si="33"/>
        <v/>
      </c>
      <c r="BV9" s="682" t="str">
        <f t="shared" si="34"/>
        <v/>
      </c>
      <c r="BW9" s="4" t="str">
        <f t="shared" si="35"/>
        <v/>
      </c>
      <c r="BX9" s="386" t="str">
        <f t="shared" si="36"/>
        <v/>
      </c>
      <c r="BY9" s="386">
        <f t="shared" si="37"/>
        <v>0</v>
      </c>
      <c r="BZ9" s="386" t="str">
        <f t="shared" si="38"/>
        <v/>
      </c>
      <c r="CA9" s="387" t="str">
        <f t="shared" si="39"/>
        <v/>
      </c>
      <c r="CB9" s="682" t="str">
        <f t="shared" si="40"/>
        <v/>
      </c>
      <c r="CC9" s="4" t="str">
        <f t="shared" si="41"/>
        <v/>
      </c>
      <c r="CD9" s="386" t="str">
        <f t="shared" si="42"/>
        <v/>
      </c>
      <c r="CE9" s="386">
        <f t="shared" si="43"/>
        <v>0</v>
      </c>
      <c r="CF9" s="386" t="str">
        <f t="shared" si="44"/>
        <v/>
      </c>
      <c r="CG9" s="387" t="str">
        <f t="shared" si="45"/>
        <v/>
      </c>
      <c r="CH9" s="682" t="str">
        <f t="shared" si="46"/>
        <v/>
      </c>
      <c r="CI9" s="4" t="str">
        <f t="shared" si="47"/>
        <v/>
      </c>
      <c r="CJ9" s="386" t="str">
        <f t="shared" si="48"/>
        <v/>
      </c>
      <c r="CK9" s="386">
        <f t="shared" si="87"/>
        <v>0</v>
      </c>
      <c r="CL9" s="386" t="str">
        <f t="shared" si="50"/>
        <v/>
      </c>
      <c r="CM9" s="387" t="str">
        <f t="shared" si="51"/>
        <v/>
      </c>
      <c r="CN9" s="682" t="str">
        <f t="shared" si="52"/>
        <v/>
      </c>
      <c r="CO9" s="4" t="str">
        <f t="shared" si="53"/>
        <v/>
      </c>
      <c r="CP9" s="386" t="str">
        <f t="shared" si="54"/>
        <v/>
      </c>
      <c r="CQ9" s="386">
        <f t="shared" si="88"/>
        <v>0</v>
      </c>
      <c r="CR9" s="386" t="str">
        <f t="shared" si="56"/>
        <v/>
      </c>
      <c r="CS9" s="387" t="str">
        <f t="shared" si="57"/>
        <v/>
      </c>
      <c r="CT9" s="682" t="str">
        <f t="shared" si="58"/>
        <v/>
      </c>
      <c r="CU9" s="4" t="str">
        <f t="shared" si="59"/>
        <v/>
      </c>
      <c r="CV9" s="386" t="str">
        <f t="shared" si="60"/>
        <v/>
      </c>
      <c r="CW9" s="386">
        <f t="shared" si="89"/>
        <v>0</v>
      </c>
      <c r="CX9" s="386" t="str">
        <f t="shared" si="62"/>
        <v/>
      </c>
      <c r="CY9" s="387" t="str">
        <f t="shared" si="63"/>
        <v/>
      </c>
      <c r="CZ9" s="682" t="str">
        <f t="shared" si="64"/>
        <v/>
      </c>
      <c r="DA9" s="4" t="str">
        <f t="shared" si="65"/>
        <v/>
      </c>
      <c r="DB9" s="386" t="str">
        <f t="shared" si="66"/>
        <v/>
      </c>
      <c r="DC9" s="386">
        <f t="shared" si="90"/>
        <v>0</v>
      </c>
      <c r="DD9" s="386" t="str">
        <f t="shared" si="68"/>
        <v/>
      </c>
      <c r="DE9" s="387" t="str">
        <f t="shared" si="69"/>
        <v/>
      </c>
      <c r="DF9" s="682" t="str">
        <f t="shared" si="70"/>
        <v/>
      </c>
      <c r="DG9" s="4" t="str">
        <f t="shared" si="71"/>
        <v/>
      </c>
      <c r="DH9" s="386" t="str">
        <f t="shared" si="72"/>
        <v/>
      </c>
      <c r="DI9" s="386">
        <f t="shared" si="73"/>
        <v>0</v>
      </c>
      <c r="DJ9" s="386" t="str">
        <f t="shared" si="74"/>
        <v/>
      </c>
      <c r="DK9" s="387" t="str">
        <f t="shared" si="75"/>
        <v/>
      </c>
      <c r="DL9" s="682" t="str">
        <f t="shared" si="76"/>
        <v/>
      </c>
      <c r="DM9" s="4" t="str">
        <f t="shared" si="77"/>
        <v/>
      </c>
      <c r="DN9" s="386" t="str">
        <f t="shared" si="78"/>
        <v/>
      </c>
      <c r="DO9" s="386">
        <f t="shared" si="79"/>
        <v>0</v>
      </c>
      <c r="DP9" s="386" t="str">
        <f t="shared" si="80"/>
        <v/>
      </c>
      <c r="DQ9" s="387" t="str">
        <f t="shared" si="81"/>
        <v/>
      </c>
    </row>
    <row r="10" spans="1:121" customFormat="1" x14ac:dyDescent="0.25">
      <c r="A10" t="s">
        <v>57</v>
      </c>
      <c r="B10" t="s">
        <v>33</v>
      </c>
      <c r="C10" t="s">
        <v>34</v>
      </c>
      <c r="D10" t="s">
        <v>35</v>
      </c>
      <c r="E10" t="s">
        <v>36</v>
      </c>
      <c r="F10" t="s">
        <v>58</v>
      </c>
      <c r="G10" t="s">
        <v>59</v>
      </c>
      <c r="H10" s="3"/>
      <c r="I10" s="4"/>
      <c r="J10" s="4"/>
      <c r="K10" s="4"/>
      <c r="L10" s="4"/>
      <c r="M10" s="5"/>
      <c r="N10" s="385" t="str">
        <f t="shared" si="0"/>
        <v/>
      </c>
      <c r="O10" s="386" t="str">
        <f t="shared" si="1"/>
        <v/>
      </c>
      <c r="P10" s="386" t="str">
        <f t="shared" si="2"/>
        <v/>
      </c>
      <c r="Q10" s="386">
        <f t="shared" si="82"/>
        <v>0</v>
      </c>
      <c r="R10" s="386" t="str">
        <f t="shared" si="3"/>
        <v/>
      </c>
      <c r="S10" s="387" t="str">
        <f t="shared" si="4"/>
        <v/>
      </c>
      <c r="T10" s="385" t="str">
        <f t="shared" si="5"/>
        <v/>
      </c>
      <c r="U10" s="386" t="str">
        <f t="shared" si="6"/>
        <v/>
      </c>
      <c r="V10" s="386" t="str">
        <f t="shared" si="7"/>
        <v/>
      </c>
      <c r="W10" s="386">
        <f t="shared" si="83"/>
        <v>0</v>
      </c>
      <c r="X10" s="386" t="str">
        <f t="shared" si="8"/>
        <v/>
      </c>
      <c r="Y10" s="387" t="str">
        <f t="shared" si="9"/>
        <v/>
      </c>
      <c r="Z10" s="3"/>
      <c r="AA10" s="4"/>
      <c r="AB10" s="4"/>
      <c r="AC10" s="4"/>
      <c r="AD10" s="4"/>
      <c r="AE10" s="5"/>
      <c r="AF10" s="3"/>
      <c r="AG10" s="4"/>
      <c r="AH10" s="4"/>
      <c r="AI10" s="4"/>
      <c r="AJ10" s="4"/>
      <c r="AK10" s="5"/>
      <c r="AL10" s="3"/>
      <c r="AM10" s="4"/>
      <c r="AN10" s="4"/>
      <c r="AO10" s="4"/>
      <c r="AP10" s="4"/>
      <c r="AQ10" s="5"/>
      <c r="AR10" s="682" t="str">
        <f t="shared" si="10"/>
        <v/>
      </c>
      <c r="AS10" s="4" t="str">
        <f t="shared" si="11"/>
        <v/>
      </c>
      <c r="AT10" s="386" t="str">
        <f t="shared" si="12"/>
        <v/>
      </c>
      <c r="AU10" s="386">
        <f t="shared" si="84"/>
        <v>0</v>
      </c>
      <c r="AV10" s="386" t="str">
        <f t="shared" si="14"/>
        <v/>
      </c>
      <c r="AW10" s="387" t="str">
        <f t="shared" si="15"/>
        <v/>
      </c>
      <c r="AX10" s="3"/>
      <c r="AY10" s="4"/>
      <c r="AZ10" s="4"/>
      <c r="BA10" s="4"/>
      <c r="BB10" s="4"/>
      <c r="BC10" s="5"/>
      <c r="BD10" s="682" t="str">
        <f t="shared" si="16"/>
        <v/>
      </c>
      <c r="BE10" s="4" t="str">
        <f t="shared" si="17"/>
        <v/>
      </c>
      <c r="BF10" s="386" t="str">
        <f t="shared" si="18"/>
        <v/>
      </c>
      <c r="BG10" s="386">
        <f t="shared" si="85"/>
        <v>0</v>
      </c>
      <c r="BH10" s="386" t="str">
        <f t="shared" si="20"/>
        <v/>
      </c>
      <c r="BI10" s="387" t="str">
        <f t="shared" si="21"/>
        <v/>
      </c>
      <c r="BJ10" s="682" t="str">
        <f t="shared" si="22"/>
        <v/>
      </c>
      <c r="BK10" s="4" t="str">
        <f t="shared" si="23"/>
        <v/>
      </c>
      <c r="BL10" s="386" t="str">
        <f t="shared" si="24"/>
        <v/>
      </c>
      <c r="BM10" s="386">
        <f t="shared" si="25"/>
        <v>0</v>
      </c>
      <c r="BN10" s="386" t="str">
        <f t="shared" si="26"/>
        <v/>
      </c>
      <c r="BO10" s="387" t="str">
        <f t="shared" si="27"/>
        <v/>
      </c>
      <c r="BP10" s="682" t="str">
        <f t="shared" si="28"/>
        <v/>
      </c>
      <c r="BQ10" s="4" t="str">
        <f t="shared" si="29"/>
        <v/>
      </c>
      <c r="BR10" s="386" t="str">
        <f t="shared" si="30"/>
        <v/>
      </c>
      <c r="BS10" s="386">
        <f t="shared" si="86"/>
        <v>0</v>
      </c>
      <c r="BT10" s="386" t="str">
        <f t="shared" si="32"/>
        <v/>
      </c>
      <c r="BU10" s="387" t="str">
        <f t="shared" si="33"/>
        <v/>
      </c>
      <c r="BV10" s="682" t="str">
        <f t="shared" si="34"/>
        <v/>
      </c>
      <c r="BW10" s="4" t="str">
        <f t="shared" si="35"/>
        <v/>
      </c>
      <c r="BX10" s="386" t="str">
        <f t="shared" si="36"/>
        <v/>
      </c>
      <c r="BY10" s="386">
        <f t="shared" si="37"/>
        <v>0</v>
      </c>
      <c r="BZ10" s="386" t="str">
        <f t="shared" si="38"/>
        <v/>
      </c>
      <c r="CA10" s="387" t="str">
        <f t="shared" si="39"/>
        <v/>
      </c>
      <c r="CB10" s="682" t="str">
        <f t="shared" si="40"/>
        <v/>
      </c>
      <c r="CC10" s="4" t="str">
        <f t="shared" si="41"/>
        <v/>
      </c>
      <c r="CD10" s="386" t="str">
        <f t="shared" si="42"/>
        <v/>
      </c>
      <c r="CE10" s="386">
        <f t="shared" si="43"/>
        <v>0</v>
      </c>
      <c r="CF10" s="386" t="str">
        <f t="shared" si="44"/>
        <v/>
      </c>
      <c r="CG10" s="387" t="str">
        <f t="shared" si="45"/>
        <v/>
      </c>
      <c r="CH10" s="682" t="str">
        <f t="shared" si="46"/>
        <v/>
      </c>
      <c r="CI10" s="4" t="str">
        <f t="shared" si="47"/>
        <v/>
      </c>
      <c r="CJ10" s="386" t="str">
        <f t="shared" si="48"/>
        <v/>
      </c>
      <c r="CK10" s="386">
        <f t="shared" si="87"/>
        <v>0</v>
      </c>
      <c r="CL10" s="386" t="str">
        <f t="shared" si="50"/>
        <v/>
      </c>
      <c r="CM10" s="387" t="str">
        <f t="shared" si="51"/>
        <v/>
      </c>
      <c r="CN10" s="682">
        <f t="shared" si="52"/>
        <v>150</v>
      </c>
      <c r="CO10" s="4">
        <f t="shared" si="53"/>
        <v>39</v>
      </c>
      <c r="CP10" s="386">
        <f t="shared" si="54"/>
        <v>0</v>
      </c>
      <c r="CQ10" s="386">
        <f t="shared" si="88"/>
        <v>39</v>
      </c>
      <c r="CR10" s="386">
        <f t="shared" si="56"/>
        <v>193.82999999999998</v>
      </c>
      <c r="CS10" s="387">
        <f t="shared" si="57"/>
        <v>3318369.6</v>
      </c>
      <c r="CT10" s="682" t="str">
        <f t="shared" si="58"/>
        <v/>
      </c>
      <c r="CU10" s="4" t="str">
        <f t="shared" si="59"/>
        <v/>
      </c>
      <c r="CV10" s="386" t="str">
        <f t="shared" si="60"/>
        <v/>
      </c>
      <c r="CW10" s="386">
        <f t="shared" si="89"/>
        <v>0</v>
      </c>
      <c r="CX10" s="386" t="str">
        <f t="shared" si="62"/>
        <v/>
      </c>
      <c r="CY10" s="387" t="str">
        <f t="shared" si="63"/>
        <v/>
      </c>
      <c r="CZ10" s="682" t="str">
        <f t="shared" si="64"/>
        <v/>
      </c>
      <c r="DA10" s="4" t="str">
        <f t="shared" si="65"/>
        <v/>
      </c>
      <c r="DB10" s="386" t="str">
        <f t="shared" si="66"/>
        <v/>
      </c>
      <c r="DC10" s="386">
        <f t="shared" si="90"/>
        <v>0</v>
      </c>
      <c r="DD10" s="386" t="str">
        <f t="shared" si="68"/>
        <v/>
      </c>
      <c r="DE10" s="387" t="str">
        <f t="shared" si="69"/>
        <v/>
      </c>
      <c r="DF10" s="682" t="str">
        <f t="shared" si="70"/>
        <v/>
      </c>
      <c r="DG10" s="4" t="str">
        <f t="shared" si="71"/>
        <v/>
      </c>
      <c r="DH10" s="386" t="str">
        <f t="shared" si="72"/>
        <v/>
      </c>
      <c r="DI10" s="386">
        <f t="shared" si="73"/>
        <v>0</v>
      </c>
      <c r="DJ10" s="386" t="str">
        <f t="shared" si="74"/>
        <v/>
      </c>
      <c r="DK10" s="387" t="str">
        <f t="shared" si="75"/>
        <v/>
      </c>
      <c r="DL10" s="682" t="str">
        <f t="shared" si="76"/>
        <v/>
      </c>
      <c r="DM10" s="4" t="str">
        <f t="shared" si="77"/>
        <v/>
      </c>
      <c r="DN10" s="386" t="str">
        <f t="shared" si="78"/>
        <v/>
      </c>
      <c r="DO10" s="386">
        <f t="shared" si="79"/>
        <v>0</v>
      </c>
      <c r="DP10" s="386" t="str">
        <f t="shared" si="80"/>
        <v/>
      </c>
      <c r="DQ10" s="387" t="str">
        <f t="shared" si="81"/>
        <v/>
      </c>
    </row>
    <row r="11" spans="1:121" customFormat="1" x14ac:dyDescent="0.25">
      <c r="A11" t="s">
        <v>60</v>
      </c>
      <c r="B11" t="s">
        <v>33</v>
      </c>
      <c r="C11" t="s">
        <v>34</v>
      </c>
      <c r="D11" t="s">
        <v>35</v>
      </c>
      <c r="E11" t="s">
        <v>36</v>
      </c>
      <c r="F11" t="s">
        <v>61</v>
      </c>
      <c r="G11" t="s">
        <v>62</v>
      </c>
      <c r="H11" s="3"/>
      <c r="I11" s="4"/>
      <c r="J11" s="4"/>
      <c r="K11" s="4"/>
      <c r="L11" s="4"/>
      <c r="M11" s="5"/>
      <c r="N11" s="385" t="str">
        <f t="shared" si="0"/>
        <v/>
      </c>
      <c r="O11" s="386" t="str">
        <f t="shared" si="1"/>
        <v/>
      </c>
      <c r="P11" s="386" t="str">
        <f t="shared" si="2"/>
        <v/>
      </c>
      <c r="Q11" s="386">
        <f t="shared" si="82"/>
        <v>0</v>
      </c>
      <c r="R11" s="386" t="str">
        <f t="shared" si="3"/>
        <v/>
      </c>
      <c r="S11" s="387" t="str">
        <f t="shared" si="4"/>
        <v/>
      </c>
      <c r="T11" s="385" t="str">
        <f t="shared" si="5"/>
        <v/>
      </c>
      <c r="U11" s="386" t="str">
        <f t="shared" si="6"/>
        <v/>
      </c>
      <c r="V11" s="386" t="str">
        <f t="shared" si="7"/>
        <v/>
      </c>
      <c r="W11" s="386">
        <f t="shared" si="83"/>
        <v>0</v>
      </c>
      <c r="X11" s="386" t="str">
        <f t="shared" si="8"/>
        <v/>
      </c>
      <c r="Y11" s="387" t="str">
        <f t="shared" si="9"/>
        <v/>
      </c>
      <c r="Z11" s="3"/>
      <c r="AA11" s="4"/>
      <c r="AB11" s="4"/>
      <c r="AC11" s="4"/>
      <c r="AD11" s="4"/>
      <c r="AE11" s="5"/>
      <c r="AF11" s="3"/>
      <c r="AG11" s="4"/>
      <c r="AH11" s="4"/>
      <c r="AI11" s="4"/>
      <c r="AJ11" s="4"/>
      <c r="AK11" s="5"/>
      <c r="AL11" s="3"/>
      <c r="AM11" s="4"/>
      <c r="AN11" s="4"/>
      <c r="AO11" s="4"/>
      <c r="AP11" s="4"/>
      <c r="AQ11" s="5"/>
      <c r="AR11" s="682">
        <f t="shared" si="10"/>
        <v>664</v>
      </c>
      <c r="AS11" s="4">
        <f t="shared" si="11"/>
        <v>0</v>
      </c>
      <c r="AT11" s="386">
        <f t="shared" si="12"/>
        <v>498</v>
      </c>
      <c r="AU11" s="386">
        <f t="shared" si="84"/>
        <v>498</v>
      </c>
      <c r="AV11" s="386">
        <f t="shared" si="14"/>
        <v>970.36800000000017</v>
      </c>
      <c r="AW11" s="387">
        <f t="shared" si="15"/>
        <v>16496256.000000002</v>
      </c>
      <c r="AX11" s="3"/>
      <c r="AY11" s="4"/>
      <c r="AZ11" s="4"/>
      <c r="BA11" s="4"/>
      <c r="BB11" s="4"/>
      <c r="BC11" s="5"/>
      <c r="BD11" s="682" t="str">
        <f t="shared" si="16"/>
        <v/>
      </c>
      <c r="BE11" s="4" t="str">
        <f t="shared" si="17"/>
        <v/>
      </c>
      <c r="BF11" s="386" t="str">
        <f t="shared" si="18"/>
        <v/>
      </c>
      <c r="BG11" s="386">
        <f t="shared" si="85"/>
        <v>0</v>
      </c>
      <c r="BH11" s="386" t="str">
        <f t="shared" si="20"/>
        <v/>
      </c>
      <c r="BI11" s="387" t="str">
        <f t="shared" si="21"/>
        <v/>
      </c>
      <c r="BJ11" s="682" t="str">
        <f t="shared" si="22"/>
        <v/>
      </c>
      <c r="BK11" s="4" t="str">
        <f t="shared" si="23"/>
        <v/>
      </c>
      <c r="BL11" s="386" t="str">
        <f t="shared" si="24"/>
        <v/>
      </c>
      <c r="BM11" s="386">
        <f t="shared" si="25"/>
        <v>0</v>
      </c>
      <c r="BN11" s="386" t="str">
        <f t="shared" si="26"/>
        <v/>
      </c>
      <c r="BO11" s="387" t="str">
        <f t="shared" si="27"/>
        <v/>
      </c>
      <c r="BP11" s="682">
        <f t="shared" si="28"/>
        <v>0</v>
      </c>
      <c r="BQ11" s="4">
        <f t="shared" si="29"/>
        <v>0</v>
      </c>
      <c r="BR11" s="386">
        <f t="shared" si="30"/>
        <v>364</v>
      </c>
      <c r="BS11" s="386">
        <f t="shared" si="86"/>
        <v>364</v>
      </c>
      <c r="BT11" s="386">
        <f t="shared" si="32"/>
        <v>311.04000000000008</v>
      </c>
      <c r="BU11" s="387">
        <f t="shared" si="33"/>
        <v>5132160.0000000009</v>
      </c>
      <c r="BV11" s="682" t="str">
        <f t="shared" si="34"/>
        <v/>
      </c>
      <c r="BW11" s="4" t="str">
        <f t="shared" si="35"/>
        <v/>
      </c>
      <c r="BX11" s="386" t="str">
        <f t="shared" si="36"/>
        <v/>
      </c>
      <c r="BY11" s="386">
        <f t="shared" si="37"/>
        <v>0</v>
      </c>
      <c r="BZ11" s="386" t="str">
        <f t="shared" si="38"/>
        <v/>
      </c>
      <c r="CA11" s="387" t="str">
        <f t="shared" si="39"/>
        <v/>
      </c>
      <c r="CB11" s="682" t="str">
        <f t="shared" si="40"/>
        <v/>
      </c>
      <c r="CC11" s="4" t="str">
        <f t="shared" si="41"/>
        <v/>
      </c>
      <c r="CD11" s="386" t="str">
        <f t="shared" si="42"/>
        <v/>
      </c>
      <c r="CE11" s="386">
        <f t="shared" si="43"/>
        <v>0</v>
      </c>
      <c r="CF11" s="386" t="str">
        <f t="shared" si="44"/>
        <v/>
      </c>
      <c r="CG11" s="387" t="str">
        <f t="shared" si="45"/>
        <v/>
      </c>
      <c r="CH11" s="682" t="str">
        <f t="shared" si="46"/>
        <v/>
      </c>
      <c r="CI11" s="4" t="str">
        <f t="shared" si="47"/>
        <v/>
      </c>
      <c r="CJ11" s="386" t="str">
        <f t="shared" si="48"/>
        <v/>
      </c>
      <c r="CK11" s="386">
        <f t="shared" si="87"/>
        <v>0</v>
      </c>
      <c r="CL11" s="386" t="str">
        <f t="shared" si="50"/>
        <v/>
      </c>
      <c r="CM11" s="387" t="str">
        <f t="shared" si="51"/>
        <v/>
      </c>
      <c r="CN11" s="682">
        <f t="shared" si="52"/>
        <v>0</v>
      </c>
      <c r="CO11" s="4">
        <f t="shared" si="53"/>
        <v>3</v>
      </c>
      <c r="CP11" s="386">
        <f t="shared" si="54"/>
        <v>15.8</v>
      </c>
      <c r="CQ11" s="386">
        <f t="shared" si="88"/>
        <v>18.8</v>
      </c>
      <c r="CR11" s="386">
        <f t="shared" si="56"/>
        <v>26.688899999999997</v>
      </c>
      <c r="CS11" s="387">
        <f t="shared" si="57"/>
        <v>456913.96799999999</v>
      </c>
      <c r="CT11" s="682" t="str">
        <f t="shared" si="58"/>
        <v/>
      </c>
      <c r="CU11" s="4" t="str">
        <f t="shared" si="59"/>
        <v/>
      </c>
      <c r="CV11" s="386" t="str">
        <f t="shared" si="60"/>
        <v/>
      </c>
      <c r="CW11" s="386">
        <f t="shared" si="89"/>
        <v>0</v>
      </c>
      <c r="CX11" s="386" t="str">
        <f t="shared" si="62"/>
        <v/>
      </c>
      <c r="CY11" s="387" t="str">
        <f t="shared" si="63"/>
        <v/>
      </c>
      <c r="CZ11" s="682">
        <f t="shared" si="64"/>
        <v>72</v>
      </c>
      <c r="DA11" s="4">
        <f t="shared" si="65"/>
        <v>54.3</v>
      </c>
      <c r="DB11" s="386">
        <f t="shared" si="66"/>
        <v>0</v>
      </c>
      <c r="DC11" s="386">
        <f t="shared" si="90"/>
        <v>54.3</v>
      </c>
      <c r="DD11" s="386">
        <f t="shared" si="68"/>
        <v>12.896250000000002</v>
      </c>
      <c r="DE11" s="387">
        <f t="shared" si="69"/>
        <v>253153.38750000001</v>
      </c>
      <c r="DF11" s="682" t="str">
        <f t="shared" si="70"/>
        <v/>
      </c>
      <c r="DG11" s="4" t="str">
        <f t="shared" si="71"/>
        <v/>
      </c>
      <c r="DH11" s="386" t="str">
        <f t="shared" si="72"/>
        <v/>
      </c>
      <c r="DI11" s="386">
        <f t="shared" si="73"/>
        <v>0</v>
      </c>
      <c r="DJ11" s="386" t="str">
        <f t="shared" si="74"/>
        <v/>
      </c>
      <c r="DK11" s="387" t="str">
        <f t="shared" si="75"/>
        <v/>
      </c>
      <c r="DL11" s="682" t="str">
        <f t="shared" si="76"/>
        <v/>
      </c>
      <c r="DM11" s="4" t="str">
        <f t="shared" si="77"/>
        <v/>
      </c>
      <c r="DN11" s="386" t="str">
        <f t="shared" si="78"/>
        <v/>
      </c>
      <c r="DO11" s="386">
        <f t="shared" si="79"/>
        <v>0</v>
      </c>
      <c r="DP11" s="386" t="str">
        <f t="shared" si="80"/>
        <v/>
      </c>
      <c r="DQ11" s="387" t="str">
        <f t="shared" si="81"/>
        <v/>
      </c>
    </row>
    <row r="12" spans="1:121" customFormat="1" x14ac:dyDescent="0.25">
      <c r="A12" t="s">
        <v>63</v>
      </c>
      <c r="B12" t="s">
        <v>33</v>
      </c>
      <c r="C12" t="s">
        <v>34</v>
      </c>
      <c r="D12" t="s">
        <v>35</v>
      </c>
      <c r="E12" t="s">
        <v>36</v>
      </c>
      <c r="F12" t="s">
        <v>64</v>
      </c>
      <c r="G12" t="s">
        <v>65</v>
      </c>
      <c r="H12" s="3"/>
      <c r="I12" s="4"/>
      <c r="J12" s="4"/>
      <c r="K12" s="4"/>
      <c r="L12" s="4"/>
      <c r="M12" s="5"/>
      <c r="N12" s="385" t="str">
        <f t="shared" si="0"/>
        <v/>
      </c>
      <c r="O12" s="386" t="str">
        <f t="shared" si="1"/>
        <v/>
      </c>
      <c r="P12" s="386" t="str">
        <f t="shared" si="2"/>
        <v/>
      </c>
      <c r="Q12" s="386">
        <f t="shared" si="82"/>
        <v>0</v>
      </c>
      <c r="R12" s="386" t="str">
        <f t="shared" si="3"/>
        <v/>
      </c>
      <c r="S12" s="387" t="str">
        <f t="shared" si="4"/>
        <v/>
      </c>
      <c r="T12" s="385" t="str">
        <f t="shared" si="5"/>
        <v/>
      </c>
      <c r="U12" s="386" t="str">
        <f t="shared" si="6"/>
        <v/>
      </c>
      <c r="V12" s="386" t="str">
        <f t="shared" si="7"/>
        <v/>
      </c>
      <c r="W12" s="386">
        <f t="shared" si="83"/>
        <v>0</v>
      </c>
      <c r="X12" s="386" t="str">
        <f t="shared" si="8"/>
        <v/>
      </c>
      <c r="Y12" s="387" t="str">
        <f t="shared" si="9"/>
        <v/>
      </c>
      <c r="Z12" s="3"/>
      <c r="AA12" s="4"/>
      <c r="AB12" s="4"/>
      <c r="AC12" s="4"/>
      <c r="AD12" s="4"/>
      <c r="AE12" s="5"/>
      <c r="AF12" s="3"/>
      <c r="AG12" s="4"/>
      <c r="AH12" s="4"/>
      <c r="AI12" s="4"/>
      <c r="AJ12" s="4"/>
      <c r="AK12" s="5"/>
      <c r="AL12" s="3"/>
      <c r="AM12" s="4"/>
      <c r="AN12" s="4"/>
      <c r="AO12" s="4"/>
      <c r="AP12" s="4"/>
      <c r="AQ12" s="5"/>
      <c r="AR12" s="682">
        <f t="shared" si="10"/>
        <v>1071</v>
      </c>
      <c r="AS12" s="4">
        <f t="shared" si="11"/>
        <v>0</v>
      </c>
      <c r="AT12" s="386">
        <f t="shared" si="12"/>
        <v>803</v>
      </c>
      <c r="AU12" s="386">
        <f t="shared" si="84"/>
        <v>803</v>
      </c>
      <c r="AV12" s="386">
        <f t="shared" si="14"/>
        <v>1680.1139999999998</v>
      </c>
      <c r="AW12" s="387">
        <f t="shared" si="15"/>
        <v>28561938</v>
      </c>
      <c r="AX12" s="3"/>
      <c r="AY12" s="4"/>
      <c r="AZ12" s="4"/>
      <c r="BA12" s="4"/>
      <c r="BB12" s="4"/>
      <c r="BC12" s="5"/>
      <c r="BD12" s="682">
        <f t="shared" si="16"/>
        <v>0</v>
      </c>
      <c r="BE12" s="4">
        <f t="shared" si="17"/>
        <v>863</v>
      </c>
      <c r="BF12" s="386">
        <f t="shared" si="18"/>
        <v>50</v>
      </c>
      <c r="BG12" s="386">
        <f t="shared" si="85"/>
        <v>913</v>
      </c>
      <c r="BH12" s="386">
        <f t="shared" si="20"/>
        <v>1071.6900000000003</v>
      </c>
      <c r="BI12" s="387">
        <f t="shared" si="21"/>
        <v>19451173.500000004</v>
      </c>
      <c r="BJ12" s="682" t="str">
        <f t="shared" si="22"/>
        <v/>
      </c>
      <c r="BK12" s="4" t="str">
        <f t="shared" si="23"/>
        <v/>
      </c>
      <c r="BL12" s="386" t="str">
        <f t="shared" si="24"/>
        <v/>
      </c>
      <c r="BM12" s="386">
        <f t="shared" si="25"/>
        <v>0</v>
      </c>
      <c r="BN12" s="386" t="str">
        <f t="shared" si="26"/>
        <v/>
      </c>
      <c r="BO12" s="387" t="str">
        <f t="shared" si="27"/>
        <v/>
      </c>
      <c r="BP12" s="682">
        <f t="shared" si="28"/>
        <v>0</v>
      </c>
      <c r="BQ12" s="4">
        <f t="shared" si="29"/>
        <v>0</v>
      </c>
      <c r="BR12" s="386">
        <f t="shared" si="30"/>
        <v>200</v>
      </c>
      <c r="BS12" s="386">
        <f t="shared" si="86"/>
        <v>200</v>
      </c>
      <c r="BT12" s="386">
        <f t="shared" si="32"/>
        <v>48.600000000000009</v>
      </c>
      <c r="BU12" s="387">
        <f t="shared" si="33"/>
        <v>801900.00000000012</v>
      </c>
      <c r="BV12" s="682" t="str">
        <f t="shared" si="34"/>
        <v/>
      </c>
      <c r="BW12" s="4" t="str">
        <f t="shared" si="35"/>
        <v/>
      </c>
      <c r="BX12" s="386" t="str">
        <f t="shared" si="36"/>
        <v/>
      </c>
      <c r="BY12" s="386">
        <f t="shared" si="37"/>
        <v>0</v>
      </c>
      <c r="BZ12" s="386" t="str">
        <f t="shared" si="38"/>
        <v/>
      </c>
      <c r="CA12" s="387" t="str">
        <f t="shared" si="39"/>
        <v/>
      </c>
      <c r="CB12" s="682" t="str">
        <f t="shared" si="40"/>
        <v/>
      </c>
      <c r="CC12" s="4" t="str">
        <f t="shared" si="41"/>
        <v/>
      </c>
      <c r="CD12" s="386" t="str">
        <f t="shared" si="42"/>
        <v/>
      </c>
      <c r="CE12" s="386">
        <f t="shared" si="43"/>
        <v>0</v>
      </c>
      <c r="CF12" s="386" t="str">
        <f t="shared" si="44"/>
        <v/>
      </c>
      <c r="CG12" s="387" t="str">
        <f t="shared" si="45"/>
        <v/>
      </c>
      <c r="CH12" s="682">
        <f t="shared" si="46"/>
        <v>0</v>
      </c>
      <c r="CI12" s="4">
        <f t="shared" si="47"/>
        <v>0</v>
      </c>
      <c r="CJ12" s="386">
        <f t="shared" si="48"/>
        <v>1462</v>
      </c>
      <c r="CK12" s="386">
        <f t="shared" si="87"/>
        <v>1462</v>
      </c>
      <c r="CL12" s="386">
        <f t="shared" si="50"/>
        <v>1592.1960000000001</v>
      </c>
      <c r="CM12" s="387">
        <f t="shared" si="51"/>
        <v>37416606</v>
      </c>
      <c r="CN12" s="682">
        <f t="shared" si="52"/>
        <v>315</v>
      </c>
      <c r="CO12" s="4">
        <f t="shared" si="53"/>
        <v>0</v>
      </c>
      <c r="CP12" s="386">
        <f t="shared" si="54"/>
        <v>233</v>
      </c>
      <c r="CQ12" s="386">
        <f t="shared" si="88"/>
        <v>233</v>
      </c>
      <c r="CR12" s="386">
        <f t="shared" si="56"/>
        <v>173.70149999999998</v>
      </c>
      <c r="CS12" s="387">
        <f t="shared" si="57"/>
        <v>2973769.6799999997</v>
      </c>
      <c r="CT12" s="682">
        <f t="shared" si="58"/>
        <v>0</v>
      </c>
      <c r="CU12" s="4">
        <f t="shared" si="59"/>
        <v>0</v>
      </c>
      <c r="CV12" s="386">
        <f t="shared" si="60"/>
        <v>700</v>
      </c>
      <c r="CW12" s="386">
        <f t="shared" si="89"/>
        <v>700</v>
      </c>
      <c r="CX12" s="386">
        <f t="shared" si="62"/>
        <v>347.9</v>
      </c>
      <c r="CY12" s="387">
        <f t="shared" si="63"/>
        <v>5566400</v>
      </c>
      <c r="CZ12" s="682" t="str">
        <f t="shared" si="64"/>
        <v/>
      </c>
      <c r="DA12" s="4" t="str">
        <f t="shared" si="65"/>
        <v/>
      </c>
      <c r="DB12" s="386" t="str">
        <f t="shared" si="66"/>
        <v/>
      </c>
      <c r="DC12" s="386">
        <f t="shared" si="90"/>
        <v>0</v>
      </c>
      <c r="DD12" s="386" t="str">
        <f t="shared" si="68"/>
        <v/>
      </c>
      <c r="DE12" s="387" t="str">
        <f t="shared" si="69"/>
        <v/>
      </c>
      <c r="DF12" s="682" t="str">
        <f t="shared" si="70"/>
        <v/>
      </c>
      <c r="DG12" s="4" t="str">
        <f t="shared" si="71"/>
        <v/>
      </c>
      <c r="DH12" s="386" t="str">
        <f t="shared" si="72"/>
        <v/>
      </c>
      <c r="DI12" s="386">
        <f t="shared" si="73"/>
        <v>0</v>
      </c>
      <c r="DJ12" s="386" t="str">
        <f t="shared" si="74"/>
        <v/>
      </c>
      <c r="DK12" s="387" t="str">
        <f t="shared" si="75"/>
        <v/>
      </c>
      <c r="DL12" s="682" t="str">
        <f t="shared" si="76"/>
        <v/>
      </c>
      <c r="DM12" s="4" t="str">
        <f t="shared" si="77"/>
        <v/>
      </c>
      <c r="DN12" s="386" t="str">
        <f t="shared" si="78"/>
        <v/>
      </c>
      <c r="DO12" s="386">
        <f t="shared" si="79"/>
        <v>0</v>
      </c>
      <c r="DP12" s="386" t="str">
        <f t="shared" si="80"/>
        <v/>
      </c>
      <c r="DQ12" s="387" t="str">
        <f t="shared" si="81"/>
        <v/>
      </c>
    </row>
    <row r="13" spans="1:121" customFormat="1" x14ac:dyDescent="0.25">
      <c r="A13" t="s">
        <v>66</v>
      </c>
      <c r="B13" t="s">
        <v>33</v>
      </c>
      <c r="C13" t="s">
        <v>34</v>
      </c>
      <c r="D13" t="s">
        <v>35</v>
      </c>
      <c r="E13" t="s">
        <v>36</v>
      </c>
      <c r="F13" t="s">
        <v>67</v>
      </c>
      <c r="G13" t="s">
        <v>68</v>
      </c>
      <c r="H13" s="3"/>
      <c r="I13" s="4"/>
      <c r="J13" s="4"/>
      <c r="K13" s="4"/>
      <c r="L13" s="4"/>
      <c r="M13" s="5"/>
      <c r="N13" s="385" t="str">
        <f t="shared" si="0"/>
        <v/>
      </c>
      <c r="O13" s="386" t="str">
        <f t="shared" si="1"/>
        <v/>
      </c>
      <c r="P13" s="386" t="str">
        <f t="shared" si="2"/>
        <v/>
      </c>
      <c r="Q13" s="386">
        <f t="shared" si="82"/>
        <v>0</v>
      </c>
      <c r="R13" s="386" t="str">
        <f t="shared" si="3"/>
        <v/>
      </c>
      <c r="S13" s="387" t="str">
        <f t="shared" si="4"/>
        <v/>
      </c>
      <c r="T13" s="385" t="str">
        <f t="shared" si="5"/>
        <v/>
      </c>
      <c r="U13" s="386" t="str">
        <f t="shared" si="6"/>
        <v/>
      </c>
      <c r="V13" s="386" t="str">
        <f t="shared" si="7"/>
        <v/>
      </c>
      <c r="W13" s="386">
        <f t="shared" si="83"/>
        <v>0</v>
      </c>
      <c r="X13" s="386" t="str">
        <f t="shared" si="8"/>
        <v/>
      </c>
      <c r="Y13" s="387" t="str">
        <f t="shared" si="9"/>
        <v/>
      </c>
      <c r="Z13" s="3"/>
      <c r="AA13" s="4"/>
      <c r="AB13" s="4"/>
      <c r="AC13" s="4"/>
      <c r="AD13" s="4"/>
      <c r="AE13" s="5"/>
      <c r="AF13" s="3"/>
      <c r="AG13" s="4"/>
      <c r="AH13" s="4"/>
      <c r="AI13" s="4"/>
      <c r="AJ13" s="4"/>
      <c r="AK13" s="5"/>
      <c r="AL13" s="3"/>
      <c r="AM13" s="4"/>
      <c r="AN13" s="4"/>
      <c r="AO13" s="4"/>
      <c r="AP13" s="4"/>
      <c r="AQ13" s="5"/>
      <c r="AR13" s="682">
        <f t="shared" si="10"/>
        <v>220</v>
      </c>
      <c r="AS13" s="4">
        <f t="shared" si="11"/>
        <v>0</v>
      </c>
      <c r="AT13" s="386">
        <f t="shared" si="12"/>
        <v>165</v>
      </c>
      <c r="AU13" s="386">
        <f t="shared" si="84"/>
        <v>165</v>
      </c>
      <c r="AV13" s="386">
        <f t="shared" si="14"/>
        <v>248.48999999999998</v>
      </c>
      <c r="AW13" s="387">
        <f t="shared" si="15"/>
        <v>4224330</v>
      </c>
      <c r="AX13" s="3"/>
      <c r="AY13" s="4"/>
      <c r="AZ13" s="4"/>
      <c r="BA13" s="4"/>
      <c r="BB13" s="4"/>
      <c r="BC13" s="5"/>
      <c r="BD13" s="682" t="str">
        <f t="shared" si="16"/>
        <v/>
      </c>
      <c r="BE13" s="4" t="str">
        <f t="shared" si="17"/>
        <v/>
      </c>
      <c r="BF13" s="386" t="str">
        <f t="shared" si="18"/>
        <v/>
      </c>
      <c r="BG13" s="386">
        <f t="shared" si="85"/>
        <v>0</v>
      </c>
      <c r="BH13" s="386" t="str">
        <f t="shared" si="20"/>
        <v/>
      </c>
      <c r="BI13" s="387" t="str">
        <f t="shared" si="21"/>
        <v/>
      </c>
      <c r="BJ13" s="682" t="str">
        <f t="shared" si="22"/>
        <v/>
      </c>
      <c r="BK13" s="4" t="str">
        <f t="shared" si="23"/>
        <v/>
      </c>
      <c r="BL13" s="386" t="str">
        <f t="shared" si="24"/>
        <v/>
      </c>
      <c r="BM13" s="386">
        <f t="shared" si="25"/>
        <v>0</v>
      </c>
      <c r="BN13" s="386" t="str">
        <f t="shared" si="26"/>
        <v/>
      </c>
      <c r="BO13" s="387" t="str">
        <f t="shared" si="27"/>
        <v/>
      </c>
      <c r="BP13" s="682">
        <f t="shared" si="28"/>
        <v>0</v>
      </c>
      <c r="BQ13" s="4">
        <f t="shared" si="29"/>
        <v>0</v>
      </c>
      <c r="BR13" s="386">
        <f t="shared" si="30"/>
        <v>143</v>
      </c>
      <c r="BS13" s="386">
        <f t="shared" si="86"/>
        <v>143</v>
      </c>
      <c r="BT13" s="386">
        <f t="shared" si="32"/>
        <v>49.674000000000007</v>
      </c>
      <c r="BU13" s="387">
        <f t="shared" si="33"/>
        <v>819621</v>
      </c>
      <c r="BV13" s="682" t="str">
        <f t="shared" si="34"/>
        <v/>
      </c>
      <c r="BW13" s="4" t="str">
        <f t="shared" si="35"/>
        <v/>
      </c>
      <c r="BX13" s="386" t="str">
        <f t="shared" si="36"/>
        <v/>
      </c>
      <c r="BY13" s="386">
        <f t="shared" si="37"/>
        <v>0</v>
      </c>
      <c r="BZ13" s="386" t="str">
        <f t="shared" si="38"/>
        <v/>
      </c>
      <c r="CA13" s="387" t="str">
        <f t="shared" si="39"/>
        <v/>
      </c>
      <c r="CB13" s="682" t="str">
        <f t="shared" si="40"/>
        <v/>
      </c>
      <c r="CC13" s="4" t="str">
        <f t="shared" si="41"/>
        <v/>
      </c>
      <c r="CD13" s="386" t="str">
        <f t="shared" si="42"/>
        <v/>
      </c>
      <c r="CE13" s="386">
        <f t="shared" si="43"/>
        <v>0</v>
      </c>
      <c r="CF13" s="386" t="str">
        <f t="shared" si="44"/>
        <v/>
      </c>
      <c r="CG13" s="387" t="str">
        <f t="shared" si="45"/>
        <v/>
      </c>
      <c r="CH13" s="682" t="str">
        <f t="shared" si="46"/>
        <v/>
      </c>
      <c r="CI13" s="4" t="str">
        <f t="shared" si="47"/>
        <v/>
      </c>
      <c r="CJ13" s="386" t="str">
        <f t="shared" si="48"/>
        <v/>
      </c>
      <c r="CK13" s="386">
        <f t="shared" si="87"/>
        <v>0</v>
      </c>
      <c r="CL13" s="386" t="str">
        <f t="shared" si="50"/>
        <v/>
      </c>
      <c r="CM13" s="387" t="str">
        <f t="shared" si="51"/>
        <v/>
      </c>
      <c r="CN13" s="682" t="str">
        <f t="shared" si="52"/>
        <v/>
      </c>
      <c r="CO13" s="4" t="str">
        <f t="shared" si="53"/>
        <v/>
      </c>
      <c r="CP13" s="386" t="str">
        <f t="shared" si="54"/>
        <v/>
      </c>
      <c r="CQ13" s="386">
        <f t="shared" si="88"/>
        <v>0</v>
      </c>
      <c r="CR13" s="386" t="str">
        <f t="shared" si="56"/>
        <v/>
      </c>
      <c r="CS13" s="387" t="str">
        <f t="shared" si="57"/>
        <v/>
      </c>
      <c r="CT13" s="682" t="str">
        <f t="shared" si="58"/>
        <v/>
      </c>
      <c r="CU13" s="4" t="str">
        <f t="shared" si="59"/>
        <v/>
      </c>
      <c r="CV13" s="386" t="str">
        <f t="shared" si="60"/>
        <v/>
      </c>
      <c r="CW13" s="386">
        <f t="shared" si="89"/>
        <v>0</v>
      </c>
      <c r="CX13" s="386" t="str">
        <f t="shared" si="62"/>
        <v/>
      </c>
      <c r="CY13" s="387" t="str">
        <f t="shared" si="63"/>
        <v/>
      </c>
      <c r="CZ13" s="682" t="str">
        <f t="shared" si="64"/>
        <v/>
      </c>
      <c r="DA13" s="4" t="str">
        <f t="shared" si="65"/>
        <v/>
      </c>
      <c r="DB13" s="386" t="str">
        <f t="shared" si="66"/>
        <v/>
      </c>
      <c r="DC13" s="386">
        <f t="shared" si="90"/>
        <v>0</v>
      </c>
      <c r="DD13" s="386" t="str">
        <f t="shared" si="68"/>
        <v/>
      </c>
      <c r="DE13" s="387" t="str">
        <f t="shared" si="69"/>
        <v/>
      </c>
      <c r="DF13" s="682" t="str">
        <f t="shared" si="70"/>
        <v/>
      </c>
      <c r="DG13" s="4" t="str">
        <f t="shared" si="71"/>
        <v/>
      </c>
      <c r="DH13" s="386" t="str">
        <f t="shared" si="72"/>
        <v/>
      </c>
      <c r="DI13" s="386">
        <f t="shared" si="73"/>
        <v>0</v>
      </c>
      <c r="DJ13" s="386" t="str">
        <f t="shared" si="74"/>
        <v/>
      </c>
      <c r="DK13" s="387" t="str">
        <f t="shared" si="75"/>
        <v/>
      </c>
      <c r="DL13" s="682" t="str">
        <f t="shared" si="76"/>
        <v/>
      </c>
      <c r="DM13" s="4" t="str">
        <f t="shared" si="77"/>
        <v/>
      </c>
      <c r="DN13" s="386" t="str">
        <f t="shared" si="78"/>
        <v/>
      </c>
      <c r="DO13" s="386">
        <f t="shared" si="79"/>
        <v>0</v>
      </c>
      <c r="DP13" s="386" t="str">
        <f t="shared" si="80"/>
        <v/>
      </c>
      <c r="DQ13" s="387" t="str">
        <f t="shared" si="81"/>
        <v/>
      </c>
    </row>
    <row r="14" spans="1:121" customFormat="1" x14ac:dyDescent="0.25">
      <c r="A14" t="s">
        <v>69</v>
      </c>
      <c r="B14" t="s">
        <v>33</v>
      </c>
      <c r="C14" t="s">
        <v>34</v>
      </c>
      <c r="D14" t="s">
        <v>35</v>
      </c>
      <c r="E14" t="s">
        <v>36</v>
      </c>
      <c r="F14" t="s">
        <v>70</v>
      </c>
      <c r="G14" t="s">
        <v>71</v>
      </c>
      <c r="H14" s="3"/>
      <c r="I14" s="4"/>
      <c r="J14" s="4"/>
      <c r="K14" s="4"/>
      <c r="L14" s="4"/>
      <c r="M14" s="5"/>
      <c r="N14" s="385" t="str">
        <f t="shared" si="0"/>
        <v/>
      </c>
      <c r="O14" s="386" t="str">
        <f t="shared" si="1"/>
        <v/>
      </c>
      <c r="P14" s="386" t="str">
        <f t="shared" si="2"/>
        <v/>
      </c>
      <c r="Q14" s="386">
        <f t="shared" si="82"/>
        <v>0</v>
      </c>
      <c r="R14" s="386" t="str">
        <f t="shared" si="3"/>
        <v/>
      </c>
      <c r="S14" s="387" t="str">
        <f t="shared" si="4"/>
        <v/>
      </c>
      <c r="T14" s="385">
        <f t="shared" si="5"/>
        <v>0</v>
      </c>
      <c r="U14" s="386">
        <f t="shared" si="6"/>
        <v>0</v>
      </c>
      <c r="V14" s="386">
        <f t="shared" si="7"/>
        <v>2.1</v>
      </c>
      <c r="W14" s="386">
        <f t="shared" si="83"/>
        <v>2.1</v>
      </c>
      <c r="X14" s="386">
        <f t="shared" si="8"/>
        <v>1.575</v>
      </c>
      <c r="Y14" s="387">
        <f t="shared" si="9"/>
        <v>23625</v>
      </c>
      <c r="Z14" s="3"/>
      <c r="AA14" s="4"/>
      <c r="AB14" s="4"/>
      <c r="AC14" s="4"/>
      <c r="AD14" s="4"/>
      <c r="AE14" s="5"/>
      <c r="AF14" s="3"/>
      <c r="AG14" s="4"/>
      <c r="AH14" s="4"/>
      <c r="AI14" s="4"/>
      <c r="AJ14" s="4"/>
      <c r="AK14" s="5"/>
      <c r="AL14" s="3"/>
      <c r="AM14" s="4"/>
      <c r="AN14" s="4"/>
      <c r="AO14" s="4"/>
      <c r="AP14" s="4"/>
      <c r="AQ14" s="5"/>
      <c r="AR14" s="682">
        <f t="shared" si="10"/>
        <v>1446</v>
      </c>
      <c r="AS14" s="4">
        <f t="shared" si="11"/>
        <v>0</v>
      </c>
      <c r="AT14" s="386">
        <f t="shared" si="12"/>
        <v>1085</v>
      </c>
      <c r="AU14" s="386">
        <f t="shared" si="84"/>
        <v>1085</v>
      </c>
      <c r="AV14" s="386">
        <f t="shared" si="14"/>
        <v>1753.2349999999999</v>
      </c>
      <c r="AW14" s="387">
        <f t="shared" si="15"/>
        <v>29804995</v>
      </c>
      <c r="AX14" s="3"/>
      <c r="AY14" s="4"/>
      <c r="AZ14" s="4"/>
      <c r="BA14" s="4"/>
      <c r="BB14" s="4"/>
      <c r="BC14" s="5"/>
      <c r="BD14" s="682">
        <f t="shared" si="16"/>
        <v>0</v>
      </c>
      <c r="BE14" s="4">
        <f t="shared" si="17"/>
        <v>265</v>
      </c>
      <c r="BF14" s="386">
        <f t="shared" si="18"/>
        <v>0</v>
      </c>
      <c r="BG14" s="386">
        <f t="shared" si="85"/>
        <v>265</v>
      </c>
      <c r="BH14" s="386">
        <f t="shared" si="20"/>
        <v>272.65000000000009</v>
      </c>
      <c r="BI14" s="387">
        <f t="shared" si="21"/>
        <v>4948597.5000000019</v>
      </c>
      <c r="BJ14" s="682" t="str">
        <f t="shared" si="22"/>
        <v/>
      </c>
      <c r="BK14" s="4" t="str">
        <f t="shared" si="23"/>
        <v/>
      </c>
      <c r="BL14" s="386" t="str">
        <f t="shared" si="24"/>
        <v/>
      </c>
      <c r="BM14" s="386">
        <f t="shared" si="25"/>
        <v>0</v>
      </c>
      <c r="BN14" s="386" t="str">
        <f t="shared" si="26"/>
        <v/>
      </c>
      <c r="BO14" s="387" t="str">
        <f t="shared" si="27"/>
        <v/>
      </c>
      <c r="BP14" s="682">
        <f t="shared" si="28"/>
        <v>0</v>
      </c>
      <c r="BQ14" s="4">
        <f t="shared" si="29"/>
        <v>0</v>
      </c>
      <c r="BR14" s="386">
        <f t="shared" si="30"/>
        <v>580</v>
      </c>
      <c r="BS14" s="386">
        <f t="shared" si="86"/>
        <v>580</v>
      </c>
      <c r="BT14" s="386">
        <f t="shared" si="32"/>
        <v>159.16500000000002</v>
      </c>
      <c r="BU14" s="387">
        <f t="shared" si="33"/>
        <v>2626222.5000000005</v>
      </c>
      <c r="BV14" s="682" t="str">
        <f t="shared" si="34"/>
        <v/>
      </c>
      <c r="BW14" s="4" t="str">
        <f t="shared" si="35"/>
        <v/>
      </c>
      <c r="BX14" s="386" t="str">
        <f t="shared" si="36"/>
        <v/>
      </c>
      <c r="BY14" s="386">
        <f t="shared" si="37"/>
        <v>0</v>
      </c>
      <c r="BZ14" s="386" t="str">
        <f t="shared" si="38"/>
        <v/>
      </c>
      <c r="CA14" s="387" t="str">
        <f t="shared" si="39"/>
        <v/>
      </c>
      <c r="CB14" s="682" t="str">
        <f t="shared" si="40"/>
        <v/>
      </c>
      <c r="CC14" s="4" t="str">
        <f t="shared" si="41"/>
        <v/>
      </c>
      <c r="CD14" s="386" t="str">
        <f t="shared" si="42"/>
        <v/>
      </c>
      <c r="CE14" s="386">
        <f t="shared" si="43"/>
        <v>0</v>
      </c>
      <c r="CF14" s="386" t="str">
        <f t="shared" si="44"/>
        <v/>
      </c>
      <c r="CG14" s="387" t="str">
        <f t="shared" si="45"/>
        <v/>
      </c>
      <c r="CH14" s="682">
        <f t="shared" si="46"/>
        <v>0</v>
      </c>
      <c r="CI14" s="4">
        <f t="shared" si="47"/>
        <v>0</v>
      </c>
      <c r="CJ14" s="386">
        <f t="shared" si="48"/>
        <v>1689</v>
      </c>
      <c r="CK14" s="386">
        <f t="shared" si="87"/>
        <v>1689</v>
      </c>
      <c r="CL14" s="386">
        <f t="shared" si="50"/>
        <v>2244.5940000000001</v>
      </c>
      <c r="CM14" s="387">
        <f t="shared" si="51"/>
        <v>52747959</v>
      </c>
      <c r="CN14" s="682" t="str">
        <f t="shared" si="52"/>
        <v/>
      </c>
      <c r="CO14" s="4" t="str">
        <f t="shared" si="53"/>
        <v/>
      </c>
      <c r="CP14" s="386" t="str">
        <f t="shared" si="54"/>
        <v/>
      </c>
      <c r="CQ14" s="386">
        <f t="shared" si="88"/>
        <v>0</v>
      </c>
      <c r="CR14" s="386" t="str">
        <f t="shared" si="56"/>
        <v/>
      </c>
      <c r="CS14" s="387" t="str">
        <f t="shared" si="57"/>
        <v/>
      </c>
      <c r="CT14" s="682">
        <f t="shared" si="58"/>
        <v>0</v>
      </c>
      <c r="CU14" s="4">
        <f t="shared" si="59"/>
        <v>0</v>
      </c>
      <c r="CV14" s="386">
        <f t="shared" si="60"/>
        <v>200</v>
      </c>
      <c r="CW14" s="386">
        <f t="shared" si="89"/>
        <v>200</v>
      </c>
      <c r="CX14" s="386">
        <f t="shared" si="62"/>
        <v>99.4</v>
      </c>
      <c r="CY14" s="387">
        <f t="shared" si="63"/>
        <v>1590400</v>
      </c>
      <c r="CZ14" s="682">
        <f t="shared" si="64"/>
        <v>114</v>
      </c>
      <c r="DA14" s="4">
        <f t="shared" si="65"/>
        <v>85</v>
      </c>
      <c r="DB14" s="386">
        <f t="shared" si="66"/>
        <v>0</v>
      </c>
      <c r="DC14" s="386">
        <f t="shared" si="90"/>
        <v>85</v>
      </c>
      <c r="DD14" s="386">
        <f t="shared" si="68"/>
        <v>24.9375</v>
      </c>
      <c r="DE14" s="387">
        <f t="shared" si="69"/>
        <v>489523.125</v>
      </c>
      <c r="DF14" s="682" t="str">
        <f t="shared" si="70"/>
        <v/>
      </c>
      <c r="DG14" s="4" t="str">
        <f t="shared" si="71"/>
        <v/>
      </c>
      <c r="DH14" s="386" t="str">
        <f t="shared" si="72"/>
        <v/>
      </c>
      <c r="DI14" s="386">
        <f t="shared" si="73"/>
        <v>0</v>
      </c>
      <c r="DJ14" s="386" t="str">
        <f t="shared" si="74"/>
        <v/>
      </c>
      <c r="DK14" s="387" t="str">
        <f t="shared" si="75"/>
        <v/>
      </c>
      <c r="DL14" s="682" t="str">
        <f t="shared" si="76"/>
        <v/>
      </c>
      <c r="DM14" s="4" t="str">
        <f t="shared" si="77"/>
        <v/>
      </c>
      <c r="DN14" s="386" t="str">
        <f t="shared" si="78"/>
        <v/>
      </c>
      <c r="DO14" s="386">
        <f t="shared" si="79"/>
        <v>0</v>
      </c>
      <c r="DP14" s="386" t="str">
        <f t="shared" si="80"/>
        <v/>
      </c>
      <c r="DQ14" s="387" t="str">
        <f t="shared" si="81"/>
        <v/>
      </c>
    </row>
    <row r="15" spans="1:121" customFormat="1" x14ac:dyDescent="0.25">
      <c r="A15" t="s">
        <v>72</v>
      </c>
      <c r="B15" t="s">
        <v>33</v>
      </c>
      <c r="C15" t="s">
        <v>34</v>
      </c>
      <c r="D15" t="s">
        <v>35</v>
      </c>
      <c r="E15" t="s">
        <v>36</v>
      </c>
      <c r="F15" t="s">
        <v>73</v>
      </c>
      <c r="G15" t="s">
        <v>74</v>
      </c>
      <c r="H15" s="3"/>
      <c r="I15" s="4"/>
      <c r="J15" s="4"/>
      <c r="K15" s="4"/>
      <c r="L15" s="4"/>
      <c r="M15" s="5"/>
      <c r="N15" s="385" t="str">
        <f t="shared" si="0"/>
        <v/>
      </c>
      <c r="O15" s="386" t="str">
        <f t="shared" si="1"/>
        <v/>
      </c>
      <c r="P15" s="386" t="str">
        <f t="shared" si="2"/>
        <v/>
      </c>
      <c r="Q15" s="386">
        <f t="shared" si="82"/>
        <v>0</v>
      </c>
      <c r="R15" s="386" t="str">
        <f t="shared" si="3"/>
        <v/>
      </c>
      <c r="S15" s="387" t="str">
        <f t="shared" si="4"/>
        <v/>
      </c>
      <c r="T15" s="385" t="str">
        <f t="shared" si="5"/>
        <v/>
      </c>
      <c r="U15" s="386" t="str">
        <f t="shared" si="6"/>
        <v/>
      </c>
      <c r="V15" s="386" t="str">
        <f t="shared" si="7"/>
        <v/>
      </c>
      <c r="W15" s="386">
        <f t="shared" si="83"/>
        <v>0</v>
      </c>
      <c r="X15" s="386" t="str">
        <f t="shared" si="8"/>
        <v/>
      </c>
      <c r="Y15" s="387" t="str">
        <f t="shared" si="9"/>
        <v/>
      </c>
      <c r="Z15" s="3"/>
      <c r="AA15" s="4"/>
      <c r="AB15" s="4"/>
      <c r="AC15" s="4"/>
      <c r="AD15" s="4"/>
      <c r="AE15" s="5"/>
      <c r="AF15" s="3"/>
      <c r="AG15" s="4"/>
      <c r="AH15" s="4"/>
      <c r="AI15" s="4"/>
      <c r="AJ15" s="4"/>
      <c r="AK15" s="5"/>
      <c r="AL15" s="3"/>
      <c r="AM15" s="4"/>
      <c r="AN15" s="4"/>
      <c r="AO15" s="4"/>
      <c r="AP15" s="4"/>
      <c r="AQ15" s="5"/>
      <c r="AR15" s="682">
        <f t="shared" si="10"/>
        <v>1000</v>
      </c>
      <c r="AS15" s="4">
        <f t="shared" si="11"/>
        <v>0</v>
      </c>
      <c r="AT15" s="386">
        <f t="shared" si="12"/>
        <v>750</v>
      </c>
      <c r="AU15" s="386">
        <f t="shared" si="84"/>
        <v>750</v>
      </c>
      <c r="AV15" s="386">
        <f t="shared" si="14"/>
        <v>1430.6999999999998</v>
      </c>
      <c r="AW15" s="387">
        <f t="shared" si="15"/>
        <v>24321900</v>
      </c>
      <c r="AX15" s="3"/>
      <c r="AY15" s="4"/>
      <c r="AZ15" s="4"/>
      <c r="BA15" s="4"/>
      <c r="BB15" s="4"/>
      <c r="BC15" s="5"/>
      <c r="BD15" s="682">
        <f t="shared" si="16"/>
        <v>0</v>
      </c>
      <c r="BE15" s="4">
        <f t="shared" si="17"/>
        <v>359</v>
      </c>
      <c r="BF15" s="386">
        <f t="shared" si="18"/>
        <v>0</v>
      </c>
      <c r="BG15" s="386">
        <f t="shared" si="85"/>
        <v>359</v>
      </c>
      <c r="BH15" s="386">
        <f t="shared" si="20"/>
        <v>338.39000000000016</v>
      </c>
      <c r="BI15" s="387">
        <f t="shared" si="21"/>
        <v>6141778.5000000028</v>
      </c>
      <c r="BJ15" s="682" t="str">
        <f t="shared" si="22"/>
        <v/>
      </c>
      <c r="BK15" s="4" t="str">
        <f t="shared" si="23"/>
        <v/>
      </c>
      <c r="BL15" s="386" t="str">
        <f t="shared" si="24"/>
        <v/>
      </c>
      <c r="BM15" s="386">
        <f t="shared" si="25"/>
        <v>0</v>
      </c>
      <c r="BN15" s="386" t="str">
        <f t="shared" si="26"/>
        <v/>
      </c>
      <c r="BO15" s="387" t="str">
        <f t="shared" si="27"/>
        <v/>
      </c>
      <c r="BP15" s="682">
        <f t="shared" si="28"/>
        <v>0</v>
      </c>
      <c r="BQ15" s="4">
        <f t="shared" si="29"/>
        <v>0</v>
      </c>
      <c r="BR15" s="386">
        <f t="shared" si="30"/>
        <v>27</v>
      </c>
      <c r="BS15" s="386">
        <f t="shared" si="86"/>
        <v>27</v>
      </c>
      <c r="BT15" s="386">
        <f t="shared" si="32"/>
        <v>26.244</v>
      </c>
      <c r="BU15" s="387">
        <f t="shared" si="33"/>
        <v>433026</v>
      </c>
      <c r="BV15" s="682" t="str">
        <f t="shared" si="34"/>
        <v/>
      </c>
      <c r="BW15" s="4" t="str">
        <f t="shared" si="35"/>
        <v/>
      </c>
      <c r="BX15" s="386" t="str">
        <f t="shared" si="36"/>
        <v/>
      </c>
      <c r="BY15" s="386">
        <f t="shared" si="37"/>
        <v>0</v>
      </c>
      <c r="BZ15" s="386" t="str">
        <f t="shared" si="38"/>
        <v/>
      </c>
      <c r="CA15" s="387" t="str">
        <f t="shared" si="39"/>
        <v/>
      </c>
      <c r="CB15" s="682" t="str">
        <f t="shared" si="40"/>
        <v/>
      </c>
      <c r="CC15" s="4" t="str">
        <f t="shared" si="41"/>
        <v/>
      </c>
      <c r="CD15" s="386" t="str">
        <f t="shared" si="42"/>
        <v/>
      </c>
      <c r="CE15" s="386">
        <f t="shared" si="43"/>
        <v>0</v>
      </c>
      <c r="CF15" s="386" t="str">
        <f t="shared" si="44"/>
        <v/>
      </c>
      <c r="CG15" s="387" t="str">
        <f t="shared" si="45"/>
        <v/>
      </c>
      <c r="CH15" s="682">
        <f t="shared" si="46"/>
        <v>0</v>
      </c>
      <c r="CI15" s="4">
        <f t="shared" si="47"/>
        <v>0</v>
      </c>
      <c r="CJ15" s="386">
        <f t="shared" si="48"/>
        <v>618</v>
      </c>
      <c r="CK15" s="386">
        <f t="shared" si="87"/>
        <v>618</v>
      </c>
      <c r="CL15" s="386">
        <f t="shared" si="50"/>
        <v>831.54399999999998</v>
      </c>
      <c r="CM15" s="387">
        <f t="shared" si="51"/>
        <v>19541284</v>
      </c>
      <c r="CN15" s="682" t="str">
        <f t="shared" si="52"/>
        <v/>
      </c>
      <c r="CO15" s="4" t="str">
        <f t="shared" si="53"/>
        <v/>
      </c>
      <c r="CP15" s="386" t="str">
        <f t="shared" si="54"/>
        <v/>
      </c>
      <c r="CQ15" s="386">
        <f t="shared" si="88"/>
        <v>0</v>
      </c>
      <c r="CR15" s="386" t="str">
        <f t="shared" si="56"/>
        <v/>
      </c>
      <c r="CS15" s="387" t="str">
        <f t="shared" si="57"/>
        <v/>
      </c>
      <c r="CT15" s="682">
        <f t="shared" si="58"/>
        <v>0</v>
      </c>
      <c r="CU15" s="4">
        <f t="shared" si="59"/>
        <v>0.14000000000000001</v>
      </c>
      <c r="CV15" s="386">
        <f t="shared" si="60"/>
        <v>22</v>
      </c>
      <c r="CW15" s="386">
        <f t="shared" si="89"/>
        <v>22.14</v>
      </c>
      <c r="CX15" s="386">
        <f t="shared" si="62"/>
        <v>11.629799999999999</v>
      </c>
      <c r="CY15" s="387">
        <f t="shared" si="63"/>
        <v>186076.79999999999</v>
      </c>
      <c r="CZ15" s="682">
        <f t="shared" si="64"/>
        <v>15</v>
      </c>
      <c r="DA15" s="4">
        <f t="shared" si="65"/>
        <v>11</v>
      </c>
      <c r="DB15" s="386">
        <f t="shared" si="66"/>
        <v>0</v>
      </c>
      <c r="DC15" s="386">
        <f t="shared" si="90"/>
        <v>11</v>
      </c>
      <c r="DD15" s="386">
        <f t="shared" si="68"/>
        <v>2.6125000000000003</v>
      </c>
      <c r="DE15" s="387">
        <f t="shared" si="69"/>
        <v>51283.375000000007</v>
      </c>
      <c r="DF15" s="682" t="str">
        <f t="shared" si="70"/>
        <v/>
      </c>
      <c r="DG15" s="4" t="str">
        <f t="shared" si="71"/>
        <v/>
      </c>
      <c r="DH15" s="386" t="str">
        <f t="shared" si="72"/>
        <v/>
      </c>
      <c r="DI15" s="386">
        <f t="shared" si="73"/>
        <v>0</v>
      </c>
      <c r="DJ15" s="386" t="str">
        <f t="shared" si="74"/>
        <v/>
      </c>
      <c r="DK15" s="387" t="str">
        <f t="shared" si="75"/>
        <v/>
      </c>
      <c r="DL15" s="682" t="str">
        <f t="shared" si="76"/>
        <v/>
      </c>
      <c r="DM15" s="4" t="str">
        <f t="shared" si="77"/>
        <v/>
      </c>
      <c r="DN15" s="386" t="str">
        <f t="shared" si="78"/>
        <v/>
      </c>
      <c r="DO15" s="386">
        <f t="shared" si="79"/>
        <v>0</v>
      </c>
      <c r="DP15" s="386" t="str">
        <f t="shared" si="80"/>
        <v/>
      </c>
      <c r="DQ15" s="387" t="str">
        <f t="shared" si="81"/>
        <v/>
      </c>
    </row>
    <row r="16" spans="1:121" customFormat="1" x14ac:dyDescent="0.25">
      <c r="A16" t="s">
        <v>75</v>
      </c>
      <c r="B16" t="s">
        <v>33</v>
      </c>
      <c r="C16" t="s">
        <v>34</v>
      </c>
      <c r="D16" t="s">
        <v>35</v>
      </c>
      <c r="E16" t="s">
        <v>36</v>
      </c>
      <c r="F16" t="s">
        <v>76</v>
      </c>
      <c r="G16" t="s">
        <v>77</v>
      </c>
      <c r="H16" s="3"/>
      <c r="I16" s="4"/>
      <c r="J16" s="4"/>
      <c r="K16" s="4"/>
      <c r="L16" s="4"/>
      <c r="M16" s="5"/>
      <c r="N16" s="385" t="str">
        <f t="shared" si="0"/>
        <v/>
      </c>
      <c r="O16" s="386" t="str">
        <f t="shared" si="1"/>
        <v/>
      </c>
      <c r="P16" s="386" t="str">
        <f t="shared" si="2"/>
        <v/>
      </c>
      <c r="Q16" s="386">
        <f t="shared" si="82"/>
        <v>0</v>
      </c>
      <c r="R16" s="386" t="str">
        <f t="shared" si="3"/>
        <v/>
      </c>
      <c r="S16" s="387" t="str">
        <f t="shared" si="4"/>
        <v/>
      </c>
      <c r="T16" s="385" t="str">
        <f t="shared" si="5"/>
        <v/>
      </c>
      <c r="U16" s="386" t="str">
        <f t="shared" si="6"/>
        <v/>
      </c>
      <c r="V16" s="386" t="str">
        <f t="shared" si="7"/>
        <v/>
      </c>
      <c r="W16" s="386">
        <f t="shared" si="83"/>
        <v>0</v>
      </c>
      <c r="X16" s="386" t="str">
        <f t="shared" si="8"/>
        <v/>
      </c>
      <c r="Y16" s="387" t="str">
        <f t="shared" si="9"/>
        <v/>
      </c>
      <c r="Z16" s="3"/>
      <c r="AA16" s="4"/>
      <c r="AB16" s="4"/>
      <c r="AC16" s="4"/>
      <c r="AD16" s="4"/>
      <c r="AE16" s="5"/>
      <c r="AF16" s="3"/>
      <c r="AG16" s="4"/>
      <c r="AH16" s="4"/>
      <c r="AI16" s="4"/>
      <c r="AJ16" s="4"/>
      <c r="AK16" s="5"/>
      <c r="AL16" s="3"/>
      <c r="AM16" s="4"/>
      <c r="AN16" s="4"/>
      <c r="AO16" s="4"/>
      <c r="AP16" s="4"/>
      <c r="AQ16" s="5"/>
      <c r="AR16" s="682">
        <f t="shared" si="10"/>
        <v>393</v>
      </c>
      <c r="AS16" s="4">
        <f t="shared" si="11"/>
        <v>0</v>
      </c>
      <c r="AT16" s="386">
        <f t="shared" si="12"/>
        <v>295</v>
      </c>
      <c r="AU16" s="386">
        <f t="shared" si="84"/>
        <v>295</v>
      </c>
      <c r="AV16" s="386">
        <f t="shared" si="14"/>
        <v>506.50599999999997</v>
      </c>
      <c r="AW16" s="387">
        <f t="shared" si="15"/>
        <v>8610602</v>
      </c>
      <c r="AX16" s="3"/>
      <c r="AY16" s="4"/>
      <c r="AZ16" s="4"/>
      <c r="BA16" s="4"/>
      <c r="BB16" s="4"/>
      <c r="BC16" s="5"/>
      <c r="BD16" s="682">
        <f t="shared" si="16"/>
        <v>0</v>
      </c>
      <c r="BE16" s="4">
        <f t="shared" si="17"/>
        <v>78.650000000000006</v>
      </c>
      <c r="BF16" s="386">
        <f t="shared" si="18"/>
        <v>5.65</v>
      </c>
      <c r="BG16" s="386">
        <f t="shared" si="85"/>
        <v>84.300000000000011</v>
      </c>
      <c r="BH16" s="386">
        <f t="shared" si="20"/>
        <v>80.749000000000024</v>
      </c>
      <c r="BI16" s="387">
        <f t="shared" si="21"/>
        <v>1465594.3500000006</v>
      </c>
      <c r="BJ16" s="682" t="str">
        <f t="shared" si="22"/>
        <v/>
      </c>
      <c r="BK16" s="4" t="str">
        <f t="shared" si="23"/>
        <v/>
      </c>
      <c r="BL16" s="386" t="str">
        <f t="shared" si="24"/>
        <v/>
      </c>
      <c r="BM16" s="386">
        <f t="shared" si="25"/>
        <v>0</v>
      </c>
      <c r="BN16" s="386" t="str">
        <f t="shared" si="26"/>
        <v/>
      </c>
      <c r="BO16" s="387" t="str">
        <f t="shared" si="27"/>
        <v/>
      </c>
      <c r="BP16" s="682">
        <f t="shared" si="28"/>
        <v>0</v>
      </c>
      <c r="BQ16" s="4">
        <f t="shared" si="29"/>
        <v>2</v>
      </c>
      <c r="BR16" s="386">
        <f t="shared" si="30"/>
        <v>340</v>
      </c>
      <c r="BS16" s="386">
        <f t="shared" si="86"/>
        <v>342</v>
      </c>
      <c r="BT16" s="386">
        <f t="shared" si="32"/>
        <v>148.23000000000002</v>
      </c>
      <c r="BU16" s="387">
        <f t="shared" si="33"/>
        <v>2445795.0000000005</v>
      </c>
      <c r="BV16" s="682" t="str">
        <f t="shared" si="34"/>
        <v/>
      </c>
      <c r="BW16" s="4" t="str">
        <f t="shared" si="35"/>
        <v/>
      </c>
      <c r="BX16" s="386" t="str">
        <f t="shared" si="36"/>
        <v/>
      </c>
      <c r="BY16" s="386">
        <f t="shared" si="37"/>
        <v>0</v>
      </c>
      <c r="BZ16" s="386" t="str">
        <f t="shared" si="38"/>
        <v/>
      </c>
      <c r="CA16" s="387" t="str">
        <f t="shared" si="39"/>
        <v/>
      </c>
      <c r="CB16" s="682" t="str">
        <f t="shared" si="40"/>
        <v/>
      </c>
      <c r="CC16" s="4" t="str">
        <f t="shared" si="41"/>
        <v/>
      </c>
      <c r="CD16" s="386" t="str">
        <f t="shared" si="42"/>
        <v/>
      </c>
      <c r="CE16" s="386">
        <f t="shared" si="43"/>
        <v>0</v>
      </c>
      <c r="CF16" s="386" t="str">
        <f t="shared" si="44"/>
        <v/>
      </c>
      <c r="CG16" s="387" t="str">
        <f t="shared" si="45"/>
        <v/>
      </c>
      <c r="CH16" s="682">
        <f t="shared" si="46"/>
        <v>0</v>
      </c>
      <c r="CI16" s="4">
        <f t="shared" si="47"/>
        <v>0</v>
      </c>
      <c r="CJ16" s="386">
        <f t="shared" si="48"/>
        <v>352</v>
      </c>
      <c r="CK16" s="386">
        <f t="shared" si="87"/>
        <v>352</v>
      </c>
      <c r="CL16" s="386">
        <f t="shared" si="50"/>
        <v>165.0155</v>
      </c>
      <c r="CM16" s="387">
        <f t="shared" si="51"/>
        <v>3877864.25</v>
      </c>
      <c r="CN16" s="682">
        <f t="shared" si="52"/>
        <v>135</v>
      </c>
      <c r="CO16" s="4">
        <f t="shared" si="53"/>
        <v>0</v>
      </c>
      <c r="CP16" s="386">
        <f t="shared" si="54"/>
        <v>100</v>
      </c>
      <c r="CQ16" s="386">
        <f t="shared" si="88"/>
        <v>100</v>
      </c>
      <c r="CR16" s="386">
        <f t="shared" si="56"/>
        <v>74.55</v>
      </c>
      <c r="CS16" s="387">
        <f t="shared" si="57"/>
        <v>1276296</v>
      </c>
      <c r="CT16" s="682" t="str">
        <f t="shared" si="58"/>
        <v/>
      </c>
      <c r="CU16" s="4" t="str">
        <f t="shared" si="59"/>
        <v/>
      </c>
      <c r="CV16" s="386" t="str">
        <f t="shared" si="60"/>
        <v/>
      </c>
      <c r="CW16" s="386">
        <f t="shared" si="89"/>
        <v>0</v>
      </c>
      <c r="CX16" s="386" t="str">
        <f t="shared" si="62"/>
        <v/>
      </c>
      <c r="CY16" s="387" t="str">
        <f t="shared" si="63"/>
        <v/>
      </c>
      <c r="CZ16" s="682">
        <f t="shared" si="64"/>
        <v>333</v>
      </c>
      <c r="DA16" s="4">
        <f t="shared" si="65"/>
        <v>250</v>
      </c>
      <c r="DB16" s="386">
        <f t="shared" si="66"/>
        <v>0</v>
      </c>
      <c r="DC16" s="386">
        <f t="shared" si="90"/>
        <v>250</v>
      </c>
      <c r="DD16" s="386">
        <f t="shared" si="68"/>
        <v>59.375</v>
      </c>
      <c r="DE16" s="387">
        <f t="shared" si="69"/>
        <v>1165531.25</v>
      </c>
      <c r="DF16" s="682" t="str">
        <f t="shared" si="70"/>
        <v/>
      </c>
      <c r="DG16" s="4" t="str">
        <f t="shared" si="71"/>
        <v/>
      </c>
      <c r="DH16" s="386" t="str">
        <f t="shared" si="72"/>
        <v/>
      </c>
      <c r="DI16" s="386">
        <f t="shared" si="73"/>
        <v>0</v>
      </c>
      <c r="DJ16" s="386" t="str">
        <f t="shared" si="74"/>
        <v/>
      </c>
      <c r="DK16" s="387" t="str">
        <f t="shared" si="75"/>
        <v/>
      </c>
      <c r="DL16" s="682" t="str">
        <f t="shared" si="76"/>
        <v/>
      </c>
      <c r="DM16" s="4" t="str">
        <f t="shared" si="77"/>
        <v/>
      </c>
      <c r="DN16" s="386" t="str">
        <f t="shared" si="78"/>
        <v/>
      </c>
      <c r="DO16" s="386">
        <f t="shared" si="79"/>
        <v>0</v>
      </c>
      <c r="DP16" s="386" t="str">
        <f t="shared" si="80"/>
        <v/>
      </c>
      <c r="DQ16" s="387" t="str">
        <f t="shared" si="81"/>
        <v/>
      </c>
    </row>
    <row r="17" spans="1:121" customFormat="1" x14ac:dyDescent="0.25">
      <c r="A17" t="s">
        <v>78</v>
      </c>
      <c r="B17" t="s">
        <v>33</v>
      </c>
      <c r="C17" t="s">
        <v>34</v>
      </c>
      <c r="D17" t="s">
        <v>35</v>
      </c>
      <c r="E17" t="s">
        <v>36</v>
      </c>
      <c r="F17" t="s">
        <v>79</v>
      </c>
      <c r="G17" t="s">
        <v>80</v>
      </c>
      <c r="H17" s="3"/>
      <c r="I17" s="4"/>
      <c r="J17" s="4"/>
      <c r="K17" s="4"/>
      <c r="L17" s="4"/>
      <c r="M17" s="5"/>
      <c r="N17" s="385">
        <f t="shared" si="0"/>
        <v>60</v>
      </c>
      <c r="O17" s="386">
        <f t="shared" si="1"/>
        <v>0</v>
      </c>
      <c r="P17" s="386">
        <f t="shared" si="2"/>
        <v>30</v>
      </c>
      <c r="Q17" s="386">
        <f t="shared" si="82"/>
        <v>30</v>
      </c>
      <c r="R17" s="386">
        <f t="shared" si="3"/>
        <v>78.75</v>
      </c>
      <c r="S17" s="387">
        <f t="shared" si="4"/>
        <v>1181250</v>
      </c>
      <c r="T17" s="385">
        <f t="shared" si="5"/>
        <v>0</v>
      </c>
      <c r="U17" s="386">
        <f t="shared" si="6"/>
        <v>2</v>
      </c>
      <c r="V17" s="386">
        <f t="shared" si="7"/>
        <v>86</v>
      </c>
      <c r="W17" s="386">
        <f t="shared" si="83"/>
        <v>88</v>
      </c>
      <c r="X17" s="386">
        <f t="shared" si="8"/>
        <v>74.5</v>
      </c>
      <c r="Y17" s="387">
        <f t="shared" si="9"/>
        <v>967500</v>
      </c>
      <c r="Z17" s="3"/>
      <c r="AA17" s="4"/>
      <c r="AB17" s="4"/>
      <c r="AC17" s="4"/>
      <c r="AD17" s="4"/>
      <c r="AE17" s="5"/>
      <c r="AF17" s="3"/>
      <c r="AG17" s="4"/>
      <c r="AH17" s="4"/>
      <c r="AI17" s="4"/>
      <c r="AJ17" s="4"/>
      <c r="AK17" s="5"/>
      <c r="AL17" s="3"/>
      <c r="AM17" s="4"/>
      <c r="AN17" s="4"/>
      <c r="AO17" s="4"/>
      <c r="AP17" s="4"/>
      <c r="AQ17" s="5"/>
      <c r="AR17" s="682">
        <f t="shared" si="10"/>
        <v>1072</v>
      </c>
      <c r="AS17" s="4">
        <f t="shared" si="11"/>
        <v>0</v>
      </c>
      <c r="AT17" s="386">
        <f t="shared" si="12"/>
        <v>804</v>
      </c>
      <c r="AU17" s="386">
        <f t="shared" si="84"/>
        <v>804</v>
      </c>
      <c r="AV17" s="386">
        <f t="shared" si="14"/>
        <v>1487.9279999999999</v>
      </c>
      <c r="AW17" s="387">
        <f t="shared" si="15"/>
        <v>25294776</v>
      </c>
      <c r="AX17" s="3"/>
      <c r="AY17" s="4"/>
      <c r="AZ17" s="4"/>
      <c r="BA17" s="4"/>
      <c r="BB17" s="4"/>
      <c r="BC17" s="5"/>
      <c r="BD17" s="682">
        <f t="shared" si="16"/>
        <v>0</v>
      </c>
      <c r="BE17" s="4">
        <f t="shared" si="17"/>
        <v>36</v>
      </c>
      <c r="BF17" s="386">
        <f t="shared" si="18"/>
        <v>0</v>
      </c>
      <c r="BG17" s="386">
        <f t="shared" si="85"/>
        <v>36</v>
      </c>
      <c r="BH17" s="386">
        <f t="shared" si="20"/>
        <v>0</v>
      </c>
      <c r="BI17" s="387">
        <f t="shared" si="21"/>
        <v>35334</v>
      </c>
      <c r="BJ17" s="682" t="str">
        <f t="shared" si="22"/>
        <v/>
      </c>
      <c r="BK17" s="4" t="str">
        <f t="shared" si="23"/>
        <v/>
      </c>
      <c r="BL17" s="386" t="str">
        <f t="shared" si="24"/>
        <v/>
      </c>
      <c r="BM17" s="386">
        <f t="shared" si="25"/>
        <v>0</v>
      </c>
      <c r="BN17" s="386" t="str">
        <f t="shared" si="26"/>
        <v/>
      </c>
      <c r="BO17" s="387" t="str">
        <f t="shared" si="27"/>
        <v/>
      </c>
      <c r="BP17" s="682">
        <f t="shared" si="28"/>
        <v>0</v>
      </c>
      <c r="BQ17" s="4">
        <f t="shared" si="29"/>
        <v>0</v>
      </c>
      <c r="BR17" s="386">
        <f t="shared" si="30"/>
        <v>165</v>
      </c>
      <c r="BS17" s="386">
        <f t="shared" si="86"/>
        <v>165</v>
      </c>
      <c r="BT17" s="386">
        <f t="shared" si="32"/>
        <v>128.30400000000003</v>
      </c>
      <c r="BU17" s="387">
        <f t="shared" si="33"/>
        <v>2117016.0000000005</v>
      </c>
      <c r="BV17" s="682" t="str">
        <f t="shared" si="34"/>
        <v/>
      </c>
      <c r="BW17" s="4" t="str">
        <f t="shared" si="35"/>
        <v/>
      </c>
      <c r="BX17" s="386" t="str">
        <f t="shared" si="36"/>
        <v/>
      </c>
      <c r="BY17" s="386">
        <f t="shared" si="37"/>
        <v>0</v>
      </c>
      <c r="BZ17" s="386" t="str">
        <f t="shared" si="38"/>
        <v/>
      </c>
      <c r="CA17" s="387" t="str">
        <f t="shared" si="39"/>
        <v/>
      </c>
      <c r="CB17" s="682" t="str">
        <f t="shared" si="40"/>
        <v/>
      </c>
      <c r="CC17" s="4" t="str">
        <f t="shared" si="41"/>
        <v/>
      </c>
      <c r="CD17" s="386" t="str">
        <f t="shared" si="42"/>
        <v/>
      </c>
      <c r="CE17" s="386">
        <f t="shared" si="43"/>
        <v>0</v>
      </c>
      <c r="CF17" s="386" t="str">
        <f t="shared" si="44"/>
        <v/>
      </c>
      <c r="CG17" s="387" t="str">
        <f t="shared" si="45"/>
        <v/>
      </c>
      <c r="CH17" s="682">
        <f t="shared" si="46"/>
        <v>0</v>
      </c>
      <c r="CI17" s="4">
        <f t="shared" si="47"/>
        <v>0</v>
      </c>
      <c r="CJ17" s="386">
        <f t="shared" si="48"/>
        <v>329</v>
      </c>
      <c r="CK17" s="386">
        <f t="shared" si="87"/>
        <v>329</v>
      </c>
      <c r="CL17" s="386">
        <f t="shared" si="50"/>
        <v>419.60400000000004</v>
      </c>
      <c r="CM17" s="387">
        <f t="shared" si="51"/>
        <v>9860694</v>
      </c>
      <c r="CN17" s="682" t="str">
        <f t="shared" si="52"/>
        <v/>
      </c>
      <c r="CO17" s="4" t="str">
        <f t="shared" si="53"/>
        <v/>
      </c>
      <c r="CP17" s="386" t="str">
        <f t="shared" si="54"/>
        <v/>
      </c>
      <c r="CQ17" s="386">
        <f t="shared" si="88"/>
        <v>0</v>
      </c>
      <c r="CR17" s="386" t="str">
        <f t="shared" si="56"/>
        <v/>
      </c>
      <c r="CS17" s="387" t="str">
        <f t="shared" si="57"/>
        <v/>
      </c>
      <c r="CT17" s="682">
        <f t="shared" si="58"/>
        <v>0</v>
      </c>
      <c r="CU17" s="4">
        <f t="shared" si="59"/>
        <v>0</v>
      </c>
      <c r="CV17" s="386">
        <f t="shared" si="60"/>
        <v>77</v>
      </c>
      <c r="CW17" s="386">
        <f t="shared" si="89"/>
        <v>77</v>
      </c>
      <c r="CX17" s="386">
        <f t="shared" si="62"/>
        <v>38.268999999999998</v>
      </c>
      <c r="CY17" s="387">
        <f t="shared" si="63"/>
        <v>612304</v>
      </c>
      <c r="CZ17" s="682">
        <f t="shared" si="64"/>
        <v>487</v>
      </c>
      <c r="DA17" s="4">
        <f t="shared" si="65"/>
        <v>365.5</v>
      </c>
      <c r="DB17" s="386">
        <f t="shared" si="66"/>
        <v>0</v>
      </c>
      <c r="DC17" s="386">
        <f t="shared" si="90"/>
        <v>365.5</v>
      </c>
      <c r="DD17" s="386">
        <f t="shared" si="68"/>
        <v>122.78750000000001</v>
      </c>
      <c r="DE17" s="387">
        <f t="shared" si="69"/>
        <v>2410318.625</v>
      </c>
      <c r="DF17" s="682" t="str">
        <f t="shared" si="70"/>
        <v/>
      </c>
      <c r="DG17" s="4" t="str">
        <f t="shared" si="71"/>
        <v/>
      </c>
      <c r="DH17" s="386" t="str">
        <f t="shared" si="72"/>
        <v/>
      </c>
      <c r="DI17" s="386">
        <f t="shared" si="73"/>
        <v>0</v>
      </c>
      <c r="DJ17" s="386" t="str">
        <f t="shared" si="74"/>
        <v/>
      </c>
      <c r="DK17" s="387" t="str">
        <f t="shared" si="75"/>
        <v/>
      </c>
      <c r="DL17" s="682" t="str">
        <f t="shared" si="76"/>
        <v/>
      </c>
      <c r="DM17" s="4" t="str">
        <f t="shared" si="77"/>
        <v/>
      </c>
      <c r="DN17" s="386" t="str">
        <f t="shared" si="78"/>
        <v/>
      </c>
      <c r="DO17" s="386">
        <f t="shared" si="79"/>
        <v>0</v>
      </c>
      <c r="DP17" s="386" t="str">
        <f t="shared" si="80"/>
        <v/>
      </c>
      <c r="DQ17" s="387" t="str">
        <f t="shared" si="81"/>
        <v/>
      </c>
    </row>
    <row r="18" spans="1:121" customFormat="1" x14ac:dyDescent="0.25">
      <c r="A18" t="s">
        <v>81</v>
      </c>
      <c r="B18" t="s">
        <v>33</v>
      </c>
      <c r="C18" t="s">
        <v>34</v>
      </c>
      <c r="D18" t="s">
        <v>35</v>
      </c>
      <c r="E18" t="s">
        <v>36</v>
      </c>
      <c r="F18" t="s">
        <v>82</v>
      </c>
      <c r="G18" t="s">
        <v>83</v>
      </c>
      <c r="H18" s="3"/>
      <c r="I18" s="4"/>
      <c r="J18" s="4"/>
      <c r="K18" s="4"/>
      <c r="L18" s="4"/>
      <c r="M18" s="5"/>
      <c r="N18" s="385" t="str">
        <f t="shared" si="0"/>
        <v/>
      </c>
      <c r="O18" s="386" t="str">
        <f t="shared" si="1"/>
        <v/>
      </c>
      <c r="P18" s="386" t="str">
        <f t="shared" si="2"/>
        <v/>
      </c>
      <c r="Q18" s="386">
        <f t="shared" si="82"/>
        <v>0</v>
      </c>
      <c r="R18" s="386" t="str">
        <f t="shared" si="3"/>
        <v/>
      </c>
      <c r="S18" s="387" t="str">
        <f t="shared" si="4"/>
        <v/>
      </c>
      <c r="T18" s="385" t="str">
        <f t="shared" si="5"/>
        <v/>
      </c>
      <c r="U18" s="386" t="str">
        <f t="shared" si="6"/>
        <v/>
      </c>
      <c r="V18" s="386" t="str">
        <f t="shared" si="7"/>
        <v/>
      </c>
      <c r="W18" s="386">
        <f t="shared" si="83"/>
        <v>0</v>
      </c>
      <c r="X18" s="386" t="str">
        <f t="shared" si="8"/>
        <v/>
      </c>
      <c r="Y18" s="387" t="str">
        <f t="shared" si="9"/>
        <v/>
      </c>
      <c r="Z18" s="3"/>
      <c r="AA18" s="4"/>
      <c r="AB18" s="4"/>
      <c r="AC18" s="4"/>
      <c r="AD18" s="4"/>
      <c r="AE18" s="5"/>
      <c r="AF18" s="3"/>
      <c r="AG18" s="4"/>
      <c r="AH18" s="4"/>
      <c r="AI18" s="4"/>
      <c r="AJ18" s="4"/>
      <c r="AK18" s="5"/>
      <c r="AL18" s="3"/>
      <c r="AM18" s="4"/>
      <c r="AN18" s="4"/>
      <c r="AO18" s="4"/>
      <c r="AP18" s="4"/>
      <c r="AQ18" s="5"/>
      <c r="AR18" s="682">
        <f t="shared" si="10"/>
        <v>1812</v>
      </c>
      <c r="AS18" s="4">
        <f t="shared" si="11"/>
        <v>0</v>
      </c>
      <c r="AT18" s="386">
        <f t="shared" si="12"/>
        <v>2109</v>
      </c>
      <c r="AU18" s="386">
        <f t="shared" si="84"/>
        <v>2109</v>
      </c>
      <c r="AV18" s="386">
        <f t="shared" si="14"/>
        <v>3676.9</v>
      </c>
      <c r="AW18" s="387">
        <f t="shared" si="15"/>
        <v>62507300</v>
      </c>
      <c r="AX18" s="3"/>
      <c r="AY18" s="4"/>
      <c r="AZ18" s="4"/>
      <c r="BA18" s="4"/>
      <c r="BB18" s="4"/>
      <c r="BC18" s="5"/>
      <c r="BD18" s="682">
        <f t="shared" si="16"/>
        <v>0</v>
      </c>
      <c r="BE18" s="4">
        <f t="shared" si="17"/>
        <v>815</v>
      </c>
      <c r="BF18" s="386">
        <f t="shared" si="18"/>
        <v>0</v>
      </c>
      <c r="BG18" s="386">
        <f t="shared" si="85"/>
        <v>815</v>
      </c>
      <c r="BH18" s="386">
        <f t="shared" si="20"/>
        <v>27.945</v>
      </c>
      <c r="BI18" s="387">
        <f t="shared" si="21"/>
        <v>1284549.75</v>
      </c>
      <c r="BJ18" s="682" t="str">
        <f t="shared" si="22"/>
        <v/>
      </c>
      <c r="BK18" s="4" t="str">
        <f t="shared" si="23"/>
        <v/>
      </c>
      <c r="BL18" s="386" t="str">
        <f t="shared" si="24"/>
        <v/>
      </c>
      <c r="BM18" s="386">
        <f t="shared" si="25"/>
        <v>0</v>
      </c>
      <c r="BN18" s="386" t="str">
        <f t="shared" si="26"/>
        <v/>
      </c>
      <c r="BO18" s="387" t="str">
        <f t="shared" si="27"/>
        <v/>
      </c>
      <c r="BP18" s="682">
        <f t="shared" si="28"/>
        <v>0</v>
      </c>
      <c r="BQ18" s="4">
        <f t="shared" si="29"/>
        <v>0</v>
      </c>
      <c r="BR18" s="386">
        <f t="shared" si="30"/>
        <v>89</v>
      </c>
      <c r="BS18" s="386">
        <f t="shared" si="86"/>
        <v>89</v>
      </c>
      <c r="BT18" s="386">
        <f t="shared" si="32"/>
        <v>86.50800000000001</v>
      </c>
      <c r="BU18" s="387">
        <f t="shared" si="33"/>
        <v>1427382</v>
      </c>
      <c r="BV18" s="682" t="str">
        <f t="shared" si="34"/>
        <v/>
      </c>
      <c r="BW18" s="4" t="str">
        <f t="shared" si="35"/>
        <v/>
      </c>
      <c r="BX18" s="386" t="str">
        <f t="shared" si="36"/>
        <v/>
      </c>
      <c r="BY18" s="386">
        <f t="shared" si="37"/>
        <v>0</v>
      </c>
      <c r="BZ18" s="386" t="str">
        <f t="shared" si="38"/>
        <v/>
      </c>
      <c r="CA18" s="387" t="str">
        <f t="shared" si="39"/>
        <v/>
      </c>
      <c r="CB18" s="682" t="str">
        <f t="shared" si="40"/>
        <v/>
      </c>
      <c r="CC18" s="4" t="str">
        <f t="shared" si="41"/>
        <v/>
      </c>
      <c r="CD18" s="386" t="str">
        <f t="shared" si="42"/>
        <v/>
      </c>
      <c r="CE18" s="386">
        <f t="shared" si="43"/>
        <v>0</v>
      </c>
      <c r="CF18" s="386" t="str">
        <f t="shared" si="44"/>
        <v/>
      </c>
      <c r="CG18" s="387" t="str">
        <f t="shared" si="45"/>
        <v/>
      </c>
      <c r="CH18" s="682">
        <f t="shared" si="46"/>
        <v>0</v>
      </c>
      <c r="CI18" s="4">
        <f t="shared" si="47"/>
        <v>0</v>
      </c>
      <c r="CJ18" s="386">
        <f t="shared" si="48"/>
        <v>630</v>
      </c>
      <c r="CK18" s="386">
        <f t="shared" si="87"/>
        <v>630</v>
      </c>
      <c r="CL18" s="386">
        <f t="shared" si="50"/>
        <v>905.31000000000006</v>
      </c>
      <c r="CM18" s="387">
        <f t="shared" si="51"/>
        <v>21274785</v>
      </c>
      <c r="CN18" s="682">
        <f t="shared" si="52"/>
        <v>0</v>
      </c>
      <c r="CO18" s="4">
        <f t="shared" si="53"/>
        <v>35</v>
      </c>
      <c r="CP18" s="386">
        <f t="shared" si="54"/>
        <v>105</v>
      </c>
      <c r="CQ18" s="386">
        <f t="shared" si="88"/>
        <v>140</v>
      </c>
      <c r="CR18" s="386">
        <f t="shared" si="56"/>
        <v>252.22749999999999</v>
      </c>
      <c r="CS18" s="387">
        <f t="shared" si="57"/>
        <v>4318134.8</v>
      </c>
      <c r="CT18" s="682">
        <f t="shared" si="58"/>
        <v>67</v>
      </c>
      <c r="CU18" s="4">
        <f t="shared" si="59"/>
        <v>0</v>
      </c>
      <c r="CV18" s="386">
        <f t="shared" si="60"/>
        <v>50</v>
      </c>
      <c r="CW18" s="386">
        <f t="shared" si="89"/>
        <v>50</v>
      </c>
      <c r="CX18" s="386">
        <f t="shared" si="62"/>
        <v>24.85</v>
      </c>
      <c r="CY18" s="387">
        <f t="shared" si="63"/>
        <v>397600</v>
      </c>
      <c r="CZ18" s="682">
        <f t="shared" si="64"/>
        <v>654</v>
      </c>
      <c r="DA18" s="4">
        <f t="shared" si="65"/>
        <v>491</v>
      </c>
      <c r="DB18" s="386">
        <f t="shared" si="66"/>
        <v>0</v>
      </c>
      <c r="DC18" s="386">
        <f t="shared" si="90"/>
        <v>491</v>
      </c>
      <c r="DD18" s="386">
        <f t="shared" si="68"/>
        <v>129.67500000000001</v>
      </c>
      <c r="DE18" s="387">
        <f t="shared" si="69"/>
        <v>2545520.25</v>
      </c>
      <c r="DF18" s="682" t="str">
        <f t="shared" si="70"/>
        <v/>
      </c>
      <c r="DG18" s="4" t="str">
        <f t="shared" si="71"/>
        <v/>
      </c>
      <c r="DH18" s="386" t="str">
        <f t="shared" si="72"/>
        <v/>
      </c>
      <c r="DI18" s="386">
        <f t="shared" si="73"/>
        <v>0</v>
      </c>
      <c r="DJ18" s="386" t="str">
        <f t="shared" si="74"/>
        <v/>
      </c>
      <c r="DK18" s="387" t="str">
        <f t="shared" si="75"/>
        <v/>
      </c>
      <c r="DL18" s="682" t="str">
        <f t="shared" si="76"/>
        <v/>
      </c>
      <c r="DM18" s="4" t="str">
        <f t="shared" si="77"/>
        <v/>
      </c>
      <c r="DN18" s="386" t="str">
        <f t="shared" si="78"/>
        <v/>
      </c>
      <c r="DO18" s="386">
        <f t="shared" si="79"/>
        <v>0</v>
      </c>
      <c r="DP18" s="386" t="str">
        <f t="shared" si="80"/>
        <v/>
      </c>
      <c r="DQ18" s="387" t="str">
        <f t="shared" si="81"/>
        <v/>
      </c>
    </row>
    <row r="19" spans="1:121" customFormat="1" x14ac:dyDescent="0.25">
      <c r="A19" t="s">
        <v>84</v>
      </c>
      <c r="B19" t="s">
        <v>33</v>
      </c>
      <c r="C19" t="s">
        <v>34</v>
      </c>
      <c r="D19" t="s">
        <v>35</v>
      </c>
      <c r="E19" t="s">
        <v>36</v>
      </c>
      <c r="F19" t="s">
        <v>85</v>
      </c>
      <c r="G19" t="s">
        <v>86</v>
      </c>
      <c r="H19" s="3"/>
      <c r="I19" s="4"/>
      <c r="J19" s="4"/>
      <c r="K19" s="4"/>
      <c r="L19" s="4"/>
      <c r="M19" s="5"/>
      <c r="N19" s="385" t="str">
        <f t="shared" si="0"/>
        <v/>
      </c>
      <c r="O19" s="386" t="str">
        <f t="shared" si="1"/>
        <v/>
      </c>
      <c r="P19" s="386" t="str">
        <f t="shared" si="2"/>
        <v/>
      </c>
      <c r="Q19" s="386">
        <f t="shared" si="82"/>
        <v>0</v>
      </c>
      <c r="R19" s="386" t="str">
        <f t="shared" si="3"/>
        <v/>
      </c>
      <c r="S19" s="387" t="str">
        <f t="shared" si="4"/>
        <v/>
      </c>
      <c r="T19" s="385" t="str">
        <f t="shared" si="5"/>
        <v/>
      </c>
      <c r="U19" s="386" t="str">
        <f t="shared" si="6"/>
        <v/>
      </c>
      <c r="V19" s="386" t="str">
        <f t="shared" si="7"/>
        <v/>
      </c>
      <c r="W19" s="386">
        <f t="shared" si="83"/>
        <v>0</v>
      </c>
      <c r="X19" s="386" t="str">
        <f t="shared" si="8"/>
        <v/>
      </c>
      <c r="Y19" s="387" t="str">
        <f t="shared" si="9"/>
        <v/>
      </c>
      <c r="Z19" s="3"/>
      <c r="AA19" s="4"/>
      <c r="AB19" s="4"/>
      <c r="AC19" s="4"/>
      <c r="AD19" s="4"/>
      <c r="AE19" s="5"/>
      <c r="AF19" s="3"/>
      <c r="AG19" s="4"/>
      <c r="AH19" s="4"/>
      <c r="AI19" s="4"/>
      <c r="AJ19" s="4"/>
      <c r="AK19" s="5"/>
      <c r="AL19" s="3"/>
      <c r="AM19" s="4"/>
      <c r="AN19" s="4"/>
      <c r="AO19" s="4"/>
      <c r="AP19" s="4"/>
      <c r="AQ19" s="5"/>
      <c r="AR19" s="682">
        <f t="shared" si="10"/>
        <v>480</v>
      </c>
      <c r="AS19" s="4">
        <f t="shared" si="11"/>
        <v>0</v>
      </c>
      <c r="AT19" s="386">
        <f t="shared" si="12"/>
        <v>360</v>
      </c>
      <c r="AU19" s="386">
        <f t="shared" si="84"/>
        <v>360</v>
      </c>
      <c r="AV19" s="386">
        <f t="shared" si="14"/>
        <v>660.55</v>
      </c>
      <c r="AW19" s="387">
        <f t="shared" si="15"/>
        <v>11229350</v>
      </c>
      <c r="AX19" s="3"/>
      <c r="AY19" s="4"/>
      <c r="AZ19" s="4"/>
      <c r="BA19" s="4"/>
      <c r="BB19" s="4"/>
      <c r="BC19" s="5"/>
      <c r="BD19" s="682">
        <f t="shared" si="16"/>
        <v>0</v>
      </c>
      <c r="BE19" s="4">
        <f t="shared" si="17"/>
        <v>203</v>
      </c>
      <c r="BF19" s="386">
        <f t="shared" si="18"/>
        <v>0</v>
      </c>
      <c r="BG19" s="386">
        <f t="shared" si="85"/>
        <v>203</v>
      </c>
      <c r="BH19" s="386">
        <f t="shared" si="20"/>
        <v>45.990000000000023</v>
      </c>
      <c r="BI19" s="387">
        <f t="shared" si="21"/>
        <v>973287.67695473297</v>
      </c>
      <c r="BJ19" s="682" t="str">
        <f t="shared" si="22"/>
        <v/>
      </c>
      <c r="BK19" s="4" t="str">
        <f t="shared" si="23"/>
        <v/>
      </c>
      <c r="BL19" s="386" t="str">
        <f t="shared" si="24"/>
        <v/>
      </c>
      <c r="BM19" s="386">
        <f t="shared" si="25"/>
        <v>0</v>
      </c>
      <c r="BN19" s="386" t="str">
        <f t="shared" si="26"/>
        <v/>
      </c>
      <c r="BO19" s="387" t="str">
        <f t="shared" si="27"/>
        <v/>
      </c>
      <c r="BP19" s="682">
        <f t="shared" si="28"/>
        <v>0</v>
      </c>
      <c r="BQ19" s="4">
        <f t="shared" si="29"/>
        <v>0</v>
      </c>
      <c r="BR19" s="386">
        <f t="shared" si="30"/>
        <v>289</v>
      </c>
      <c r="BS19" s="386">
        <f t="shared" si="86"/>
        <v>289</v>
      </c>
      <c r="BT19" s="386">
        <f t="shared" si="32"/>
        <v>256.608</v>
      </c>
      <c r="BU19" s="387">
        <f t="shared" si="33"/>
        <v>4234032</v>
      </c>
      <c r="BV19" s="682" t="str">
        <f t="shared" si="34"/>
        <v/>
      </c>
      <c r="BW19" s="4" t="str">
        <f t="shared" si="35"/>
        <v/>
      </c>
      <c r="BX19" s="386" t="str">
        <f t="shared" si="36"/>
        <v/>
      </c>
      <c r="BY19" s="386">
        <f t="shared" si="37"/>
        <v>0</v>
      </c>
      <c r="BZ19" s="386" t="str">
        <f t="shared" si="38"/>
        <v/>
      </c>
      <c r="CA19" s="387" t="str">
        <f t="shared" si="39"/>
        <v/>
      </c>
      <c r="CB19" s="682" t="str">
        <f t="shared" si="40"/>
        <v/>
      </c>
      <c r="CC19" s="4" t="str">
        <f t="shared" si="41"/>
        <v/>
      </c>
      <c r="CD19" s="386" t="str">
        <f t="shared" si="42"/>
        <v/>
      </c>
      <c r="CE19" s="386">
        <f t="shared" si="43"/>
        <v>0</v>
      </c>
      <c r="CF19" s="386" t="str">
        <f t="shared" si="44"/>
        <v/>
      </c>
      <c r="CG19" s="387" t="str">
        <f t="shared" si="45"/>
        <v/>
      </c>
      <c r="CH19" s="682">
        <f t="shared" si="46"/>
        <v>0</v>
      </c>
      <c r="CI19" s="4">
        <f t="shared" si="47"/>
        <v>0</v>
      </c>
      <c r="CJ19" s="386">
        <f t="shared" si="48"/>
        <v>80</v>
      </c>
      <c r="CK19" s="386">
        <f t="shared" si="87"/>
        <v>80</v>
      </c>
      <c r="CL19" s="386">
        <f t="shared" si="50"/>
        <v>31.135000000000005</v>
      </c>
      <c r="CM19" s="387">
        <f t="shared" si="51"/>
        <v>731672.5</v>
      </c>
      <c r="CN19" s="682">
        <f t="shared" si="52"/>
        <v>2</v>
      </c>
      <c r="CO19" s="4">
        <f t="shared" si="53"/>
        <v>0.25</v>
      </c>
      <c r="CP19" s="386">
        <f t="shared" si="54"/>
        <v>0</v>
      </c>
      <c r="CQ19" s="386">
        <f t="shared" si="88"/>
        <v>0.25</v>
      </c>
      <c r="CR19" s="386">
        <f t="shared" si="56"/>
        <v>1.2424999999999999</v>
      </c>
      <c r="CS19" s="387">
        <f t="shared" si="57"/>
        <v>21271.599999999999</v>
      </c>
      <c r="CT19" s="682" t="str">
        <f t="shared" si="58"/>
        <v/>
      </c>
      <c r="CU19" s="4" t="str">
        <f t="shared" si="59"/>
        <v/>
      </c>
      <c r="CV19" s="386" t="str">
        <f t="shared" si="60"/>
        <v/>
      </c>
      <c r="CW19" s="386">
        <f t="shared" si="89"/>
        <v>0</v>
      </c>
      <c r="CX19" s="386" t="str">
        <f t="shared" si="62"/>
        <v/>
      </c>
      <c r="CY19" s="387" t="str">
        <f t="shared" si="63"/>
        <v/>
      </c>
      <c r="CZ19" s="682">
        <f t="shared" si="64"/>
        <v>373</v>
      </c>
      <c r="DA19" s="4">
        <f t="shared" si="65"/>
        <v>347</v>
      </c>
      <c r="DB19" s="386">
        <f t="shared" si="66"/>
        <v>0</v>
      </c>
      <c r="DC19" s="386">
        <f t="shared" si="90"/>
        <v>347</v>
      </c>
      <c r="DD19" s="386">
        <f t="shared" si="68"/>
        <v>82.412500000000009</v>
      </c>
      <c r="DE19" s="387">
        <f t="shared" si="69"/>
        <v>1617757.3750000002</v>
      </c>
      <c r="DF19" s="682" t="str">
        <f t="shared" si="70"/>
        <v/>
      </c>
      <c r="DG19" s="4" t="str">
        <f t="shared" si="71"/>
        <v/>
      </c>
      <c r="DH19" s="386" t="str">
        <f t="shared" si="72"/>
        <v/>
      </c>
      <c r="DI19" s="386">
        <f t="shared" si="73"/>
        <v>0</v>
      </c>
      <c r="DJ19" s="386" t="str">
        <f t="shared" si="74"/>
        <v/>
      </c>
      <c r="DK19" s="387" t="str">
        <f t="shared" si="75"/>
        <v/>
      </c>
      <c r="DL19" s="682" t="str">
        <f t="shared" si="76"/>
        <v/>
      </c>
      <c r="DM19" s="4" t="str">
        <f t="shared" si="77"/>
        <v/>
      </c>
      <c r="DN19" s="386" t="str">
        <f t="shared" si="78"/>
        <v/>
      </c>
      <c r="DO19" s="386">
        <f t="shared" si="79"/>
        <v>0</v>
      </c>
      <c r="DP19" s="386" t="str">
        <f t="shared" si="80"/>
        <v/>
      </c>
      <c r="DQ19" s="387" t="str">
        <f t="shared" si="81"/>
        <v/>
      </c>
    </row>
    <row r="20" spans="1:121" customFormat="1" x14ac:dyDescent="0.25">
      <c r="A20" t="s">
        <v>87</v>
      </c>
      <c r="B20" t="s">
        <v>33</v>
      </c>
      <c r="C20" t="s">
        <v>34</v>
      </c>
      <c r="D20" t="s">
        <v>35</v>
      </c>
      <c r="E20" t="s">
        <v>36</v>
      </c>
      <c r="F20" t="s">
        <v>88</v>
      </c>
      <c r="G20" t="s">
        <v>89</v>
      </c>
      <c r="H20" s="3"/>
      <c r="I20" s="4"/>
      <c r="J20" s="4"/>
      <c r="K20" s="4"/>
      <c r="L20" s="4"/>
      <c r="M20" s="5"/>
      <c r="N20" s="385" t="str">
        <f t="shared" si="0"/>
        <v/>
      </c>
      <c r="O20" s="386" t="str">
        <f t="shared" si="1"/>
        <v/>
      </c>
      <c r="P20" s="386" t="str">
        <f t="shared" si="2"/>
        <v/>
      </c>
      <c r="Q20" s="386">
        <f t="shared" si="82"/>
        <v>0</v>
      </c>
      <c r="R20" s="386" t="str">
        <f t="shared" si="3"/>
        <v/>
      </c>
      <c r="S20" s="387" t="str">
        <f t="shared" si="4"/>
        <v/>
      </c>
      <c r="T20" s="385" t="str">
        <f t="shared" si="5"/>
        <v/>
      </c>
      <c r="U20" s="386" t="str">
        <f t="shared" si="6"/>
        <v/>
      </c>
      <c r="V20" s="386" t="str">
        <f t="shared" si="7"/>
        <v/>
      </c>
      <c r="W20" s="386">
        <f t="shared" si="83"/>
        <v>0</v>
      </c>
      <c r="X20" s="386" t="str">
        <f t="shared" si="8"/>
        <v/>
      </c>
      <c r="Y20" s="387" t="str">
        <f t="shared" si="9"/>
        <v/>
      </c>
      <c r="Z20" s="3"/>
      <c r="AA20" s="4"/>
      <c r="AB20" s="4"/>
      <c r="AC20" s="4"/>
      <c r="AD20" s="4"/>
      <c r="AE20" s="5"/>
      <c r="AF20" s="3"/>
      <c r="AG20" s="4"/>
      <c r="AH20" s="4"/>
      <c r="AI20" s="4"/>
      <c r="AJ20" s="4"/>
      <c r="AK20" s="5"/>
      <c r="AL20" s="3"/>
      <c r="AM20" s="4"/>
      <c r="AN20" s="4"/>
      <c r="AO20" s="4"/>
      <c r="AP20" s="4"/>
      <c r="AQ20" s="5"/>
      <c r="AR20" s="682">
        <f t="shared" si="10"/>
        <v>2077</v>
      </c>
      <c r="AS20" s="4">
        <f t="shared" si="11"/>
        <v>0</v>
      </c>
      <c r="AT20" s="386">
        <f t="shared" si="12"/>
        <v>1071</v>
      </c>
      <c r="AU20" s="386">
        <f t="shared" si="84"/>
        <v>1071</v>
      </c>
      <c r="AV20" s="386">
        <f t="shared" si="14"/>
        <v>1788.94</v>
      </c>
      <c r="AW20" s="387">
        <f t="shared" si="15"/>
        <v>30411980</v>
      </c>
      <c r="AX20" s="3"/>
      <c r="AY20" s="4"/>
      <c r="AZ20" s="4"/>
      <c r="BA20" s="4"/>
      <c r="BB20" s="4"/>
      <c r="BC20" s="5"/>
      <c r="BD20" s="682">
        <f t="shared" si="16"/>
        <v>0</v>
      </c>
      <c r="BE20" s="4">
        <f t="shared" si="17"/>
        <v>330.5</v>
      </c>
      <c r="BF20" s="386">
        <f t="shared" si="18"/>
        <v>9.5</v>
      </c>
      <c r="BG20" s="386">
        <f t="shared" si="85"/>
        <v>340</v>
      </c>
      <c r="BH20" s="386">
        <f t="shared" si="20"/>
        <v>213.90000000000003</v>
      </c>
      <c r="BI20" s="387">
        <f t="shared" si="21"/>
        <v>4050121.5000000005</v>
      </c>
      <c r="BJ20" s="682" t="str">
        <f t="shared" si="22"/>
        <v/>
      </c>
      <c r="BK20" s="4" t="str">
        <f t="shared" si="23"/>
        <v/>
      </c>
      <c r="BL20" s="386" t="str">
        <f t="shared" si="24"/>
        <v/>
      </c>
      <c r="BM20" s="386">
        <f t="shared" si="25"/>
        <v>0</v>
      </c>
      <c r="BN20" s="386" t="str">
        <f t="shared" si="26"/>
        <v/>
      </c>
      <c r="BO20" s="387" t="str">
        <f t="shared" si="27"/>
        <v/>
      </c>
      <c r="BP20" s="682" t="str">
        <f t="shared" si="28"/>
        <v/>
      </c>
      <c r="BQ20" s="4" t="str">
        <f t="shared" si="29"/>
        <v/>
      </c>
      <c r="BR20" s="386" t="str">
        <f t="shared" si="30"/>
        <v/>
      </c>
      <c r="BS20" s="386">
        <f t="shared" si="86"/>
        <v>0</v>
      </c>
      <c r="BT20" s="386" t="str">
        <f t="shared" si="32"/>
        <v/>
      </c>
      <c r="BU20" s="387" t="str">
        <f t="shared" si="33"/>
        <v/>
      </c>
      <c r="BV20" s="682" t="str">
        <f t="shared" si="34"/>
        <v/>
      </c>
      <c r="BW20" s="4" t="str">
        <f t="shared" si="35"/>
        <v/>
      </c>
      <c r="BX20" s="386" t="str">
        <f t="shared" si="36"/>
        <v/>
      </c>
      <c r="BY20" s="386">
        <f t="shared" si="37"/>
        <v>0</v>
      </c>
      <c r="BZ20" s="386" t="str">
        <f t="shared" si="38"/>
        <v/>
      </c>
      <c r="CA20" s="387" t="str">
        <f t="shared" si="39"/>
        <v/>
      </c>
      <c r="CB20" s="682" t="str">
        <f t="shared" si="40"/>
        <v/>
      </c>
      <c r="CC20" s="4" t="str">
        <f t="shared" si="41"/>
        <v/>
      </c>
      <c r="CD20" s="386" t="str">
        <f t="shared" si="42"/>
        <v/>
      </c>
      <c r="CE20" s="386">
        <f t="shared" si="43"/>
        <v>0</v>
      </c>
      <c r="CF20" s="386" t="str">
        <f t="shared" si="44"/>
        <v/>
      </c>
      <c r="CG20" s="387" t="str">
        <f t="shared" si="45"/>
        <v/>
      </c>
      <c r="CH20" s="682" t="str">
        <f t="shared" si="46"/>
        <v/>
      </c>
      <c r="CI20" s="4" t="str">
        <f t="shared" si="47"/>
        <v/>
      </c>
      <c r="CJ20" s="386" t="str">
        <f t="shared" si="48"/>
        <v/>
      </c>
      <c r="CK20" s="386">
        <f t="shared" si="87"/>
        <v>0</v>
      </c>
      <c r="CL20" s="386" t="str">
        <f t="shared" si="50"/>
        <v/>
      </c>
      <c r="CM20" s="387" t="str">
        <f t="shared" si="51"/>
        <v/>
      </c>
      <c r="CN20" s="682" t="str">
        <f t="shared" si="52"/>
        <v/>
      </c>
      <c r="CO20" s="4" t="str">
        <f t="shared" si="53"/>
        <v/>
      </c>
      <c r="CP20" s="386" t="str">
        <f t="shared" si="54"/>
        <v/>
      </c>
      <c r="CQ20" s="386">
        <f t="shared" si="88"/>
        <v>0</v>
      </c>
      <c r="CR20" s="386" t="str">
        <f t="shared" si="56"/>
        <v/>
      </c>
      <c r="CS20" s="387" t="str">
        <f t="shared" si="57"/>
        <v/>
      </c>
      <c r="CT20" s="682">
        <f t="shared" si="58"/>
        <v>0</v>
      </c>
      <c r="CU20" s="4">
        <f t="shared" si="59"/>
        <v>0</v>
      </c>
      <c r="CV20" s="386">
        <f t="shared" si="60"/>
        <v>152</v>
      </c>
      <c r="CW20" s="386">
        <f t="shared" si="89"/>
        <v>152</v>
      </c>
      <c r="CX20" s="386">
        <f t="shared" si="62"/>
        <v>75.544000000000011</v>
      </c>
      <c r="CY20" s="387">
        <f t="shared" si="63"/>
        <v>1208704</v>
      </c>
      <c r="CZ20" s="682">
        <f t="shared" si="64"/>
        <v>20</v>
      </c>
      <c r="DA20" s="4">
        <f t="shared" si="65"/>
        <v>15</v>
      </c>
      <c r="DB20" s="386">
        <f t="shared" si="66"/>
        <v>0</v>
      </c>
      <c r="DC20" s="386">
        <f t="shared" si="90"/>
        <v>15</v>
      </c>
      <c r="DD20" s="386">
        <f t="shared" si="68"/>
        <v>3.5625</v>
      </c>
      <c r="DE20" s="387">
        <f t="shared" si="69"/>
        <v>69931.875</v>
      </c>
      <c r="DF20" s="682" t="str">
        <f t="shared" si="70"/>
        <v/>
      </c>
      <c r="DG20" s="4" t="str">
        <f t="shared" si="71"/>
        <v/>
      </c>
      <c r="DH20" s="386" t="str">
        <f t="shared" si="72"/>
        <v/>
      </c>
      <c r="DI20" s="386">
        <f t="shared" si="73"/>
        <v>0</v>
      </c>
      <c r="DJ20" s="386" t="str">
        <f t="shared" si="74"/>
        <v/>
      </c>
      <c r="DK20" s="387" t="str">
        <f t="shared" si="75"/>
        <v/>
      </c>
      <c r="DL20" s="682" t="str">
        <f t="shared" si="76"/>
        <v/>
      </c>
      <c r="DM20" s="4" t="str">
        <f t="shared" si="77"/>
        <v/>
      </c>
      <c r="DN20" s="386" t="str">
        <f t="shared" si="78"/>
        <v/>
      </c>
      <c r="DO20" s="386">
        <f t="shared" si="79"/>
        <v>0</v>
      </c>
      <c r="DP20" s="386" t="str">
        <f t="shared" si="80"/>
        <v/>
      </c>
      <c r="DQ20" s="387" t="str">
        <f t="shared" si="81"/>
        <v/>
      </c>
    </row>
    <row r="21" spans="1:121" customFormat="1" x14ac:dyDescent="0.25">
      <c r="A21" t="s">
        <v>90</v>
      </c>
      <c r="B21" t="s">
        <v>33</v>
      </c>
      <c r="C21" t="s">
        <v>34</v>
      </c>
      <c r="D21" t="s">
        <v>35</v>
      </c>
      <c r="E21" t="s">
        <v>36</v>
      </c>
      <c r="F21" t="s">
        <v>91</v>
      </c>
      <c r="G21" t="s">
        <v>92</v>
      </c>
      <c r="H21" s="3"/>
      <c r="I21" s="4"/>
      <c r="J21" s="4"/>
      <c r="K21" s="4"/>
      <c r="L21" s="4"/>
      <c r="M21" s="5"/>
      <c r="N21" s="385" t="str">
        <f t="shared" si="0"/>
        <v/>
      </c>
      <c r="O21" s="386" t="str">
        <f t="shared" si="1"/>
        <v/>
      </c>
      <c r="P21" s="386" t="str">
        <f t="shared" si="2"/>
        <v/>
      </c>
      <c r="Q21" s="386">
        <f t="shared" si="82"/>
        <v>0</v>
      </c>
      <c r="R21" s="386" t="str">
        <f t="shared" si="3"/>
        <v/>
      </c>
      <c r="S21" s="387" t="str">
        <f t="shared" si="4"/>
        <v/>
      </c>
      <c r="T21" s="385" t="str">
        <f t="shared" si="5"/>
        <v/>
      </c>
      <c r="U21" s="386" t="str">
        <f t="shared" si="6"/>
        <v/>
      </c>
      <c r="V21" s="386" t="str">
        <f t="shared" si="7"/>
        <v/>
      </c>
      <c r="W21" s="386">
        <f t="shared" si="83"/>
        <v>0</v>
      </c>
      <c r="X21" s="386" t="str">
        <f t="shared" si="8"/>
        <v/>
      </c>
      <c r="Y21" s="387" t="str">
        <f t="shared" si="9"/>
        <v/>
      </c>
      <c r="Z21" s="3"/>
      <c r="AA21" s="4"/>
      <c r="AB21" s="4"/>
      <c r="AC21" s="4"/>
      <c r="AD21" s="4"/>
      <c r="AE21" s="5"/>
      <c r="AF21" s="3"/>
      <c r="AG21" s="4"/>
      <c r="AH21" s="4"/>
      <c r="AI21" s="4"/>
      <c r="AJ21" s="4"/>
      <c r="AK21" s="5"/>
      <c r="AL21" s="3"/>
      <c r="AM21" s="4"/>
      <c r="AN21" s="4"/>
      <c r="AO21" s="4"/>
      <c r="AP21" s="4"/>
      <c r="AQ21" s="5"/>
      <c r="AR21" s="682">
        <f t="shared" si="10"/>
        <v>3000</v>
      </c>
      <c r="AS21" s="4">
        <f t="shared" si="11"/>
        <v>0</v>
      </c>
      <c r="AT21" s="386">
        <f t="shared" si="12"/>
        <v>1197</v>
      </c>
      <c r="AU21" s="386">
        <f t="shared" si="84"/>
        <v>1197</v>
      </c>
      <c r="AV21" s="386">
        <f t="shared" si="14"/>
        <v>1967.1680000000001</v>
      </c>
      <c r="AW21" s="387">
        <f t="shared" si="15"/>
        <v>33441856.000000007</v>
      </c>
      <c r="AX21" s="3"/>
      <c r="AY21" s="4"/>
      <c r="AZ21" s="4"/>
      <c r="BA21" s="4"/>
      <c r="BB21" s="4"/>
      <c r="BC21" s="5"/>
      <c r="BD21" s="682">
        <f t="shared" si="16"/>
        <v>0</v>
      </c>
      <c r="BE21" s="4">
        <f t="shared" si="17"/>
        <v>150</v>
      </c>
      <c r="BF21" s="386">
        <f t="shared" si="18"/>
        <v>0</v>
      </c>
      <c r="BG21" s="386">
        <f t="shared" si="85"/>
        <v>150</v>
      </c>
      <c r="BH21" s="386">
        <f t="shared" si="20"/>
        <v>0</v>
      </c>
      <c r="BI21" s="387">
        <f t="shared" si="21"/>
        <v>147225</v>
      </c>
      <c r="BJ21" s="682" t="str">
        <f t="shared" si="22"/>
        <v/>
      </c>
      <c r="BK21" s="4" t="str">
        <f t="shared" si="23"/>
        <v/>
      </c>
      <c r="BL21" s="386" t="str">
        <f t="shared" si="24"/>
        <v/>
      </c>
      <c r="BM21" s="386">
        <f t="shared" si="25"/>
        <v>0</v>
      </c>
      <c r="BN21" s="386" t="str">
        <f t="shared" si="26"/>
        <v/>
      </c>
      <c r="BO21" s="387" t="str">
        <f t="shared" si="27"/>
        <v/>
      </c>
      <c r="BP21" s="682" t="str">
        <f t="shared" si="28"/>
        <v/>
      </c>
      <c r="BQ21" s="4" t="str">
        <f t="shared" si="29"/>
        <v/>
      </c>
      <c r="BR21" s="386" t="str">
        <f t="shared" si="30"/>
        <v/>
      </c>
      <c r="BS21" s="386">
        <f t="shared" si="86"/>
        <v>0</v>
      </c>
      <c r="BT21" s="386" t="str">
        <f t="shared" si="32"/>
        <v/>
      </c>
      <c r="BU21" s="387" t="str">
        <f t="shared" si="33"/>
        <v/>
      </c>
      <c r="BV21" s="682" t="str">
        <f t="shared" si="34"/>
        <v/>
      </c>
      <c r="BW21" s="4" t="str">
        <f t="shared" si="35"/>
        <v/>
      </c>
      <c r="BX21" s="386" t="str">
        <f t="shared" si="36"/>
        <v/>
      </c>
      <c r="BY21" s="386">
        <f t="shared" si="37"/>
        <v>0</v>
      </c>
      <c r="BZ21" s="386" t="str">
        <f t="shared" si="38"/>
        <v/>
      </c>
      <c r="CA21" s="387" t="str">
        <f t="shared" si="39"/>
        <v/>
      </c>
      <c r="CB21" s="682" t="str">
        <f t="shared" si="40"/>
        <v/>
      </c>
      <c r="CC21" s="4" t="str">
        <f t="shared" si="41"/>
        <v/>
      </c>
      <c r="CD21" s="386" t="str">
        <f t="shared" si="42"/>
        <v/>
      </c>
      <c r="CE21" s="386">
        <f t="shared" si="43"/>
        <v>0</v>
      </c>
      <c r="CF21" s="386" t="str">
        <f t="shared" si="44"/>
        <v/>
      </c>
      <c r="CG21" s="387" t="str">
        <f t="shared" si="45"/>
        <v/>
      </c>
      <c r="CH21" s="682">
        <f t="shared" si="46"/>
        <v>0</v>
      </c>
      <c r="CI21" s="4">
        <f t="shared" si="47"/>
        <v>0</v>
      </c>
      <c r="CJ21" s="386">
        <f t="shared" si="48"/>
        <v>10</v>
      </c>
      <c r="CK21" s="386">
        <f t="shared" si="87"/>
        <v>10</v>
      </c>
      <c r="CL21" s="386">
        <f t="shared" si="50"/>
        <v>2.395</v>
      </c>
      <c r="CM21" s="387">
        <f t="shared" si="51"/>
        <v>56282.5</v>
      </c>
      <c r="CN21" s="682" t="str">
        <f t="shared" si="52"/>
        <v/>
      </c>
      <c r="CO21" s="4" t="str">
        <f t="shared" si="53"/>
        <v/>
      </c>
      <c r="CP21" s="386" t="str">
        <f t="shared" si="54"/>
        <v/>
      </c>
      <c r="CQ21" s="386">
        <f t="shared" si="88"/>
        <v>0</v>
      </c>
      <c r="CR21" s="386" t="str">
        <f t="shared" si="56"/>
        <v/>
      </c>
      <c r="CS21" s="387" t="str">
        <f t="shared" si="57"/>
        <v/>
      </c>
      <c r="CT21" s="682" t="str">
        <f t="shared" si="58"/>
        <v/>
      </c>
      <c r="CU21" s="4" t="str">
        <f t="shared" si="59"/>
        <v/>
      </c>
      <c r="CV21" s="386" t="str">
        <f t="shared" si="60"/>
        <v/>
      </c>
      <c r="CW21" s="386">
        <f t="shared" si="89"/>
        <v>0</v>
      </c>
      <c r="CX21" s="386" t="str">
        <f t="shared" si="62"/>
        <v/>
      </c>
      <c r="CY21" s="387" t="str">
        <f t="shared" si="63"/>
        <v/>
      </c>
      <c r="CZ21" s="682">
        <f t="shared" si="64"/>
        <v>300</v>
      </c>
      <c r="DA21" s="4">
        <f t="shared" si="65"/>
        <v>225</v>
      </c>
      <c r="DB21" s="386">
        <f t="shared" si="66"/>
        <v>0</v>
      </c>
      <c r="DC21" s="386">
        <f t="shared" si="90"/>
        <v>225</v>
      </c>
      <c r="DD21" s="386">
        <f t="shared" si="68"/>
        <v>71.25</v>
      </c>
      <c r="DE21" s="387">
        <f t="shared" si="69"/>
        <v>1398637.5</v>
      </c>
      <c r="DF21" s="682" t="str">
        <f t="shared" si="70"/>
        <v/>
      </c>
      <c r="DG21" s="4" t="str">
        <f t="shared" si="71"/>
        <v/>
      </c>
      <c r="DH21" s="386" t="str">
        <f t="shared" si="72"/>
        <v/>
      </c>
      <c r="DI21" s="386">
        <f t="shared" si="73"/>
        <v>0</v>
      </c>
      <c r="DJ21" s="386" t="str">
        <f t="shared" si="74"/>
        <v/>
      </c>
      <c r="DK21" s="387" t="str">
        <f t="shared" si="75"/>
        <v/>
      </c>
      <c r="DL21" s="682" t="str">
        <f t="shared" si="76"/>
        <v/>
      </c>
      <c r="DM21" s="4" t="str">
        <f t="shared" si="77"/>
        <v/>
      </c>
      <c r="DN21" s="386" t="str">
        <f t="shared" si="78"/>
        <v/>
      </c>
      <c r="DO21" s="386">
        <f t="shared" si="79"/>
        <v>0</v>
      </c>
      <c r="DP21" s="386" t="str">
        <f t="shared" si="80"/>
        <v/>
      </c>
      <c r="DQ21" s="387" t="str">
        <f t="shared" si="81"/>
        <v/>
      </c>
    </row>
    <row r="22" spans="1:121" customFormat="1" x14ac:dyDescent="0.25">
      <c r="A22" t="s">
        <v>93</v>
      </c>
      <c r="B22" t="s">
        <v>33</v>
      </c>
      <c r="C22" t="s">
        <v>34</v>
      </c>
      <c r="D22" t="s">
        <v>35</v>
      </c>
      <c r="E22" t="s">
        <v>36</v>
      </c>
      <c r="F22" t="s">
        <v>94</v>
      </c>
      <c r="G22" t="s">
        <v>95</v>
      </c>
      <c r="H22" s="3"/>
      <c r="I22" s="4"/>
      <c r="J22" s="4"/>
      <c r="K22" s="4"/>
      <c r="L22" s="4"/>
      <c r="M22" s="5"/>
      <c r="N22" s="385" t="str">
        <f t="shared" si="0"/>
        <v/>
      </c>
      <c r="O22" s="386" t="str">
        <f t="shared" si="1"/>
        <v/>
      </c>
      <c r="P22" s="386" t="str">
        <f t="shared" si="2"/>
        <v/>
      </c>
      <c r="Q22" s="386">
        <f t="shared" si="82"/>
        <v>0</v>
      </c>
      <c r="R22" s="386" t="str">
        <f t="shared" si="3"/>
        <v/>
      </c>
      <c r="S22" s="387" t="str">
        <f t="shared" si="4"/>
        <v/>
      </c>
      <c r="T22" s="385" t="str">
        <f t="shared" si="5"/>
        <v/>
      </c>
      <c r="U22" s="386" t="str">
        <f t="shared" si="6"/>
        <v/>
      </c>
      <c r="V22" s="386" t="str">
        <f t="shared" si="7"/>
        <v/>
      </c>
      <c r="W22" s="386">
        <f t="shared" si="83"/>
        <v>0</v>
      </c>
      <c r="X22" s="386" t="str">
        <f t="shared" si="8"/>
        <v/>
      </c>
      <c r="Y22" s="387" t="str">
        <f t="shared" si="9"/>
        <v/>
      </c>
      <c r="Z22" s="3"/>
      <c r="AA22" s="4"/>
      <c r="AB22" s="4"/>
      <c r="AC22" s="4"/>
      <c r="AD22" s="4"/>
      <c r="AE22" s="5"/>
      <c r="AF22" s="3"/>
      <c r="AG22" s="4"/>
      <c r="AH22" s="4"/>
      <c r="AI22" s="4"/>
      <c r="AJ22" s="4"/>
      <c r="AK22" s="5"/>
      <c r="AL22" s="3"/>
      <c r="AM22" s="4"/>
      <c r="AN22" s="4"/>
      <c r="AO22" s="4"/>
      <c r="AP22" s="4"/>
      <c r="AQ22" s="5"/>
      <c r="AR22" s="682">
        <f t="shared" si="10"/>
        <v>240</v>
      </c>
      <c r="AS22" s="4">
        <f t="shared" si="11"/>
        <v>0</v>
      </c>
      <c r="AT22" s="386">
        <f t="shared" si="12"/>
        <v>180</v>
      </c>
      <c r="AU22" s="386">
        <f t="shared" si="84"/>
        <v>180</v>
      </c>
      <c r="AV22" s="386">
        <f t="shared" si="14"/>
        <v>311.23999999999995</v>
      </c>
      <c r="AW22" s="387">
        <f t="shared" si="15"/>
        <v>5291079.9999999991</v>
      </c>
      <c r="AX22" s="3"/>
      <c r="AY22" s="4"/>
      <c r="AZ22" s="4"/>
      <c r="BA22" s="4"/>
      <c r="BB22" s="4"/>
      <c r="BC22" s="5"/>
      <c r="BD22" s="682">
        <f t="shared" si="16"/>
        <v>0</v>
      </c>
      <c r="BE22" s="4">
        <f t="shared" si="17"/>
        <v>4</v>
      </c>
      <c r="BF22" s="386">
        <f t="shared" si="18"/>
        <v>0</v>
      </c>
      <c r="BG22" s="386">
        <f t="shared" si="85"/>
        <v>4</v>
      </c>
      <c r="BH22" s="386">
        <f t="shared" si="20"/>
        <v>0</v>
      </c>
      <c r="BI22" s="387">
        <f t="shared" si="21"/>
        <v>3926</v>
      </c>
      <c r="BJ22" s="682" t="str">
        <f t="shared" si="22"/>
        <v/>
      </c>
      <c r="BK22" s="4" t="str">
        <f t="shared" si="23"/>
        <v/>
      </c>
      <c r="BL22" s="386" t="str">
        <f t="shared" si="24"/>
        <v/>
      </c>
      <c r="BM22" s="386">
        <f t="shared" si="25"/>
        <v>0</v>
      </c>
      <c r="BN22" s="386" t="str">
        <f t="shared" si="26"/>
        <v/>
      </c>
      <c r="BO22" s="387" t="str">
        <f t="shared" si="27"/>
        <v/>
      </c>
      <c r="BP22" s="682" t="str">
        <f t="shared" si="28"/>
        <v/>
      </c>
      <c r="BQ22" s="4" t="str">
        <f t="shared" si="29"/>
        <v/>
      </c>
      <c r="BR22" s="386" t="str">
        <f t="shared" si="30"/>
        <v/>
      </c>
      <c r="BS22" s="386">
        <f t="shared" si="86"/>
        <v>0</v>
      </c>
      <c r="BT22" s="386" t="str">
        <f t="shared" si="32"/>
        <v/>
      </c>
      <c r="BU22" s="387" t="str">
        <f t="shared" si="33"/>
        <v/>
      </c>
      <c r="BV22" s="682" t="str">
        <f t="shared" si="34"/>
        <v/>
      </c>
      <c r="BW22" s="4" t="str">
        <f t="shared" si="35"/>
        <v/>
      </c>
      <c r="BX22" s="386" t="str">
        <f t="shared" si="36"/>
        <v/>
      </c>
      <c r="BY22" s="386">
        <f t="shared" si="37"/>
        <v>0</v>
      </c>
      <c r="BZ22" s="386" t="str">
        <f t="shared" si="38"/>
        <v/>
      </c>
      <c r="CA22" s="387" t="str">
        <f t="shared" si="39"/>
        <v/>
      </c>
      <c r="CB22" s="682" t="str">
        <f t="shared" si="40"/>
        <v/>
      </c>
      <c r="CC22" s="4" t="str">
        <f t="shared" si="41"/>
        <v/>
      </c>
      <c r="CD22" s="386" t="str">
        <f t="shared" si="42"/>
        <v/>
      </c>
      <c r="CE22" s="386">
        <f t="shared" si="43"/>
        <v>0</v>
      </c>
      <c r="CF22" s="386" t="str">
        <f t="shared" si="44"/>
        <v/>
      </c>
      <c r="CG22" s="387" t="str">
        <f t="shared" si="45"/>
        <v/>
      </c>
      <c r="CH22" s="682">
        <f t="shared" si="46"/>
        <v>0</v>
      </c>
      <c r="CI22" s="4">
        <f t="shared" si="47"/>
        <v>0</v>
      </c>
      <c r="CJ22" s="386">
        <f t="shared" si="48"/>
        <v>400</v>
      </c>
      <c r="CK22" s="386">
        <f t="shared" si="87"/>
        <v>400</v>
      </c>
      <c r="CL22" s="386">
        <f t="shared" si="50"/>
        <v>574.80000000000007</v>
      </c>
      <c r="CM22" s="387">
        <f t="shared" si="51"/>
        <v>13507800.000000002</v>
      </c>
      <c r="CN22" s="682" t="str">
        <f t="shared" si="52"/>
        <v/>
      </c>
      <c r="CO22" s="4" t="str">
        <f t="shared" si="53"/>
        <v/>
      </c>
      <c r="CP22" s="386" t="str">
        <f t="shared" si="54"/>
        <v/>
      </c>
      <c r="CQ22" s="386">
        <f t="shared" si="88"/>
        <v>0</v>
      </c>
      <c r="CR22" s="386" t="str">
        <f t="shared" si="56"/>
        <v/>
      </c>
      <c r="CS22" s="387" t="str">
        <f t="shared" si="57"/>
        <v/>
      </c>
      <c r="CT22" s="682" t="str">
        <f t="shared" si="58"/>
        <v/>
      </c>
      <c r="CU22" s="4" t="str">
        <f t="shared" si="59"/>
        <v/>
      </c>
      <c r="CV22" s="386" t="str">
        <f t="shared" si="60"/>
        <v/>
      </c>
      <c r="CW22" s="386">
        <f t="shared" si="89"/>
        <v>0</v>
      </c>
      <c r="CX22" s="386" t="str">
        <f t="shared" si="62"/>
        <v/>
      </c>
      <c r="CY22" s="387" t="str">
        <f t="shared" si="63"/>
        <v/>
      </c>
      <c r="CZ22" s="682">
        <f t="shared" si="64"/>
        <v>164</v>
      </c>
      <c r="DA22" s="4">
        <f t="shared" si="65"/>
        <v>122.5</v>
      </c>
      <c r="DB22" s="386">
        <f t="shared" si="66"/>
        <v>0</v>
      </c>
      <c r="DC22" s="386">
        <f t="shared" si="90"/>
        <v>122.5</v>
      </c>
      <c r="DD22" s="386">
        <f t="shared" si="68"/>
        <v>38.118750000000006</v>
      </c>
      <c r="DE22" s="387">
        <f t="shared" si="69"/>
        <v>748271.0625</v>
      </c>
      <c r="DF22" s="682" t="str">
        <f t="shared" si="70"/>
        <v/>
      </c>
      <c r="DG22" s="4" t="str">
        <f t="shared" si="71"/>
        <v/>
      </c>
      <c r="DH22" s="386" t="str">
        <f t="shared" si="72"/>
        <v/>
      </c>
      <c r="DI22" s="386">
        <f t="shared" si="73"/>
        <v>0</v>
      </c>
      <c r="DJ22" s="386" t="str">
        <f t="shared" si="74"/>
        <v/>
      </c>
      <c r="DK22" s="387" t="str">
        <f t="shared" si="75"/>
        <v/>
      </c>
      <c r="DL22" s="682" t="str">
        <f t="shared" si="76"/>
        <v/>
      </c>
      <c r="DM22" s="4" t="str">
        <f t="shared" si="77"/>
        <v/>
      </c>
      <c r="DN22" s="386" t="str">
        <f t="shared" si="78"/>
        <v/>
      </c>
      <c r="DO22" s="386">
        <f t="shared" si="79"/>
        <v>0</v>
      </c>
      <c r="DP22" s="386" t="str">
        <f t="shared" si="80"/>
        <v/>
      </c>
      <c r="DQ22" s="387" t="str">
        <f t="shared" si="81"/>
        <v/>
      </c>
    </row>
    <row r="23" spans="1:121" customFormat="1" x14ac:dyDescent="0.25">
      <c r="A23" t="s">
        <v>96</v>
      </c>
      <c r="B23" t="s">
        <v>33</v>
      </c>
      <c r="C23" t="s">
        <v>34</v>
      </c>
      <c r="D23" t="s">
        <v>35</v>
      </c>
      <c r="E23" t="s">
        <v>36</v>
      </c>
      <c r="F23" t="s">
        <v>97</v>
      </c>
      <c r="G23" t="s">
        <v>98</v>
      </c>
      <c r="H23" s="3"/>
      <c r="I23" s="4"/>
      <c r="J23" s="4"/>
      <c r="K23" s="4"/>
      <c r="L23" s="4"/>
      <c r="M23" s="5"/>
      <c r="N23" s="385" t="str">
        <f t="shared" si="0"/>
        <v/>
      </c>
      <c r="O23" s="386" t="str">
        <f t="shared" si="1"/>
        <v/>
      </c>
      <c r="P23" s="386" t="str">
        <f t="shared" si="2"/>
        <v/>
      </c>
      <c r="Q23" s="386">
        <f t="shared" si="82"/>
        <v>0</v>
      </c>
      <c r="R23" s="386" t="str">
        <f t="shared" si="3"/>
        <v/>
      </c>
      <c r="S23" s="387" t="str">
        <f t="shared" si="4"/>
        <v/>
      </c>
      <c r="T23" s="385" t="str">
        <f t="shared" si="5"/>
        <v/>
      </c>
      <c r="U23" s="386" t="str">
        <f t="shared" si="6"/>
        <v/>
      </c>
      <c r="V23" s="386" t="str">
        <f t="shared" si="7"/>
        <v/>
      </c>
      <c r="W23" s="386">
        <f t="shared" si="83"/>
        <v>0</v>
      </c>
      <c r="X23" s="386" t="str">
        <f t="shared" si="8"/>
        <v/>
      </c>
      <c r="Y23" s="387" t="str">
        <f t="shared" si="9"/>
        <v/>
      </c>
      <c r="Z23" s="3"/>
      <c r="AA23" s="4"/>
      <c r="AB23" s="4"/>
      <c r="AC23" s="4"/>
      <c r="AD23" s="4"/>
      <c r="AE23" s="5"/>
      <c r="AF23" s="3"/>
      <c r="AG23" s="4"/>
      <c r="AH23" s="4"/>
      <c r="AI23" s="4"/>
      <c r="AJ23" s="4"/>
      <c r="AK23" s="5"/>
      <c r="AL23" s="3"/>
      <c r="AM23" s="4"/>
      <c r="AN23" s="4"/>
      <c r="AO23" s="4"/>
      <c r="AP23" s="4"/>
      <c r="AQ23" s="5"/>
      <c r="AR23" s="682">
        <f t="shared" si="10"/>
        <v>1427</v>
      </c>
      <c r="AS23" s="4">
        <f t="shared" si="11"/>
        <v>0</v>
      </c>
      <c r="AT23" s="386">
        <f t="shared" si="12"/>
        <v>1070</v>
      </c>
      <c r="AU23" s="386">
        <f t="shared" si="84"/>
        <v>1070</v>
      </c>
      <c r="AV23" s="386">
        <f t="shared" si="14"/>
        <v>1971.9399999999998</v>
      </c>
      <c r="AW23" s="387">
        <f t="shared" si="15"/>
        <v>33522980</v>
      </c>
      <c r="AX23" s="3"/>
      <c r="AY23" s="4"/>
      <c r="AZ23" s="4"/>
      <c r="BA23" s="4"/>
      <c r="BB23" s="4"/>
      <c r="BC23" s="5"/>
      <c r="BD23" s="682">
        <f t="shared" si="16"/>
        <v>0</v>
      </c>
      <c r="BE23" s="4">
        <f t="shared" si="17"/>
        <v>196</v>
      </c>
      <c r="BF23" s="386">
        <f t="shared" si="18"/>
        <v>0</v>
      </c>
      <c r="BG23" s="386">
        <f t="shared" si="85"/>
        <v>196</v>
      </c>
      <c r="BH23" s="386">
        <f t="shared" si="20"/>
        <v>60.590000000000032</v>
      </c>
      <c r="BI23" s="387">
        <f t="shared" si="21"/>
        <v>1210618.0000000005</v>
      </c>
      <c r="BJ23" s="682" t="str">
        <f t="shared" si="22"/>
        <v/>
      </c>
      <c r="BK23" s="4" t="str">
        <f t="shared" si="23"/>
        <v/>
      </c>
      <c r="BL23" s="386" t="str">
        <f t="shared" si="24"/>
        <v/>
      </c>
      <c r="BM23" s="386">
        <f t="shared" si="25"/>
        <v>0</v>
      </c>
      <c r="BN23" s="386" t="str">
        <f t="shared" si="26"/>
        <v/>
      </c>
      <c r="BO23" s="387" t="str">
        <f t="shared" si="27"/>
        <v/>
      </c>
      <c r="BP23" s="682">
        <f t="shared" si="28"/>
        <v>0</v>
      </c>
      <c r="BQ23" s="4">
        <f t="shared" si="29"/>
        <v>0</v>
      </c>
      <c r="BR23" s="386">
        <f t="shared" si="30"/>
        <v>20</v>
      </c>
      <c r="BS23" s="386">
        <f t="shared" si="86"/>
        <v>20</v>
      </c>
      <c r="BT23" s="386">
        <f t="shared" si="32"/>
        <v>19.440000000000001</v>
      </c>
      <c r="BU23" s="387">
        <f t="shared" si="33"/>
        <v>320760.00000000006</v>
      </c>
      <c r="BV23" s="682" t="str">
        <f t="shared" si="34"/>
        <v/>
      </c>
      <c r="BW23" s="4" t="str">
        <f t="shared" si="35"/>
        <v/>
      </c>
      <c r="BX23" s="386" t="str">
        <f t="shared" si="36"/>
        <v/>
      </c>
      <c r="BY23" s="386">
        <f t="shared" si="37"/>
        <v>0</v>
      </c>
      <c r="BZ23" s="386" t="str">
        <f t="shared" si="38"/>
        <v/>
      </c>
      <c r="CA23" s="387" t="str">
        <f t="shared" si="39"/>
        <v/>
      </c>
      <c r="CB23" s="682" t="str">
        <f t="shared" si="40"/>
        <v/>
      </c>
      <c r="CC23" s="4" t="str">
        <f t="shared" si="41"/>
        <v/>
      </c>
      <c r="CD23" s="386" t="str">
        <f t="shared" si="42"/>
        <v/>
      </c>
      <c r="CE23" s="386">
        <f t="shared" si="43"/>
        <v>0</v>
      </c>
      <c r="CF23" s="386" t="str">
        <f t="shared" si="44"/>
        <v/>
      </c>
      <c r="CG23" s="387" t="str">
        <f t="shared" si="45"/>
        <v/>
      </c>
      <c r="CH23" s="682" t="str">
        <f t="shared" si="46"/>
        <v/>
      </c>
      <c r="CI23" s="4" t="str">
        <f t="shared" si="47"/>
        <v/>
      </c>
      <c r="CJ23" s="386" t="str">
        <f t="shared" si="48"/>
        <v/>
      </c>
      <c r="CK23" s="386">
        <f t="shared" si="87"/>
        <v>0</v>
      </c>
      <c r="CL23" s="386" t="str">
        <f t="shared" si="50"/>
        <v/>
      </c>
      <c r="CM23" s="387" t="str">
        <f t="shared" si="51"/>
        <v/>
      </c>
      <c r="CN23" s="682" t="str">
        <f t="shared" si="52"/>
        <v/>
      </c>
      <c r="CO23" s="4" t="str">
        <f t="shared" si="53"/>
        <v/>
      </c>
      <c r="CP23" s="386" t="str">
        <f t="shared" si="54"/>
        <v/>
      </c>
      <c r="CQ23" s="386">
        <f t="shared" si="88"/>
        <v>0</v>
      </c>
      <c r="CR23" s="386" t="str">
        <f t="shared" si="56"/>
        <v/>
      </c>
      <c r="CS23" s="387" t="str">
        <f t="shared" si="57"/>
        <v/>
      </c>
      <c r="CT23" s="682">
        <f t="shared" si="58"/>
        <v>600</v>
      </c>
      <c r="CU23" s="4">
        <f t="shared" si="59"/>
        <v>0</v>
      </c>
      <c r="CV23" s="386">
        <f t="shared" si="60"/>
        <v>450</v>
      </c>
      <c r="CW23" s="386">
        <f t="shared" si="89"/>
        <v>450</v>
      </c>
      <c r="CX23" s="386">
        <f t="shared" si="62"/>
        <v>111.825</v>
      </c>
      <c r="CY23" s="387">
        <f t="shared" si="63"/>
        <v>1789200</v>
      </c>
      <c r="CZ23" s="682" t="str">
        <f t="shared" si="64"/>
        <v/>
      </c>
      <c r="DA23" s="4" t="str">
        <f t="shared" si="65"/>
        <v/>
      </c>
      <c r="DB23" s="386" t="str">
        <f t="shared" si="66"/>
        <v/>
      </c>
      <c r="DC23" s="386">
        <f t="shared" si="90"/>
        <v>0</v>
      </c>
      <c r="DD23" s="386" t="str">
        <f t="shared" si="68"/>
        <v/>
      </c>
      <c r="DE23" s="387" t="str">
        <f t="shared" si="69"/>
        <v/>
      </c>
      <c r="DF23" s="682" t="str">
        <f t="shared" si="70"/>
        <v/>
      </c>
      <c r="DG23" s="4" t="str">
        <f t="shared" si="71"/>
        <v/>
      </c>
      <c r="DH23" s="386" t="str">
        <f t="shared" si="72"/>
        <v/>
      </c>
      <c r="DI23" s="386">
        <f t="shared" si="73"/>
        <v>0</v>
      </c>
      <c r="DJ23" s="386" t="str">
        <f t="shared" si="74"/>
        <v/>
      </c>
      <c r="DK23" s="387" t="str">
        <f t="shared" si="75"/>
        <v/>
      </c>
      <c r="DL23" s="682" t="str">
        <f t="shared" si="76"/>
        <v/>
      </c>
      <c r="DM23" s="4" t="str">
        <f t="shared" si="77"/>
        <v/>
      </c>
      <c r="DN23" s="386" t="str">
        <f t="shared" si="78"/>
        <v/>
      </c>
      <c r="DO23" s="386">
        <f t="shared" si="79"/>
        <v>0</v>
      </c>
      <c r="DP23" s="386" t="str">
        <f t="shared" si="80"/>
        <v/>
      </c>
      <c r="DQ23" s="387" t="str">
        <f t="shared" si="81"/>
        <v/>
      </c>
    </row>
    <row r="24" spans="1:121" customFormat="1" x14ac:dyDescent="0.25">
      <c r="A24" t="s">
        <v>99</v>
      </c>
      <c r="B24" t="s">
        <v>33</v>
      </c>
      <c r="C24" t="s">
        <v>34</v>
      </c>
      <c r="D24" t="s">
        <v>35</v>
      </c>
      <c r="E24" t="s">
        <v>36</v>
      </c>
      <c r="F24" t="s">
        <v>100</v>
      </c>
      <c r="G24" t="s">
        <v>101</v>
      </c>
      <c r="H24" s="3"/>
      <c r="I24" s="4"/>
      <c r="J24" s="4"/>
      <c r="K24" s="4"/>
      <c r="L24" s="4"/>
      <c r="M24" s="5"/>
      <c r="N24" s="385" t="str">
        <f t="shared" si="0"/>
        <v/>
      </c>
      <c r="O24" s="386" t="str">
        <f t="shared" si="1"/>
        <v/>
      </c>
      <c r="P24" s="386" t="str">
        <f t="shared" si="2"/>
        <v/>
      </c>
      <c r="Q24" s="386">
        <f t="shared" si="82"/>
        <v>0</v>
      </c>
      <c r="R24" s="386" t="str">
        <f t="shared" si="3"/>
        <v/>
      </c>
      <c r="S24" s="387" t="str">
        <f t="shared" si="4"/>
        <v/>
      </c>
      <c r="T24" s="385" t="str">
        <f t="shared" si="5"/>
        <v/>
      </c>
      <c r="U24" s="386" t="str">
        <f t="shared" si="6"/>
        <v/>
      </c>
      <c r="V24" s="386" t="str">
        <f t="shared" si="7"/>
        <v/>
      </c>
      <c r="W24" s="386">
        <f t="shared" si="83"/>
        <v>0</v>
      </c>
      <c r="X24" s="386" t="str">
        <f t="shared" si="8"/>
        <v/>
      </c>
      <c r="Y24" s="387" t="str">
        <f t="shared" si="9"/>
        <v/>
      </c>
      <c r="Z24" s="3"/>
      <c r="AA24" s="4"/>
      <c r="AB24" s="4"/>
      <c r="AC24" s="4"/>
      <c r="AD24" s="4"/>
      <c r="AE24" s="5"/>
      <c r="AF24" s="3"/>
      <c r="AG24" s="4"/>
      <c r="AH24" s="4"/>
      <c r="AI24" s="4"/>
      <c r="AJ24" s="4"/>
      <c r="AK24" s="5"/>
      <c r="AL24" s="3"/>
      <c r="AM24" s="4"/>
      <c r="AN24" s="4"/>
      <c r="AO24" s="4"/>
      <c r="AP24" s="4"/>
      <c r="AQ24" s="5"/>
      <c r="AR24" s="682">
        <f t="shared" si="10"/>
        <v>87</v>
      </c>
      <c r="AS24" s="4">
        <f t="shared" si="11"/>
        <v>0</v>
      </c>
      <c r="AT24" s="386">
        <f t="shared" si="12"/>
        <v>65</v>
      </c>
      <c r="AU24" s="386">
        <f t="shared" si="84"/>
        <v>65</v>
      </c>
      <c r="AV24" s="386">
        <f t="shared" si="14"/>
        <v>97.889999999999986</v>
      </c>
      <c r="AW24" s="387">
        <f t="shared" si="15"/>
        <v>1664129.9999999998</v>
      </c>
      <c r="AX24" s="3"/>
      <c r="AY24" s="4"/>
      <c r="AZ24" s="4"/>
      <c r="BA24" s="4"/>
      <c r="BB24" s="4"/>
      <c r="BC24" s="5"/>
      <c r="BD24" s="682">
        <f t="shared" si="16"/>
        <v>0</v>
      </c>
      <c r="BE24" s="4">
        <f t="shared" si="17"/>
        <v>439</v>
      </c>
      <c r="BF24" s="386">
        <f t="shared" si="18"/>
        <v>40</v>
      </c>
      <c r="BG24" s="386">
        <f t="shared" si="85"/>
        <v>479</v>
      </c>
      <c r="BH24" s="386">
        <f t="shared" si="20"/>
        <v>646.47000000000014</v>
      </c>
      <c r="BI24" s="387">
        <f t="shared" si="21"/>
        <v>11733430.500000002</v>
      </c>
      <c r="BJ24" s="682" t="str">
        <f t="shared" si="22"/>
        <v/>
      </c>
      <c r="BK24" s="4" t="str">
        <f t="shared" si="23"/>
        <v/>
      </c>
      <c r="BL24" s="386" t="str">
        <f t="shared" si="24"/>
        <v/>
      </c>
      <c r="BM24" s="386">
        <f t="shared" si="25"/>
        <v>0</v>
      </c>
      <c r="BN24" s="386" t="str">
        <f t="shared" si="26"/>
        <v/>
      </c>
      <c r="BO24" s="387" t="str">
        <f t="shared" si="27"/>
        <v/>
      </c>
      <c r="BP24" s="682">
        <f t="shared" si="28"/>
        <v>0</v>
      </c>
      <c r="BQ24" s="4">
        <f t="shared" si="29"/>
        <v>0</v>
      </c>
      <c r="BR24" s="386">
        <f t="shared" si="30"/>
        <v>10</v>
      </c>
      <c r="BS24" s="386">
        <f t="shared" si="86"/>
        <v>10</v>
      </c>
      <c r="BT24" s="386">
        <f t="shared" si="32"/>
        <v>4.8600000000000003</v>
      </c>
      <c r="BU24" s="387">
        <f t="shared" si="33"/>
        <v>80190.000000000015</v>
      </c>
      <c r="BV24" s="682" t="str">
        <f t="shared" si="34"/>
        <v/>
      </c>
      <c r="BW24" s="4" t="str">
        <f t="shared" si="35"/>
        <v/>
      </c>
      <c r="BX24" s="386" t="str">
        <f t="shared" si="36"/>
        <v/>
      </c>
      <c r="BY24" s="386">
        <f t="shared" si="37"/>
        <v>0</v>
      </c>
      <c r="BZ24" s="386" t="str">
        <f t="shared" si="38"/>
        <v/>
      </c>
      <c r="CA24" s="387" t="str">
        <f t="shared" si="39"/>
        <v/>
      </c>
      <c r="CB24" s="682" t="str">
        <f t="shared" si="40"/>
        <v/>
      </c>
      <c r="CC24" s="4" t="str">
        <f t="shared" si="41"/>
        <v/>
      </c>
      <c r="CD24" s="386" t="str">
        <f t="shared" si="42"/>
        <v/>
      </c>
      <c r="CE24" s="386">
        <f t="shared" si="43"/>
        <v>0</v>
      </c>
      <c r="CF24" s="386" t="str">
        <f t="shared" si="44"/>
        <v/>
      </c>
      <c r="CG24" s="387" t="str">
        <f t="shared" si="45"/>
        <v/>
      </c>
      <c r="CH24" s="682">
        <f t="shared" si="46"/>
        <v>0</v>
      </c>
      <c r="CI24" s="4">
        <f t="shared" si="47"/>
        <v>0</v>
      </c>
      <c r="CJ24" s="386">
        <f t="shared" si="48"/>
        <v>1250</v>
      </c>
      <c r="CK24" s="386">
        <f t="shared" si="87"/>
        <v>1250</v>
      </c>
      <c r="CL24" s="386">
        <f t="shared" si="50"/>
        <v>1796.25</v>
      </c>
      <c r="CM24" s="387">
        <f t="shared" si="51"/>
        <v>42211875</v>
      </c>
      <c r="CN24" s="682" t="str">
        <f t="shared" si="52"/>
        <v/>
      </c>
      <c r="CO24" s="4" t="str">
        <f t="shared" si="53"/>
        <v/>
      </c>
      <c r="CP24" s="386" t="str">
        <f t="shared" si="54"/>
        <v/>
      </c>
      <c r="CQ24" s="386">
        <f t="shared" si="88"/>
        <v>0</v>
      </c>
      <c r="CR24" s="386" t="str">
        <f t="shared" si="56"/>
        <v/>
      </c>
      <c r="CS24" s="387" t="str">
        <f t="shared" si="57"/>
        <v/>
      </c>
      <c r="CT24" s="682">
        <f t="shared" si="58"/>
        <v>0</v>
      </c>
      <c r="CU24" s="4">
        <f t="shared" si="59"/>
        <v>0</v>
      </c>
      <c r="CV24" s="386">
        <f t="shared" si="60"/>
        <v>620</v>
      </c>
      <c r="CW24" s="386">
        <f t="shared" si="89"/>
        <v>620</v>
      </c>
      <c r="CX24" s="386">
        <f t="shared" si="62"/>
        <v>308.14</v>
      </c>
      <c r="CY24" s="387">
        <f t="shared" si="63"/>
        <v>4930240</v>
      </c>
      <c r="CZ24" s="682">
        <f t="shared" si="64"/>
        <v>20</v>
      </c>
      <c r="DA24" s="4">
        <f t="shared" si="65"/>
        <v>15</v>
      </c>
      <c r="DB24" s="386">
        <f t="shared" si="66"/>
        <v>0</v>
      </c>
      <c r="DC24" s="386">
        <f t="shared" si="90"/>
        <v>15</v>
      </c>
      <c r="DD24" s="386">
        <f t="shared" si="68"/>
        <v>3.5625</v>
      </c>
      <c r="DE24" s="387">
        <f t="shared" si="69"/>
        <v>69931.875</v>
      </c>
      <c r="DF24" s="682" t="str">
        <f t="shared" si="70"/>
        <v/>
      </c>
      <c r="DG24" s="4" t="str">
        <f t="shared" si="71"/>
        <v/>
      </c>
      <c r="DH24" s="386" t="str">
        <f t="shared" si="72"/>
        <v/>
      </c>
      <c r="DI24" s="386">
        <f t="shared" si="73"/>
        <v>0</v>
      </c>
      <c r="DJ24" s="386" t="str">
        <f t="shared" si="74"/>
        <v/>
      </c>
      <c r="DK24" s="387" t="str">
        <f t="shared" si="75"/>
        <v/>
      </c>
      <c r="DL24" s="682" t="str">
        <f t="shared" si="76"/>
        <v/>
      </c>
      <c r="DM24" s="4" t="str">
        <f t="shared" si="77"/>
        <v/>
      </c>
      <c r="DN24" s="386" t="str">
        <f t="shared" si="78"/>
        <v/>
      </c>
      <c r="DO24" s="386">
        <f t="shared" si="79"/>
        <v>0</v>
      </c>
      <c r="DP24" s="386" t="str">
        <f t="shared" si="80"/>
        <v/>
      </c>
      <c r="DQ24" s="387" t="str">
        <f t="shared" si="81"/>
        <v/>
      </c>
    </row>
    <row r="25" spans="1:121" customFormat="1" x14ac:dyDescent="0.25">
      <c r="A25" t="s">
        <v>102</v>
      </c>
      <c r="B25" t="s">
        <v>33</v>
      </c>
      <c r="C25" t="s">
        <v>34</v>
      </c>
      <c r="D25" t="s">
        <v>35</v>
      </c>
      <c r="E25" t="s">
        <v>36</v>
      </c>
      <c r="F25" t="s">
        <v>103</v>
      </c>
      <c r="G25" t="s">
        <v>104</v>
      </c>
      <c r="H25" s="3"/>
      <c r="I25" s="4"/>
      <c r="J25" s="4"/>
      <c r="K25" s="4"/>
      <c r="L25" s="4"/>
      <c r="M25" s="5"/>
      <c r="N25" s="385" t="str">
        <f t="shared" si="0"/>
        <v/>
      </c>
      <c r="O25" s="386" t="str">
        <f t="shared" si="1"/>
        <v/>
      </c>
      <c r="P25" s="386" t="str">
        <f t="shared" si="2"/>
        <v/>
      </c>
      <c r="Q25" s="386">
        <f t="shared" si="82"/>
        <v>0</v>
      </c>
      <c r="R25" s="386" t="str">
        <f t="shared" si="3"/>
        <v/>
      </c>
      <c r="S25" s="387" t="str">
        <f t="shared" si="4"/>
        <v/>
      </c>
      <c r="T25" s="385" t="str">
        <f t="shared" si="5"/>
        <v/>
      </c>
      <c r="U25" s="386" t="str">
        <f t="shared" si="6"/>
        <v/>
      </c>
      <c r="V25" s="386" t="str">
        <f t="shared" si="7"/>
        <v/>
      </c>
      <c r="W25" s="386">
        <f t="shared" si="83"/>
        <v>0</v>
      </c>
      <c r="X25" s="386" t="str">
        <f t="shared" si="8"/>
        <v/>
      </c>
      <c r="Y25" s="387" t="str">
        <f t="shared" si="9"/>
        <v/>
      </c>
      <c r="Z25" s="3"/>
      <c r="AA25" s="4"/>
      <c r="AB25" s="4"/>
      <c r="AC25" s="4"/>
      <c r="AD25" s="4"/>
      <c r="AE25" s="5"/>
      <c r="AF25" s="3"/>
      <c r="AG25" s="4"/>
      <c r="AH25" s="4"/>
      <c r="AI25" s="4"/>
      <c r="AJ25" s="4"/>
      <c r="AK25" s="5"/>
      <c r="AL25" s="3"/>
      <c r="AM25" s="4"/>
      <c r="AN25" s="4"/>
      <c r="AO25" s="4"/>
      <c r="AP25" s="4"/>
      <c r="AQ25" s="5"/>
      <c r="AR25" s="682">
        <f t="shared" si="10"/>
        <v>2121</v>
      </c>
      <c r="AS25" s="4">
        <f t="shared" si="11"/>
        <v>0</v>
      </c>
      <c r="AT25" s="386">
        <f t="shared" si="12"/>
        <v>1591</v>
      </c>
      <c r="AU25" s="386">
        <f t="shared" si="84"/>
        <v>1591</v>
      </c>
      <c r="AV25" s="386">
        <f t="shared" si="14"/>
        <v>2426.1779999999999</v>
      </c>
      <c r="AW25" s="387">
        <f t="shared" si="15"/>
        <v>41245026</v>
      </c>
      <c r="AX25" s="3"/>
      <c r="AY25" s="4"/>
      <c r="AZ25" s="4"/>
      <c r="BA25" s="4"/>
      <c r="BB25" s="4"/>
      <c r="BC25" s="5"/>
      <c r="BD25" s="682">
        <f t="shared" si="16"/>
        <v>0</v>
      </c>
      <c r="BE25" s="4">
        <f t="shared" si="17"/>
        <v>304.5</v>
      </c>
      <c r="BF25" s="386">
        <f t="shared" si="18"/>
        <v>23</v>
      </c>
      <c r="BG25" s="386">
        <f t="shared" si="85"/>
        <v>327.5</v>
      </c>
      <c r="BH25" s="386">
        <f t="shared" si="20"/>
        <v>373.36950000000002</v>
      </c>
      <c r="BI25" s="387">
        <f t="shared" si="21"/>
        <v>6848307.7249999996</v>
      </c>
      <c r="BJ25" s="682" t="str">
        <f t="shared" si="22"/>
        <v/>
      </c>
      <c r="BK25" s="4" t="str">
        <f t="shared" si="23"/>
        <v/>
      </c>
      <c r="BL25" s="386" t="str">
        <f t="shared" si="24"/>
        <v/>
      </c>
      <c r="BM25" s="386">
        <f t="shared" si="25"/>
        <v>0</v>
      </c>
      <c r="BN25" s="386" t="str">
        <f t="shared" si="26"/>
        <v/>
      </c>
      <c r="BO25" s="387" t="str">
        <f t="shared" si="27"/>
        <v/>
      </c>
      <c r="BP25" s="682" t="str">
        <f t="shared" si="28"/>
        <v/>
      </c>
      <c r="BQ25" s="4" t="str">
        <f t="shared" si="29"/>
        <v/>
      </c>
      <c r="BR25" s="386" t="str">
        <f t="shared" si="30"/>
        <v/>
      </c>
      <c r="BS25" s="386">
        <f t="shared" si="86"/>
        <v>0</v>
      </c>
      <c r="BT25" s="386" t="str">
        <f t="shared" si="32"/>
        <v/>
      </c>
      <c r="BU25" s="387" t="str">
        <f t="shared" si="33"/>
        <v/>
      </c>
      <c r="BV25" s="682" t="str">
        <f t="shared" si="34"/>
        <v/>
      </c>
      <c r="BW25" s="4" t="str">
        <f t="shared" si="35"/>
        <v/>
      </c>
      <c r="BX25" s="386" t="str">
        <f t="shared" si="36"/>
        <v/>
      </c>
      <c r="BY25" s="386">
        <f t="shared" si="37"/>
        <v>0</v>
      </c>
      <c r="BZ25" s="386" t="str">
        <f t="shared" si="38"/>
        <v/>
      </c>
      <c r="CA25" s="387" t="str">
        <f t="shared" si="39"/>
        <v/>
      </c>
      <c r="CB25" s="682" t="str">
        <f t="shared" si="40"/>
        <v/>
      </c>
      <c r="CC25" s="4" t="str">
        <f t="shared" si="41"/>
        <v/>
      </c>
      <c r="CD25" s="386" t="str">
        <f t="shared" si="42"/>
        <v/>
      </c>
      <c r="CE25" s="386">
        <f t="shared" si="43"/>
        <v>0</v>
      </c>
      <c r="CF25" s="386" t="str">
        <f t="shared" si="44"/>
        <v/>
      </c>
      <c r="CG25" s="387" t="str">
        <f t="shared" si="45"/>
        <v/>
      </c>
      <c r="CH25" s="682">
        <f t="shared" si="46"/>
        <v>0</v>
      </c>
      <c r="CI25" s="4">
        <f t="shared" si="47"/>
        <v>0</v>
      </c>
      <c r="CJ25" s="386">
        <f t="shared" si="48"/>
        <v>1622</v>
      </c>
      <c r="CK25" s="386">
        <f t="shared" si="87"/>
        <v>1622</v>
      </c>
      <c r="CL25" s="386">
        <f t="shared" si="50"/>
        <v>893.09550000000024</v>
      </c>
      <c r="CM25" s="387">
        <f t="shared" si="51"/>
        <v>20987744.25</v>
      </c>
      <c r="CN25" s="682" t="str">
        <f t="shared" si="52"/>
        <v/>
      </c>
      <c r="CO25" s="4" t="str">
        <f t="shared" si="53"/>
        <v/>
      </c>
      <c r="CP25" s="386" t="str">
        <f t="shared" si="54"/>
        <v/>
      </c>
      <c r="CQ25" s="386">
        <f t="shared" si="88"/>
        <v>0</v>
      </c>
      <c r="CR25" s="386" t="str">
        <f t="shared" si="56"/>
        <v/>
      </c>
      <c r="CS25" s="387" t="str">
        <f t="shared" si="57"/>
        <v/>
      </c>
      <c r="CT25" s="682">
        <f t="shared" si="58"/>
        <v>133</v>
      </c>
      <c r="CU25" s="4">
        <f t="shared" si="59"/>
        <v>0</v>
      </c>
      <c r="CV25" s="386">
        <f t="shared" si="60"/>
        <v>100</v>
      </c>
      <c r="CW25" s="386">
        <f t="shared" si="89"/>
        <v>100</v>
      </c>
      <c r="CX25" s="386">
        <f t="shared" si="62"/>
        <v>24.85</v>
      </c>
      <c r="CY25" s="387">
        <f t="shared" si="63"/>
        <v>397600</v>
      </c>
      <c r="CZ25" s="682">
        <f t="shared" si="64"/>
        <v>80</v>
      </c>
      <c r="DA25" s="4">
        <f t="shared" si="65"/>
        <v>60</v>
      </c>
      <c r="DB25" s="386">
        <f t="shared" si="66"/>
        <v>0</v>
      </c>
      <c r="DC25" s="386">
        <f t="shared" si="90"/>
        <v>60</v>
      </c>
      <c r="DD25" s="386">
        <f t="shared" si="68"/>
        <v>14.25</v>
      </c>
      <c r="DE25" s="387">
        <f t="shared" si="69"/>
        <v>279727.5</v>
      </c>
      <c r="DF25" s="682" t="str">
        <f t="shared" si="70"/>
        <v/>
      </c>
      <c r="DG25" s="4" t="str">
        <f t="shared" si="71"/>
        <v/>
      </c>
      <c r="DH25" s="386" t="str">
        <f t="shared" si="72"/>
        <v/>
      </c>
      <c r="DI25" s="386">
        <f t="shared" si="73"/>
        <v>0</v>
      </c>
      <c r="DJ25" s="386" t="str">
        <f t="shared" si="74"/>
        <v/>
      </c>
      <c r="DK25" s="387" t="str">
        <f t="shared" si="75"/>
        <v/>
      </c>
      <c r="DL25" s="682" t="str">
        <f t="shared" si="76"/>
        <v/>
      </c>
      <c r="DM25" s="4" t="str">
        <f t="shared" si="77"/>
        <v/>
      </c>
      <c r="DN25" s="386" t="str">
        <f t="shared" si="78"/>
        <v/>
      </c>
      <c r="DO25" s="386">
        <f t="shared" si="79"/>
        <v>0</v>
      </c>
      <c r="DP25" s="386" t="str">
        <f t="shared" si="80"/>
        <v/>
      </c>
      <c r="DQ25" s="387" t="str">
        <f t="shared" si="81"/>
        <v/>
      </c>
    </row>
    <row r="26" spans="1:121" customFormat="1" x14ac:dyDescent="0.25">
      <c r="A26" t="s">
        <v>105</v>
      </c>
      <c r="B26" t="s">
        <v>33</v>
      </c>
      <c r="C26" t="s">
        <v>34</v>
      </c>
      <c r="D26" t="s">
        <v>106</v>
      </c>
      <c r="E26" t="s">
        <v>107</v>
      </c>
      <c r="F26" t="s">
        <v>108</v>
      </c>
      <c r="G26" t="s">
        <v>109</v>
      </c>
      <c r="H26" s="3"/>
      <c r="I26" s="4"/>
      <c r="J26" s="4"/>
      <c r="K26" s="4"/>
      <c r="L26" s="4"/>
      <c r="M26" s="5"/>
      <c r="N26" s="3"/>
      <c r="O26" s="4"/>
      <c r="P26" s="4"/>
      <c r="Q26" s="4"/>
      <c r="R26" s="4"/>
      <c r="S26" s="5"/>
      <c r="T26" s="3"/>
      <c r="U26" s="4"/>
      <c r="V26" s="4"/>
      <c r="W26" s="4"/>
      <c r="X26" s="4"/>
      <c r="Y26" s="5"/>
      <c r="Z26" s="3"/>
      <c r="AA26" s="4"/>
      <c r="AB26" s="4"/>
      <c r="AC26" s="4"/>
      <c r="AD26" s="4"/>
      <c r="AE26" s="5"/>
      <c r="AF26" s="682">
        <f t="shared" ref="AF26:AF59" si="91">IFERROR(VLOOKUP(G26,Ompong_IS,3,FALSE),"")</f>
        <v>0</v>
      </c>
      <c r="AG26" s="4">
        <f t="shared" ref="AG26:AG59" si="92">IFERROR(VLOOKUP(G26,Ompong_IS,7,FALSE),"")</f>
        <v>0</v>
      </c>
      <c r="AH26" s="386">
        <f t="shared" ref="AH26:AH59" si="93">IFERROR(VLOOKUP(G26,Ompong_IS,8,FALSE),"")</f>
        <v>3.375</v>
      </c>
      <c r="AI26" s="386">
        <f t="shared" ref="AI26" si="94">SUM(AG26:AH26)</f>
        <v>3.375</v>
      </c>
      <c r="AJ26" s="386" t="str">
        <f>IFERROR(VLOOKUP(G26,Ompong_IS,19,FALSE),"")</f>
        <v/>
      </c>
      <c r="AK26" s="387">
        <f t="shared" ref="AK26:AK59" si="95">IFERROR(VLOOKUP(G26,Ompong_IS,17,FALSE),"")</f>
        <v>160649.99999999997</v>
      </c>
      <c r="AL26" s="3"/>
      <c r="AM26" s="4"/>
      <c r="AN26" s="4"/>
      <c r="AO26" s="4"/>
      <c r="AP26" s="4"/>
      <c r="AQ26" s="5"/>
      <c r="AR26" s="682">
        <f t="shared" ref="AR26:AR60" si="96">IFERROR(VLOOKUP(G26,LAWIN_IS,3,FALSE),"")</f>
        <v>163</v>
      </c>
      <c r="AS26" s="4">
        <f t="shared" ref="AS26:AS60" si="97">IFERROR(VLOOKUP(G26,LAWIN_IS,7,FALSE),"")</f>
        <v>6</v>
      </c>
      <c r="AT26" s="386">
        <f t="shared" ref="AT26:AT60" si="98">IFERROR(VLOOKUP(G26,LAWIN_IS,8,FALSE),"")</f>
        <v>75.55</v>
      </c>
      <c r="AU26" s="386">
        <f t="shared" si="84"/>
        <v>81.55</v>
      </c>
      <c r="AV26" s="386">
        <f t="shared" ref="AV26:AV60" si="99">IFERROR(VLOOKUP(G26,LAWIN_IS,15,FALSE),"")</f>
        <v>108.5095</v>
      </c>
      <c r="AW26" s="387">
        <f t="shared" ref="AW26:AW60" si="100">IFERROR(VLOOKUP(G26,LAWIN_IS,17,FALSE),"")</f>
        <v>1844661.5000000002</v>
      </c>
      <c r="AX26" s="3"/>
      <c r="AY26" s="4"/>
      <c r="AZ26" s="4"/>
      <c r="BA26" s="4"/>
      <c r="BB26" s="4"/>
      <c r="BC26" s="5"/>
      <c r="BD26" s="682">
        <f t="shared" ref="BD26:BD59" si="101">IFERROR(VLOOKUP(G26,INENG_IS,3,FALSE),"")</f>
        <v>0</v>
      </c>
      <c r="BE26" s="4">
        <f t="shared" ref="BE26:BE59" si="102">IFERROR(VLOOKUP(G26,INENG_IS,7,FALSE),"")</f>
        <v>7.2</v>
      </c>
      <c r="BF26" s="386">
        <f t="shared" ref="BF26:BF59" si="103">IFERROR(VLOOKUP(G26,INENG_IS,8,FALSE),"")</f>
        <v>7.2</v>
      </c>
      <c r="BG26" s="386">
        <f t="shared" ref="BG26" si="104">SUM(BE26:BF26)</f>
        <v>14.4</v>
      </c>
      <c r="BH26" s="386">
        <f t="shared" ref="BH26:BH59" si="105">IFERROR(VLOOKUP(G26,INENG_IS,16,FALSE),"")</f>
        <v>26.25</v>
      </c>
      <c r="BI26" s="387">
        <f t="shared" ref="BI26:BI57" si="106">IFERROR(VLOOKUP(G26,INENG_IS,19,FALSE),"")</f>
        <v>488292</v>
      </c>
      <c r="BJ26" s="682" t="str">
        <f t="shared" ref="BJ26:BJ59" si="107">IFERROR(VLOOKUP(M26,INENG_IS,3,FALSE),"")</f>
        <v/>
      </c>
      <c r="BK26" s="4" t="str">
        <f t="shared" ref="BK26:BK59" si="108">IFERROR(VLOOKUP(M26,INENG_IS,7,FALSE),"")</f>
        <v/>
      </c>
      <c r="BL26" s="386" t="str">
        <f t="shared" ref="BL26:BL59" si="109">IFERROR(VLOOKUP(M26,INENG_IS,8,FALSE),"")</f>
        <v/>
      </c>
      <c r="BM26" s="386">
        <f t="shared" si="25"/>
        <v>0</v>
      </c>
      <c r="BN26" s="386" t="str">
        <f t="shared" ref="BN26:BN59" si="110">IFERROR(VLOOKUP(M26,INENG_IS,16,FALSE),"")</f>
        <v/>
      </c>
      <c r="BO26" s="387" t="str">
        <f t="shared" ref="BO26:BO57" si="111">IFERROR(VLOOKUP(M26,INENG_IS,19,FALSE),"")</f>
        <v/>
      </c>
      <c r="BP26" s="682">
        <f t="shared" ref="BP26:BP59" si="112">IFERROR(VLOOKUP(G26,LANDO_ILOCOS_S,3,FALSE),"")</f>
        <v>0</v>
      </c>
      <c r="BQ26" s="4">
        <f t="shared" ref="BQ26:BQ59" si="113">IFERROR(VLOOKUP(G26,LANDO_ILOCOS_S,7,FALSE),"")</f>
        <v>8.5</v>
      </c>
      <c r="BR26" s="386">
        <f t="shared" ref="BR26:BR59" si="114">IFERROR(VLOOKUP(G26,LANDO_ILOCOS_S,8,FALSE),"")</f>
        <v>5</v>
      </c>
      <c r="BS26" s="386">
        <f t="shared" ref="BS26" si="115">SUM(BQ26:BR26)</f>
        <v>13.5</v>
      </c>
      <c r="BT26" s="386">
        <f t="shared" ref="BT26:BT59" si="116">IFERROR(VLOOKUP(G26,LANDO_ILOCOS_S,15,FALSE),"")</f>
        <v>39.419999999999995</v>
      </c>
      <c r="BU26" s="387">
        <f t="shared" ref="BU26:BU59" si="117">IFERROR(VLOOKUP(G26,LANDO_ILOCOS_S,17,FALSE),"")</f>
        <v>630720</v>
      </c>
      <c r="BV26" s="682" t="str">
        <f t="shared" ref="BV26:BV59" si="118">IFERROR(VLOOKUP(Y26,INENG_IS,3,FALSE),"")</f>
        <v/>
      </c>
      <c r="BW26" s="4" t="str">
        <f t="shared" ref="BW26:BW59" si="119">IFERROR(VLOOKUP(Y26,INENG_IS,7,FALSE),"")</f>
        <v/>
      </c>
      <c r="BX26" s="386" t="str">
        <f t="shared" ref="BX26:BX59" si="120">IFERROR(VLOOKUP(Y26,INENG_IS,8,FALSE),"")</f>
        <v/>
      </c>
      <c r="BY26" s="386">
        <f t="shared" si="37"/>
        <v>0</v>
      </c>
      <c r="BZ26" s="386" t="str">
        <f t="shared" ref="BZ26:BZ59" si="121">IFERROR(VLOOKUP(Y26,INENG_IS,16,FALSE),"")</f>
        <v/>
      </c>
      <c r="CA26" s="387" t="str">
        <f t="shared" ref="CA26:CA57" si="122">IFERROR(VLOOKUP(Y26,INENG_IS,19,FALSE),"")</f>
        <v/>
      </c>
      <c r="CB26" s="682" t="str">
        <f t="shared" ref="CB26:CB59" si="123">IFERROR(VLOOKUP(AE26,INENG_IS,3,FALSE),"")</f>
        <v/>
      </c>
      <c r="CC26" s="4" t="str">
        <f t="shared" ref="CC26:CC59" si="124">IFERROR(VLOOKUP(AE26,INENG_IS,7,FALSE),"")</f>
        <v/>
      </c>
      <c r="CD26" s="386" t="str">
        <f t="shared" ref="CD26:CD59" si="125">IFERROR(VLOOKUP(AE26,INENG_IS,8,FALSE),"")</f>
        <v/>
      </c>
      <c r="CE26" s="386">
        <f t="shared" si="43"/>
        <v>0</v>
      </c>
      <c r="CF26" s="386" t="str">
        <f t="shared" ref="CF26:CF59" si="126">IFERROR(VLOOKUP(AE26,INENG_IS,16,FALSE),"")</f>
        <v/>
      </c>
      <c r="CG26" s="387" t="str">
        <f t="shared" ref="CG26:CG57" si="127">IFERROR(VLOOKUP(AE26,INENG_IS,19,FALSE),"")</f>
        <v/>
      </c>
      <c r="CH26" s="682" t="str">
        <f t="shared" ref="CH26:CH59" si="128">IFERROR(VLOOKUP(G26,LUIS_IS,3,FALSE),"")</f>
        <v/>
      </c>
      <c r="CI26" s="4" t="str">
        <f t="shared" ref="CI26:CI59" si="129">IFERROR(VLOOKUP(G26,LUIS_IS,7,FALSE),"")</f>
        <v/>
      </c>
      <c r="CJ26" s="386" t="str">
        <f t="shared" ref="CJ26:CJ59" si="130">IFERROR(VLOOKUP(G26,LUIS_IS,8,FALSE),"")</f>
        <v/>
      </c>
      <c r="CK26" s="386">
        <f t="shared" ref="CK26" si="131">SUM(CI26:CJ26)</f>
        <v>0</v>
      </c>
      <c r="CL26" s="386" t="str">
        <f t="shared" ref="CL26:CL59" si="132">IFERROR(VLOOKUP(G26,LUIS_IS,13,FALSE),"")</f>
        <v/>
      </c>
      <c r="CM26" s="387" t="str">
        <f t="shared" ref="CM26:CM59" si="133">IFERROR(VLOOKUP(G26,LUIS_IS,15,FALSE),"")</f>
        <v/>
      </c>
      <c r="CN26" s="682" t="str">
        <f t="shared" ref="CN26:CN59" si="134">IFERROR(VLOOKUP(G26,MARING_IS,3,FALSE),"")</f>
        <v/>
      </c>
      <c r="CO26" s="4" t="str">
        <f t="shared" ref="CO26:CO59" si="135">IFERROR(VLOOKUP(G26,MARING_IS,7,FALSE),"")</f>
        <v/>
      </c>
      <c r="CP26" s="386" t="str">
        <f t="shared" ref="CP26:CP59" si="136">IFERROR(VLOOKUP(G26,MARING_IS,8,FALSE),"")</f>
        <v/>
      </c>
      <c r="CQ26" s="386">
        <f t="shared" ref="CQ26" si="137">SUM(CO26:CP26)</f>
        <v>0</v>
      </c>
      <c r="CR26" s="386" t="str">
        <f t="shared" ref="CR26:CR59" si="138">IFERROR(VLOOKUP(G26,MARING_IS,13,FALSE),"")</f>
        <v/>
      </c>
      <c r="CS26" s="387" t="str">
        <f t="shared" ref="CS26:CS59" si="139">IFERROR(VLOOKUP(G26,MARING_IS,16,FALSE),"")</f>
        <v/>
      </c>
      <c r="CT26" s="682" t="str">
        <f t="shared" ref="CT26:CT59" si="140">IFERROR(VLOOKUP(G26,ODETTE_IS,3,FALSE),"")</f>
        <v/>
      </c>
      <c r="CU26" s="4" t="str">
        <f t="shared" ref="CU26:CU59" si="141">IFERROR(VLOOKUP(G26,ODETTE_IS,7,FALSE),"")</f>
        <v/>
      </c>
      <c r="CV26" s="386" t="str">
        <f t="shared" ref="CV26:CV59" si="142">IFERROR(VLOOKUP(G26,ODETTE_IS,8,FALSE),"")</f>
        <v/>
      </c>
      <c r="CW26" s="386">
        <f t="shared" si="89"/>
        <v>0</v>
      </c>
      <c r="CX26" s="386" t="str">
        <f t="shared" ref="CX26:CX59" si="143">IFERROR(VLOOKUP(G26,ODETTE_IS,13,FALSE),"")</f>
        <v/>
      </c>
      <c r="CY26" s="387" t="str">
        <f t="shared" ref="CY26:CY59" si="144">IFERROR(VLOOKUP(G26,ODETTE_IS,16,FALSE),"")</f>
        <v/>
      </c>
      <c r="CZ26" s="682" t="str">
        <f t="shared" ref="CZ26:CZ59" si="145">IFERROR(VLOOKUP(G26,VINTA_IS,3,FALSE),"")</f>
        <v/>
      </c>
      <c r="DA26" s="4" t="str">
        <f t="shared" ref="DA26:DA59" si="146">IFERROR(VLOOKUP(G26,VINTA_IS,7,FALSE),"")</f>
        <v/>
      </c>
      <c r="DB26" s="386" t="str">
        <f t="shared" ref="DB26:DB59" si="147">IFERROR(VLOOKUP(G26,VINTA_IS,8,FALSE),"")</f>
        <v/>
      </c>
      <c r="DC26" s="386">
        <f t="shared" si="90"/>
        <v>0</v>
      </c>
      <c r="DD26" s="386" t="str">
        <f t="shared" ref="DD26:DD59" si="148">IFERROR(VLOOKUP(G26,VINTA_IS,16,FALSE),"")</f>
        <v/>
      </c>
      <c r="DE26" s="387" t="str">
        <f t="shared" ref="DE26:DE59" si="149">IFERROR(VLOOKUP(G26,VINTA_IS,19,FALSE),"")</f>
        <v/>
      </c>
      <c r="DF26" s="682" t="str">
        <f t="shared" ref="DF26:DF59" si="150">IFERROR(VLOOKUP(G26,PEDRING_IS,3,FALSE),"")</f>
        <v/>
      </c>
      <c r="DG26" s="4" t="str">
        <f t="shared" ref="DG26:DG59" si="151">IFERROR(VLOOKUP(G26,PEDRING_IS,7,FALSE),"")</f>
        <v/>
      </c>
      <c r="DH26" s="386" t="str">
        <f t="shared" ref="DH26:DH59" si="152">IFERROR(VLOOKUP(G26,PEDRING_IS,8,FALSE),"")</f>
        <v/>
      </c>
      <c r="DI26" s="386">
        <f t="shared" si="73"/>
        <v>0</v>
      </c>
      <c r="DJ26" s="386" t="str">
        <f t="shared" ref="DJ26:DJ59" si="153">IFERROR(VLOOKUP(G26,PEDRING_IS,13,FALSE),"")</f>
        <v/>
      </c>
      <c r="DK26" s="387" t="str">
        <f t="shared" ref="DK26:DK59" si="154">IFERROR(VLOOKUP(G26,PEDRING_IS,16,FALSE),"")</f>
        <v/>
      </c>
      <c r="DL26" s="682" t="str">
        <f t="shared" ref="DL26:DL59" si="155">IFERROR(VLOOKUP(BO26,INENG_IS,3,FALSE),"")</f>
        <v/>
      </c>
      <c r="DM26" s="4" t="str">
        <f t="shared" ref="DM26:DM59" si="156">IFERROR(VLOOKUP(BO26,INENG_IS,7,FALSE),"")</f>
        <v/>
      </c>
      <c r="DN26" s="386" t="str">
        <f t="shared" ref="DN26:DN59" si="157">IFERROR(VLOOKUP(BO26,INENG_IS,8,FALSE),"")</f>
        <v/>
      </c>
      <c r="DO26" s="386">
        <f t="shared" si="79"/>
        <v>0</v>
      </c>
      <c r="DP26" s="386" t="str">
        <f t="shared" ref="DP26:DP59" si="158">IFERROR(VLOOKUP(BO26,INENG_IS,16,FALSE),"")</f>
        <v/>
      </c>
      <c r="DQ26" s="387" t="str">
        <f t="shared" ref="DQ26:DQ57" si="159">IFERROR(VLOOKUP(BO26,INENG_IS,19,FALSE),"")</f>
        <v/>
      </c>
    </row>
    <row r="27" spans="1:121" customFormat="1" x14ac:dyDescent="0.25">
      <c r="A27" t="s">
        <v>110</v>
      </c>
      <c r="B27" t="s">
        <v>33</v>
      </c>
      <c r="C27" t="s">
        <v>34</v>
      </c>
      <c r="D27" t="s">
        <v>106</v>
      </c>
      <c r="E27" t="s">
        <v>107</v>
      </c>
      <c r="F27" t="s">
        <v>111</v>
      </c>
      <c r="G27" t="s">
        <v>112</v>
      </c>
      <c r="H27" s="3"/>
      <c r="I27" s="4"/>
      <c r="J27" s="4"/>
      <c r="K27" s="4"/>
      <c r="L27" s="4"/>
      <c r="M27" s="5"/>
      <c r="N27" s="3"/>
      <c r="O27" s="4"/>
      <c r="P27" s="4"/>
      <c r="Q27" s="4"/>
      <c r="R27" s="4"/>
      <c r="S27" s="5"/>
      <c r="T27" s="3"/>
      <c r="U27" s="4"/>
      <c r="V27" s="4"/>
      <c r="W27" s="4"/>
      <c r="X27" s="4"/>
      <c r="Y27" s="5"/>
      <c r="Z27" s="3"/>
      <c r="AA27" s="4"/>
      <c r="AB27" s="4"/>
      <c r="AC27" s="4"/>
      <c r="AD27" s="4"/>
      <c r="AE27" s="5"/>
      <c r="AF27" s="682">
        <f t="shared" si="91"/>
        <v>0</v>
      </c>
      <c r="AG27" s="4">
        <f t="shared" si="92"/>
        <v>0</v>
      </c>
      <c r="AH27" s="386">
        <f t="shared" si="93"/>
        <v>635</v>
      </c>
      <c r="AI27" s="386">
        <f t="shared" ref="AI27:AI59" si="160">SUM(AG27:AH27)</f>
        <v>635</v>
      </c>
      <c r="AJ27" s="386">
        <f t="shared" ref="AJ27:AJ59" si="161">IFERROR(VLOOKUP(G27,Ompong_IS,15,FALSE),"")</f>
        <v>2720.3399999999997</v>
      </c>
      <c r="AK27" s="387">
        <f t="shared" si="95"/>
        <v>54406799.999999993</v>
      </c>
      <c r="AL27" s="3"/>
      <c r="AM27" s="4"/>
      <c r="AN27" s="4"/>
      <c r="AO27" s="4"/>
      <c r="AP27" s="4"/>
      <c r="AQ27" s="5"/>
      <c r="AR27" s="682">
        <f t="shared" si="96"/>
        <v>660</v>
      </c>
      <c r="AS27" s="4">
        <f t="shared" si="97"/>
        <v>0</v>
      </c>
      <c r="AT27" s="386">
        <f t="shared" si="98"/>
        <v>331</v>
      </c>
      <c r="AU27" s="386">
        <f t="shared" ref="AU27:AU59" si="162">SUM(AS27:AT27)</f>
        <v>331</v>
      </c>
      <c r="AV27" s="386">
        <f t="shared" si="99"/>
        <v>227.4</v>
      </c>
      <c r="AW27" s="387">
        <f t="shared" si="100"/>
        <v>3865800</v>
      </c>
      <c r="AX27" s="3"/>
      <c r="AY27" s="4"/>
      <c r="AZ27" s="4"/>
      <c r="BA27" s="4"/>
      <c r="BB27" s="4"/>
      <c r="BC27" s="5"/>
      <c r="BD27" s="682">
        <f t="shared" si="101"/>
        <v>0</v>
      </c>
      <c r="BE27" s="4">
        <f t="shared" si="102"/>
        <v>15.65</v>
      </c>
      <c r="BF27" s="386">
        <f t="shared" si="103"/>
        <v>2.5</v>
      </c>
      <c r="BG27" s="386">
        <f t="shared" ref="BG27:BG60" si="163">SUM(BE27:BF27)</f>
        <v>18.149999999999999</v>
      </c>
      <c r="BH27" s="386">
        <f t="shared" si="105"/>
        <v>0</v>
      </c>
      <c r="BI27" s="387">
        <f t="shared" si="106"/>
        <v>195657</v>
      </c>
      <c r="BJ27" s="682" t="str">
        <f t="shared" si="107"/>
        <v/>
      </c>
      <c r="BK27" s="4" t="str">
        <f t="shared" si="108"/>
        <v/>
      </c>
      <c r="BL27" s="386" t="str">
        <f t="shared" si="109"/>
        <v/>
      </c>
      <c r="BM27" s="386">
        <f t="shared" si="25"/>
        <v>0</v>
      </c>
      <c r="BN27" s="386" t="str">
        <f t="shared" si="110"/>
        <v/>
      </c>
      <c r="BO27" s="387" t="str">
        <f t="shared" si="111"/>
        <v/>
      </c>
      <c r="BP27" s="682">
        <f t="shared" si="112"/>
        <v>0</v>
      </c>
      <c r="BQ27" s="4">
        <f t="shared" si="113"/>
        <v>0</v>
      </c>
      <c r="BR27" s="386">
        <f t="shared" si="114"/>
        <v>44.36</v>
      </c>
      <c r="BS27" s="386">
        <f t="shared" ref="BS27:BS59" si="164">SUM(BQ27:BR27)</f>
        <v>44.36</v>
      </c>
      <c r="BT27" s="386">
        <f t="shared" si="116"/>
        <v>19.429680000000001</v>
      </c>
      <c r="BU27" s="387">
        <f t="shared" si="117"/>
        <v>310874.88</v>
      </c>
      <c r="BV27" s="682" t="str">
        <f t="shared" si="118"/>
        <v/>
      </c>
      <c r="BW27" s="4" t="str">
        <f t="shared" si="119"/>
        <v/>
      </c>
      <c r="BX27" s="386" t="str">
        <f t="shared" si="120"/>
        <v/>
      </c>
      <c r="BY27" s="386">
        <f t="shared" si="37"/>
        <v>0</v>
      </c>
      <c r="BZ27" s="386" t="str">
        <f t="shared" si="121"/>
        <v/>
      </c>
      <c r="CA27" s="387" t="str">
        <f t="shared" si="122"/>
        <v/>
      </c>
      <c r="CB27" s="682" t="str">
        <f t="shared" si="123"/>
        <v/>
      </c>
      <c r="CC27" s="4" t="str">
        <f t="shared" si="124"/>
        <v/>
      </c>
      <c r="CD27" s="386" t="str">
        <f t="shared" si="125"/>
        <v/>
      </c>
      <c r="CE27" s="386">
        <f t="shared" si="43"/>
        <v>0</v>
      </c>
      <c r="CF27" s="386" t="str">
        <f t="shared" si="126"/>
        <v/>
      </c>
      <c r="CG27" s="387" t="str">
        <f t="shared" si="127"/>
        <v/>
      </c>
      <c r="CH27" s="682" t="str">
        <f t="shared" si="128"/>
        <v/>
      </c>
      <c r="CI27" s="4" t="str">
        <f t="shared" si="129"/>
        <v/>
      </c>
      <c r="CJ27" s="386" t="str">
        <f t="shared" si="130"/>
        <v/>
      </c>
      <c r="CK27" s="386">
        <f t="shared" ref="CK27:CK59" si="165">SUM(CI27:CJ27)</f>
        <v>0</v>
      </c>
      <c r="CL27" s="386" t="str">
        <f t="shared" si="132"/>
        <v/>
      </c>
      <c r="CM27" s="387" t="str">
        <f t="shared" si="133"/>
        <v/>
      </c>
      <c r="CN27" s="682">
        <f t="shared" si="134"/>
        <v>0</v>
      </c>
      <c r="CO27" s="4">
        <f t="shared" si="135"/>
        <v>1.25</v>
      </c>
      <c r="CP27" s="386">
        <f t="shared" si="136"/>
        <v>2.75</v>
      </c>
      <c r="CQ27" s="386">
        <f t="shared" ref="CQ27:CQ59" si="166">SUM(CO27:CP27)</f>
        <v>4</v>
      </c>
      <c r="CR27" s="386">
        <f t="shared" si="138"/>
        <v>5.3141249999999998</v>
      </c>
      <c r="CS27" s="387">
        <f t="shared" si="139"/>
        <v>92359.492499999993</v>
      </c>
      <c r="CT27" s="682" t="str">
        <f t="shared" si="140"/>
        <v/>
      </c>
      <c r="CU27" s="4" t="str">
        <f t="shared" si="141"/>
        <v/>
      </c>
      <c r="CV27" s="386" t="str">
        <f t="shared" si="142"/>
        <v/>
      </c>
      <c r="CW27" s="386">
        <f t="shared" ref="CW27:CW59" si="167">SUM(CU27:CV27)</f>
        <v>0</v>
      </c>
      <c r="CX27" s="386" t="str">
        <f t="shared" si="143"/>
        <v/>
      </c>
      <c r="CY27" s="387" t="str">
        <f t="shared" si="144"/>
        <v/>
      </c>
      <c r="CZ27" s="682" t="str">
        <f t="shared" si="145"/>
        <v/>
      </c>
      <c r="DA27" s="4" t="str">
        <f t="shared" si="146"/>
        <v/>
      </c>
      <c r="DB27" s="386" t="str">
        <f t="shared" si="147"/>
        <v/>
      </c>
      <c r="DC27" s="386">
        <f t="shared" ref="DC27:DC59" si="168">SUM(DA27:DB27)</f>
        <v>0</v>
      </c>
      <c r="DD27" s="386" t="str">
        <f t="shared" si="148"/>
        <v/>
      </c>
      <c r="DE27" s="387" t="str">
        <f t="shared" si="149"/>
        <v/>
      </c>
      <c r="DF27" s="682" t="str">
        <f t="shared" si="150"/>
        <v/>
      </c>
      <c r="DG27" s="4" t="str">
        <f t="shared" si="151"/>
        <v/>
      </c>
      <c r="DH27" s="386" t="str">
        <f t="shared" si="152"/>
        <v/>
      </c>
      <c r="DI27" s="386">
        <f t="shared" ref="DI27:DI59" si="169">SUM(DG27:DH27)</f>
        <v>0</v>
      </c>
      <c r="DJ27" s="386" t="str">
        <f t="shared" si="153"/>
        <v/>
      </c>
      <c r="DK27" s="387" t="str">
        <f t="shared" si="154"/>
        <v/>
      </c>
      <c r="DL27" s="682" t="str">
        <f t="shared" si="155"/>
        <v/>
      </c>
      <c r="DM27" s="4" t="str">
        <f t="shared" si="156"/>
        <v/>
      </c>
      <c r="DN27" s="386" t="str">
        <f t="shared" si="157"/>
        <v/>
      </c>
      <c r="DO27" s="386">
        <f t="shared" si="79"/>
        <v>0</v>
      </c>
      <c r="DP27" s="386" t="str">
        <f t="shared" si="158"/>
        <v/>
      </c>
      <c r="DQ27" s="387" t="str">
        <f t="shared" si="159"/>
        <v/>
      </c>
    </row>
    <row r="28" spans="1:121" customFormat="1" x14ac:dyDescent="0.25">
      <c r="A28" t="s">
        <v>113</v>
      </c>
      <c r="B28" t="s">
        <v>33</v>
      </c>
      <c r="C28" t="s">
        <v>34</v>
      </c>
      <c r="D28" t="s">
        <v>106</v>
      </c>
      <c r="E28" t="s">
        <v>107</v>
      </c>
      <c r="F28" t="s">
        <v>114</v>
      </c>
      <c r="G28" t="s">
        <v>115</v>
      </c>
      <c r="H28" s="3"/>
      <c r="I28" s="4"/>
      <c r="J28" s="4"/>
      <c r="K28" s="4"/>
      <c r="L28" s="4"/>
      <c r="M28" s="5"/>
      <c r="N28" s="3"/>
      <c r="O28" s="4"/>
      <c r="P28" s="4"/>
      <c r="Q28" s="4"/>
      <c r="R28" s="4"/>
      <c r="S28" s="5"/>
      <c r="T28" s="3"/>
      <c r="U28" s="4"/>
      <c r="V28" s="4"/>
      <c r="W28" s="4"/>
      <c r="X28" s="4"/>
      <c r="Y28" s="5"/>
      <c r="Z28" s="3"/>
      <c r="AA28" s="4"/>
      <c r="AB28" s="4"/>
      <c r="AC28" s="4"/>
      <c r="AD28" s="4"/>
      <c r="AE28" s="5"/>
      <c r="AF28" s="682">
        <f t="shared" si="91"/>
        <v>0</v>
      </c>
      <c r="AG28" s="4">
        <f t="shared" si="92"/>
        <v>1045</v>
      </c>
      <c r="AH28" s="386">
        <f t="shared" si="93"/>
        <v>261.25</v>
      </c>
      <c r="AI28" s="386">
        <f t="shared" si="160"/>
        <v>1306.25</v>
      </c>
      <c r="AJ28" s="386">
        <f t="shared" si="161"/>
        <v>4974.2</v>
      </c>
      <c r="AK28" s="387">
        <f t="shared" si="95"/>
        <v>99484000</v>
      </c>
      <c r="AL28" s="3"/>
      <c r="AM28" s="4"/>
      <c r="AN28" s="4"/>
      <c r="AO28" s="4"/>
      <c r="AP28" s="4"/>
      <c r="AQ28" s="5"/>
      <c r="AR28" s="682" t="str">
        <f t="shared" si="96"/>
        <v/>
      </c>
      <c r="AS28" s="4" t="str">
        <f t="shared" si="97"/>
        <v/>
      </c>
      <c r="AT28" s="386" t="str">
        <f t="shared" si="98"/>
        <v/>
      </c>
      <c r="AU28" s="386">
        <f t="shared" si="162"/>
        <v>0</v>
      </c>
      <c r="AV28" s="386" t="str">
        <f t="shared" si="99"/>
        <v/>
      </c>
      <c r="AW28" s="387" t="str">
        <f t="shared" si="100"/>
        <v/>
      </c>
      <c r="AX28" s="3"/>
      <c r="AY28" s="4"/>
      <c r="AZ28" s="4"/>
      <c r="BA28" s="4"/>
      <c r="BB28" s="4"/>
      <c r="BC28" s="5"/>
      <c r="BD28" s="682">
        <f t="shared" si="101"/>
        <v>0</v>
      </c>
      <c r="BE28" s="4">
        <f t="shared" si="102"/>
        <v>54.6</v>
      </c>
      <c r="BF28" s="386">
        <f t="shared" si="103"/>
        <v>0.7</v>
      </c>
      <c r="BG28" s="386">
        <f t="shared" si="163"/>
        <v>55.300000000000004</v>
      </c>
      <c r="BH28" s="386">
        <f t="shared" si="105"/>
        <v>35.14</v>
      </c>
      <c r="BI28" s="387">
        <f t="shared" si="106"/>
        <v>597380.00000000012</v>
      </c>
      <c r="BJ28" s="682" t="str">
        <f t="shared" si="107"/>
        <v/>
      </c>
      <c r="BK28" s="4" t="str">
        <f t="shared" si="108"/>
        <v/>
      </c>
      <c r="BL28" s="386" t="str">
        <f t="shared" si="109"/>
        <v/>
      </c>
      <c r="BM28" s="386">
        <f t="shared" si="25"/>
        <v>0</v>
      </c>
      <c r="BN28" s="386" t="str">
        <f t="shared" si="110"/>
        <v/>
      </c>
      <c r="BO28" s="387" t="str">
        <f t="shared" si="111"/>
        <v/>
      </c>
      <c r="BP28" s="682">
        <f t="shared" si="112"/>
        <v>0</v>
      </c>
      <c r="BQ28" s="4">
        <f t="shared" si="113"/>
        <v>0</v>
      </c>
      <c r="BR28" s="386">
        <f t="shared" si="114"/>
        <v>400</v>
      </c>
      <c r="BS28" s="386">
        <f t="shared" si="164"/>
        <v>400</v>
      </c>
      <c r="BT28" s="386">
        <f t="shared" si="116"/>
        <v>262.8</v>
      </c>
      <c r="BU28" s="387">
        <f t="shared" si="117"/>
        <v>4204800</v>
      </c>
      <c r="BV28" s="682" t="str">
        <f t="shared" si="118"/>
        <v/>
      </c>
      <c r="BW28" s="4" t="str">
        <f t="shared" si="119"/>
        <v/>
      </c>
      <c r="BX28" s="386" t="str">
        <f t="shared" si="120"/>
        <v/>
      </c>
      <c r="BY28" s="386">
        <f t="shared" si="37"/>
        <v>0</v>
      </c>
      <c r="BZ28" s="386" t="str">
        <f t="shared" si="121"/>
        <v/>
      </c>
      <c r="CA28" s="387" t="str">
        <f t="shared" si="122"/>
        <v/>
      </c>
      <c r="CB28" s="682" t="str">
        <f t="shared" si="123"/>
        <v/>
      </c>
      <c r="CC28" s="4" t="str">
        <f t="shared" si="124"/>
        <v/>
      </c>
      <c r="CD28" s="386" t="str">
        <f t="shared" si="125"/>
        <v/>
      </c>
      <c r="CE28" s="386">
        <f t="shared" si="43"/>
        <v>0</v>
      </c>
      <c r="CF28" s="386" t="str">
        <f t="shared" si="126"/>
        <v/>
      </c>
      <c r="CG28" s="387" t="str">
        <f t="shared" si="127"/>
        <v/>
      </c>
      <c r="CH28" s="682">
        <f t="shared" si="128"/>
        <v>0</v>
      </c>
      <c r="CI28" s="4">
        <f t="shared" si="129"/>
        <v>0</v>
      </c>
      <c r="CJ28" s="386">
        <f t="shared" si="130"/>
        <v>50</v>
      </c>
      <c r="CK28" s="386">
        <f t="shared" si="165"/>
        <v>50</v>
      </c>
      <c r="CL28" s="386">
        <f t="shared" si="132"/>
        <v>31.8</v>
      </c>
      <c r="CM28" s="387">
        <f t="shared" si="133"/>
        <v>779418.00000000012</v>
      </c>
      <c r="CN28" s="682">
        <f t="shared" si="134"/>
        <v>0</v>
      </c>
      <c r="CO28" s="4">
        <f t="shared" si="135"/>
        <v>3.9</v>
      </c>
      <c r="CP28" s="386">
        <f t="shared" si="136"/>
        <v>36.28</v>
      </c>
      <c r="CQ28" s="386">
        <f t="shared" si="166"/>
        <v>40.18</v>
      </c>
      <c r="CR28" s="386">
        <f t="shared" si="138"/>
        <v>45.046160000000015</v>
      </c>
      <c r="CS28" s="387">
        <f t="shared" si="139"/>
        <v>782902.26080000005</v>
      </c>
      <c r="CT28" s="682" t="str">
        <f t="shared" si="140"/>
        <v/>
      </c>
      <c r="CU28" s="4" t="str">
        <f t="shared" si="141"/>
        <v/>
      </c>
      <c r="CV28" s="386" t="str">
        <f t="shared" si="142"/>
        <v/>
      </c>
      <c r="CW28" s="386">
        <f t="shared" si="167"/>
        <v>0</v>
      </c>
      <c r="CX28" s="386" t="str">
        <f t="shared" si="143"/>
        <v/>
      </c>
      <c r="CY28" s="387" t="str">
        <f t="shared" si="144"/>
        <v/>
      </c>
      <c r="CZ28" s="682" t="str">
        <f t="shared" si="145"/>
        <v/>
      </c>
      <c r="DA28" s="4" t="str">
        <f t="shared" si="146"/>
        <v/>
      </c>
      <c r="DB28" s="386" t="str">
        <f t="shared" si="147"/>
        <v/>
      </c>
      <c r="DC28" s="386">
        <f t="shared" si="168"/>
        <v>0</v>
      </c>
      <c r="DD28" s="386" t="str">
        <f t="shared" si="148"/>
        <v/>
      </c>
      <c r="DE28" s="387" t="str">
        <f t="shared" si="149"/>
        <v/>
      </c>
      <c r="DF28" s="682" t="str">
        <f t="shared" si="150"/>
        <v/>
      </c>
      <c r="DG28" s="4" t="str">
        <f t="shared" si="151"/>
        <v/>
      </c>
      <c r="DH28" s="386" t="str">
        <f t="shared" si="152"/>
        <v/>
      </c>
      <c r="DI28" s="386">
        <f t="shared" si="169"/>
        <v>0</v>
      </c>
      <c r="DJ28" s="386" t="str">
        <f t="shared" si="153"/>
        <v/>
      </c>
      <c r="DK28" s="387" t="str">
        <f t="shared" si="154"/>
        <v/>
      </c>
      <c r="DL28" s="682" t="str">
        <f t="shared" si="155"/>
        <v/>
      </c>
      <c r="DM28" s="4" t="str">
        <f t="shared" si="156"/>
        <v/>
      </c>
      <c r="DN28" s="386" t="str">
        <f t="shared" si="157"/>
        <v/>
      </c>
      <c r="DO28" s="386">
        <f t="shared" si="79"/>
        <v>0</v>
      </c>
      <c r="DP28" s="386" t="str">
        <f t="shared" si="158"/>
        <v/>
      </c>
      <c r="DQ28" s="387" t="str">
        <f t="shared" si="159"/>
        <v/>
      </c>
    </row>
    <row r="29" spans="1:121" customFormat="1" x14ac:dyDescent="0.25">
      <c r="A29" t="s">
        <v>116</v>
      </c>
      <c r="B29" t="s">
        <v>33</v>
      </c>
      <c r="C29" t="s">
        <v>34</v>
      </c>
      <c r="D29" t="s">
        <v>106</v>
      </c>
      <c r="E29" t="s">
        <v>107</v>
      </c>
      <c r="F29" t="s">
        <v>117</v>
      </c>
      <c r="G29" t="s">
        <v>53</v>
      </c>
      <c r="H29" s="3"/>
      <c r="I29" s="4"/>
      <c r="J29" s="4"/>
      <c r="K29" s="4"/>
      <c r="L29" s="4"/>
      <c r="M29" s="5"/>
      <c r="N29" s="3"/>
      <c r="O29" s="4"/>
      <c r="P29" s="4"/>
      <c r="Q29" s="4"/>
      <c r="R29" s="4"/>
      <c r="S29" s="5"/>
      <c r="T29" s="3"/>
      <c r="U29" s="4"/>
      <c r="V29" s="4"/>
      <c r="W29" s="4"/>
      <c r="X29" s="4"/>
      <c r="Y29" s="5"/>
      <c r="Z29" s="3"/>
      <c r="AA29" s="4"/>
      <c r="AB29" s="4"/>
      <c r="AC29" s="4"/>
      <c r="AD29" s="4"/>
      <c r="AE29" s="5"/>
      <c r="AF29" s="682">
        <f t="shared" si="91"/>
        <v>0</v>
      </c>
      <c r="AG29" s="4">
        <f t="shared" si="92"/>
        <v>0</v>
      </c>
      <c r="AH29" s="386">
        <f t="shared" si="93"/>
        <v>776</v>
      </c>
      <c r="AI29" s="386">
        <f t="shared" si="160"/>
        <v>776</v>
      </c>
      <c r="AJ29" s="386">
        <f t="shared" si="161"/>
        <v>1388.9679999999998</v>
      </c>
      <c r="AK29" s="387">
        <f t="shared" si="95"/>
        <v>27779360</v>
      </c>
      <c r="AL29" s="3"/>
      <c r="AM29" s="4"/>
      <c r="AN29" s="4"/>
      <c r="AO29" s="4"/>
      <c r="AP29" s="4"/>
      <c r="AQ29" s="5"/>
      <c r="AR29" s="682">
        <f t="shared" si="96"/>
        <v>729</v>
      </c>
      <c r="AS29" s="4">
        <f t="shared" si="97"/>
        <v>0</v>
      </c>
      <c r="AT29" s="386">
        <f t="shared" si="98"/>
        <v>367</v>
      </c>
      <c r="AU29" s="386">
        <f t="shared" si="162"/>
        <v>367</v>
      </c>
      <c r="AV29" s="386">
        <f t="shared" si="99"/>
        <v>597.32000000000005</v>
      </c>
      <c r="AW29" s="387">
        <f t="shared" si="100"/>
        <v>10154440</v>
      </c>
      <c r="AX29" s="3"/>
      <c r="AY29" s="4"/>
      <c r="AZ29" s="4"/>
      <c r="BA29" s="4"/>
      <c r="BB29" s="4"/>
      <c r="BC29" s="5"/>
      <c r="BD29" s="682">
        <f t="shared" si="101"/>
        <v>0</v>
      </c>
      <c r="BE29" s="4">
        <f t="shared" si="102"/>
        <v>10</v>
      </c>
      <c r="BF29" s="386">
        <f t="shared" si="103"/>
        <v>10</v>
      </c>
      <c r="BG29" s="386">
        <f t="shared" si="163"/>
        <v>20</v>
      </c>
      <c r="BH29" s="386">
        <f t="shared" si="105"/>
        <v>45</v>
      </c>
      <c r="BI29" s="387">
        <f t="shared" si="106"/>
        <v>765000</v>
      </c>
      <c r="BJ29" s="682" t="str">
        <f t="shared" si="107"/>
        <v/>
      </c>
      <c r="BK29" s="4" t="str">
        <f t="shared" si="108"/>
        <v/>
      </c>
      <c r="BL29" s="386" t="str">
        <f t="shared" si="109"/>
        <v/>
      </c>
      <c r="BM29" s="386">
        <f t="shared" si="25"/>
        <v>0</v>
      </c>
      <c r="BN29" s="386" t="str">
        <f t="shared" si="110"/>
        <v/>
      </c>
      <c r="BO29" s="387" t="str">
        <f t="shared" si="111"/>
        <v/>
      </c>
      <c r="BP29" s="682">
        <f t="shared" si="112"/>
        <v>0</v>
      </c>
      <c r="BQ29" s="4">
        <f t="shared" si="113"/>
        <v>0</v>
      </c>
      <c r="BR29" s="386">
        <f t="shared" si="114"/>
        <v>220</v>
      </c>
      <c r="BS29" s="386">
        <f t="shared" si="164"/>
        <v>220</v>
      </c>
      <c r="BT29" s="386">
        <f t="shared" si="116"/>
        <v>100.74000000000001</v>
      </c>
      <c r="BU29" s="387">
        <f t="shared" si="117"/>
        <v>1611840.0000000002</v>
      </c>
      <c r="BV29" s="682" t="str">
        <f t="shared" si="118"/>
        <v/>
      </c>
      <c r="BW29" s="4" t="str">
        <f t="shared" si="119"/>
        <v/>
      </c>
      <c r="BX29" s="386" t="str">
        <f t="shared" si="120"/>
        <v/>
      </c>
      <c r="BY29" s="386">
        <f t="shared" si="37"/>
        <v>0</v>
      </c>
      <c r="BZ29" s="386" t="str">
        <f t="shared" si="121"/>
        <v/>
      </c>
      <c r="CA29" s="387" t="str">
        <f t="shared" si="122"/>
        <v/>
      </c>
      <c r="CB29" s="682" t="str">
        <f t="shared" si="123"/>
        <v/>
      </c>
      <c r="CC29" s="4" t="str">
        <f t="shared" si="124"/>
        <v/>
      </c>
      <c r="CD29" s="386" t="str">
        <f t="shared" si="125"/>
        <v/>
      </c>
      <c r="CE29" s="386">
        <f t="shared" si="43"/>
        <v>0</v>
      </c>
      <c r="CF29" s="386" t="str">
        <f t="shared" si="126"/>
        <v/>
      </c>
      <c r="CG29" s="387" t="str">
        <f t="shared" si="127"/>
        <v/>
      </c>
      <c r="CH29" s="682" t="str">
        <f t="shared" si="128"/>
        <v/>
      </c>
      <c r="CI29" s="4" t="str">
        <f t="shared" si="129"/>
        <v/>
      </c>
      <c r="CJ29" s="386" t="str">
        <f t="shared" si="130"/>
        <v/>
      </c>
      <c r="CK29" s="386">
        <f t="shared" si="165"/>
        <v>0</v>
      </c>
      <c r="CL29" s="386" t="str">
        <f t="shared" si="132"/>
        <v/>
      </c>
      <c r="CM29" s="387" t="str">
        <f t="shared" si="133"/>
        <v/>
      </c>
      <c r="CN29" s="682">
        <f t="shared" si="134"/>
        <v>0</v>
      </c>
      <c r="CO29" s="4">
        <f t="shared" si="135"/>
        <v>17.04</v>
      </c>
      <c r="CP29" s="386">
        <f t="shared" si="136"/>
        <v>34.96</v>
      </c>
      <c r="CQ29" s="386">
        <f t="shared" si="166"/>
        <v>52</v>
      </c>
      <c r="CR29" s="386">
        <f t="shared" si="138"/>
        <v>104.77951999999999</v>
      </c>
      <c r="CS29" s="387">
        <f t="shared" si="139"/>
        <v>1821068.0575999997</v>
      </c>
      <c r="CT29" s="682" t="str">
        <f t="shared" si="140"/>
        <v/>
      </c>
      <c r="CU29" s="4" t="str">
        <f t="shared" si="141"/>
        <v/>
      </c>
      <c r="CV29" s="386" t="str">
        <f t="shared" si="142"/>
        <v/>
      </c>
      <c r="CW29" s="386">
        <f t="shared" si="167"/>
        <v>0</v>
      </c>
      <c r="CX29" s="386" t="str">
        <f t="shared" si="143"/>
        <v/>
      </c>
      <c r="CY29" s="387" t="str">
        <f t="shared" si="144"/>
        <v/>
      </c>
      <c r="CZ29" s="682" t="str">
        <f t="shared" si="145"/>
        <v/>
      </c>
      <c r="DA29" s="4" t="str">
        <f t="shared" si="146"/>
        <v/>
      </c>
      <c r="DB29" s="386" t="str">
        <f t="shared" si="147"/>
        <v/>
      </c>
      <c r="DC29" s="386">
        <f t="shared" si="168"/>
        <v>0</v>
      </c>
      <c r="DD29" s="386" t="str">
        <f t="shared" si="148"/>
        <v/>
      </c>
      <c r="DE29" s="387" t="str">
        <f t="shared" si="149"/>
        <v/>
      </c>
      <c r="DF29" s="682" t="str">
        <f t="shared" si="150"/>
        <v/>
      </c>
      <c r="DG29" s="4" t="str">
        <f t="shared" si="151"/>
        <v/>
      </c>
      <c r="DH29" s="386" t="str">
        <f t="shared" si="152"/>
        <v/>
      </c>
      <c r="DI29" s="386">
        <f t="shared" si="169"/>
        <v>0</v>
      </c>
      <c r="DJ29" s="386" t="str">
        <f t="shared" si="153"/>
        <v/>
      </c>
      <c r="DK29" s="387" t="str">
        <f t="shared" si="154"/>
        <v/>
      </c>
      <c r="DL29" s="682" t="str">
        <f t="shared" si="155"/>
        <v/>
      </c>
      <c r="DM29" s="4" t="str">
        <f t="shared" si="156"/>
        <v/>
      </c>
      <c r="DN29" s="386" t="str">
        <f t="shared" si="157"/>
        <v/>
      </c>
      <c r="DO29" s="386">
        <f t="shared" si="79"/>
        <v>0</v>
      </c>
      <c r="DP29" s="386" t="str">
        <f t="shared" si="158"/>
        <v/>
      </c>
      <c r="DQ29" s="387" t="str">
        <f t="shared" si="159"/>
        <v/>
      </c>
    </row>
    <row r="30" spans="1:121" customFormat="1" x14ac:dyDescent="0.25">
      <c r="A30" t="s">
        <v>118</v>
      </c>
      <c r="B30" t="s">
        <v>33</v>
      </c>
      <c r="C30" t="s">
        <v>34</v>
      </c>
      <c r="D30" t="s">
        <v>106</v>
      </c>
      <c r="E30" t="s">
        <v>107</v>
      </c>
      <c r="F30" t="s">
        <v>119</v>
      </c>
      <c r="G30" t="s">
        <v>120</v>
      </c>
      <c r="H30" s="3"/>
      <c r="I30" s="4"/>
      <c r="J30" s="4"/>
      <c r="K30" s="4"/>
      <c r="L30" s="4"/>
      <c r="M30" s="5"/>
      <c r="N30" s="3"/>
      <c r="O30" s="4"/>
      <c r="P30" s="4"/>
      <c r="Q30" s="4"/>
      <c r="R30" s="4"/>
      <c r="S30" s="5"/>
      <c r="T30" s="3"/>
      <c r="U30" s="4"/>
      <c r="V30" s="4"/>
      <c r="W30" s="4"/>
      <c r="X30" s="4"/>
      <c r="Y30" s="5"/>
      <c r="Z30" s="3"/>
      <c r="AA30" s="4"/>
      <c r="AB30" s="4"/>
      <c r="AC30" s="4"/>
      <c r="AD30" s="4"/>
      <c r="AE30" s="5"/>
      <c r="AF30" s="682">
        <f t="shared" si="91"/>
        <v>0</v>
      </c>
      <c r="AG30" s="4">
        <f t="shared" si="92"/>
        <v>0</v>
      </c>
      <c r="AH30" s="386">
        <f t="shared" si="93"/>
        <v>1908.5</v>
      </c>
      <c r="AI30" s="386">
        <f t="shared" si="160"/>
        <v>1908.5</v>
      </c>
      <c r="AJ30" s="386">
        <f t="shared" si="161"/>
        <v>4542.2299999999996</v>
      </c>
      <c r="AK30" s="387">
        <f t="shared" si="95"/>
        <v>90844599.999999985</v>
      </c>
      <c r="AL30" s="3"/>
      <c r="AM30" s="4"/>
      <c r="AN30" s="4"/>
      <c r="AO30" s="4"/>
      <c r="AP30" s="4"/>
      <c r="AQ30" s="5"/>
      <c r="AR30" s="682" t="str">
        <f t="shared" si="96"/>
        <v/>
      </c>
      <c r="AS30" s="4" t="str">
        <f t="shared" si="97"/>
        <v/>
      </c>
      <c r="AT30" s="386" t="str">
        <f t="shared" si="98"/>
        <v/>
      </c>
      <c r="AU30" s="386">
        <f t="shared" si="162"/>
        <v>0</v>
      </c>
      <c r="AV30" s="386" t="str">
        <f t="shared" si="99"/>
        <v/>
      </c>
      <c r="AW30" s="387" t="str">
        <f t="shared" si="100"/>
        <v/>
      </c>
      <c r="AX30" s="3"/>
      <c r="AY30" s="4"/>
      <c r="AZ30" s="4"/>
      <c r="BA30" s="4"/>
      <c r="BB30" s="4"/>
      <c r="BC30" s="5"/>
      <c r="BD30" s="682">
        <f t="shared" si="101"/>
        <v>0</v>
      </c>
      <c r="BE30" s="4">
        <f t="shared" si="102"/>
        <v>4</v>
      </c>
      <c r="BF30" s="386">
        <f t="shared" si="103"/>
        <v>1</v>
      </c>
      <c r="BG30" s="386">
        <f t="shared" si="163"/>
        <v>5</v>
      </c>
      <c r="BH30" s="386">
        <f t="shared" si="105"/>
        <v>1.3500000000000005</v>
      </c>
      <c r="BI30" s="387">
        <f t="shared" si="106"/>
        <v>44510.000000000015</v>
      </c>
      <c r="BJ30" s="682" t="str">
        <f t="shared" si="107"/>
        <v/>
      </c>
      <c r="BK30" s="4" t="str">
        <f t="shared" si="108"/>
        <v/>
      </c>
      <c r="BL30" s="386" t="str">
        <f t="shared" si="109"/>
        <v/>
      </c>
      <c r="BM30" s="386">
        <f t="shared" si="25"/>
        <v>0</v>
      </c>
      <c r="BN30" s="386" t="str">
        <f t="shared" si="110"/>
        <v/>
      </c>
      <c r="BO30" s="387" t="str">
        <f t="shared" si="111"/>
        <v/>
      </c>
      <c r="BP30" s="682">
        <f t="shared" si="112"/>
        <v>0</v>
      </c>
      <c r="BQ30" s="4">
        <f t="shared" si="113"/>
        <v>0</v>
      </c>
      <c r="BR30" s="386">
        <f t="shared" si="114"/>
        <v>80</v>
      </c>
      <c r="BS30" s="386">
        <f t="shared" si="164"/>
        <v>80</v>
      </c>
      <c r="BT30" s="386">
        <f t="shared" si="116"/>
        <v>52.559999999999995</v>
      </c>
      <c r="BU30" s="387">
        <f t="shared" si="117"/>
        <v>840959.99999999988</v>
      </c>
      <c r="BV30" s="682" t="str">
        <f t="shared" si="118"/>
        <v/>
      </c>
      <c r="BW30" s="4" t="str">
        <f t="shared" si="119"/>
        <v/>
      </c>
      <c r="BX30" s="386" t="str">
        <f t="shared" si="120"/>
        <v/>
      </c>
      <c r="BY30" s="386">
        <f t="shared" si="37"/>
        <v>0</v>
      </c>
      <c r="BZ30" s="386" t="str">
        <f t="shared" si="121"/>
        <v/>
      </c>
      <c r="CA30" s="387" t="str">
        <f t="shared" si="122"/>
        <v/>
      </c>
      <c r="CB30" s="682" t="str">
        <f t="shared" si="123"/>
        <v/>
      </c>
      <c r="CC30" s="4" t="str">
        <f t="shared" si="124"/>
        <v/>
      </c>
      <c r="CD30" s="386" t="str">
        <f t="shared" si="125"/>
        <v/>
      </c>
      <c r="CE30" s="386">
        <f t="shared" si="43"/>
        <v>0</v>
      </c>
      <c r="CF30" s="386" t="str">
        <f t="shared" si="126"/>
        <v/>
      </c>
      <c r="CG30" s="387" t="str">
        <f t="shared" si="127"/>
        <v/>
      </c>
      <c r="CH30" s="682">
        <f t="shared" si="128"/>
        <v>0</v>
      </c>
      <c r="CI30" s="4">
        <f t="shared" si="129"/>
        <v>0</v>
      </c>
      <c r="CJ30" s="386">
        <f t="shared" si="130"/>
        <v>5</v>
      </c>
      <c r="CK30" s="386">
        <f t="shared" si="165"/>
        <v>5</v>
      </c>
      <c r="CL30" s="386">
        <f t="shared" si="132"/>
        <v>0.42399999999999999</v>
      </c>
      <c r="CM30" s="387">
        <f t="shared" si="133"/>
        <v>10392.240000000002</v>
      </c>
      <c r="CN30" s="682">
        <f t="shared" si="134"/>
        <v>0</v>
      </c>
      <c r="CO30" s="4">
        <f t="shared" si="135"/>
        <v>0.11</v>
      </c>
      <c r="CP30" s="386">
        <f t="shared" si="136"/>
        <v>5.6</v>
      </c>
      <c r="CQ30" s="386">
        <f t="shared" si="166"/>
        <v>5.71</v>
      </c>
      <c r="CR30" s="386">
        <f t="shared" si="138"/>
        <v>2.7904</v>
      </c>
      <c r="CS30" s="387">
        <f t="shared" si="139"/>
        <v>48497.151999999995</v>
      </c>
      <c r="CT30" s="682" t="str">
        <f t="shared" si="140"/>
        <v/>
      </c>
      <c r="CU30" s="4" t="str">
        <f t="shared" si="141"/>
        <v/>
      </c>
      <c r="CV30" s="386" t="str">
        <f t="shared" si="142"/>
        <v/>
      </c>
      <c r="CW30" s="386">
        <f t="shared" si="167"/>
        <v>0</v>
      </c>
      <c r="CX30" s="386" t="str">
        <f t="shared" si="143"/>
        <v/>
      </c>
      <c r="CY30" s="387" t="str">
        <f t="shared" si="144"/>
        <v/>
      </c>
      <c r="CZ30" s="682">
        <f t="shared" si="145"/>
        <v>80</v>
      </c>
      <c r="DA30" s="4">
        <f t="shared" si="146"/>
        <v>4.5</v>
      </c>
      <c r="DB30" s="386">
        <f t="shared" si="147"/>
        <v>0</v>
      </c>
      <c r="DC30" s="386">
        <f t="shared" si="168"/>
        <v>4.5</v>
      </c>
      <c r="DD30" s="386">
        <f t="shared" si="148"/>
        <v>5.13</v>
      </c>
      <c r="DE30" s="387">
        <f t="shared" si="149"/>
        <v>107730</v>
      </c>
      <c r="DF30" s="682">
        <f t="shared" si="150"/>
        <v>0</v>
      </c>
      <c r="DG30" s="4">
        <f t="shared" si="151"/>
        <v>0</v>
      </c>
      <c r="DH30" s="386">
        <f t="shared" si="152"/>
        <v>50</v>
      </c>
      <c r="DI30" s="386">
        <f t="shared" si="169"/>
        <v>50</v>
      </c>
      <c r="DJ30" s="386">
        <f t="shared" si="153"/>
        <v>20.619999999999997</v>
      </c>
      <c r="DK30" s="387">
        <f t="shared" si="154"/>
        <v>340023.8</v>
      </c>
      <c r="DL30" s="682" t="str">
        <f t="shared" si="155"/>
        <v/>
      </c>
      <c r="DM30" s="4" t="str">
        <f t="shared" si="156"/>
        <v/>
      </c>
      <c r="DN30" s="386" t="str">
        <f t="shared" si="157"/>
        <v/>
      </c>
      <c r="DO30" s="386">
        <f t="shared" si="79"/>
        <v>0</v>
      </c>
      <c r="DP30" s="386" t="str">
        <f t="shared" si="158"/>
        <v/>
      </c>
      <c r="DQ30" s="387" t="str">
        <f t="shared" si="159"/>
        <v/>
      </c>
    </row>
    <row r="31" spans="1:121" customFormat="1" x14ac:dyDescent="0.25">
      <c r="A31" t="s">
        <v>121</v>
      </c>
      <c r="B31" t="s">
        <v>33</v>
      </c>
      <c r="C31" t="s">
        <v>34</v>
      </c>
      <c r="D31" t="s">
        <v>106</v>
      </c>
      <c r="E31" t="s">
        <v>107</v>
      </c>
      <c r="F31" t="s">
        <v>122</v>
      </c>
      <c r="G31" t="s">
        <v>123</v>
      </c>
      <c r="H31" s="3"/>
      <c r="I31" s="4"/>
      <c r="J31" s="4"/>
      <c r="K31" s="4"/>
      <c r="L31" s="4"/>
      <c r="M31" s="5"/>
      <c r="N31" s="3"/>
      <c r="O31" s="4"/>
      <c r="P31" s="4"/>
      <c r="Q31" s="4"/>
      <c r="R31" s="4"/>
      <c r="S31" s="5"/>
      <c r="T31" s="3"/>
      <c r="U31" s="4"/>
      <c r="V31" s="4"/>
      <c r="W31" s="4"/>
      <c r="X31" s="4"/>
      <c r="Y31" s="5"/>
      <c r="Z31" s="3"/>
      <c r="AA31" s="4"/>
      <c r="AB31" s="4"/>
      <c r="AC31" s="4"/>
      <c r="AD31" s="4"/>
      <c r="AE31" s="5"/>
      <c r="AF31" s="682">
        <f t="shared" si="91"/>
        <v>0</v>
      </c>
      <c r="AG31" s="4">
        <f t="shared" si="92"/>
        <v>0</v>
      </c>
      <c r="AH31" s="386">
        <f t="shared" si="93"/>
        <v>249.75</v>
      </c>
      <c r="AI31" s="386">
        <f t="shared" si="160"/>
        <v>249.75</v>
      </c>
      <c r="AJ31" s="386">
        <f t="shared" si="161"/>
        <v>594.40499999999997</v>
      </c>
      <c r="AK31" s="387">
        <f t="shared" si="95"/>
        <v>11888100</v>
      </c>
      <c r="AL31" s="3"/>
      <c r="AM31" s="4"/>
      <c r="AN31" s="4"/>
      <c r="AO31" s="4"/>
      <c r="AP31" s="4"/>
      <c r="AQ31" s="5"/>
      <c r="AR31" s="682" t="str">
        <f t="shared" si="96"/>
        <v/>
      </c>
      <c r="AS31" s="4" t="str">
        <f t="shared" si="97"/>
        <v/>
      </c>
      <c r="AT31" s="386" t="str">
        <f t="shared" si="98"/>
        <v/>
      </c>
      <c r="AU31" s="386">
        <f t="shared" si="162"/>
        <v>0</v>
      </c>
      <c r="AV31" s="386" t="str">
        <f t="shared" si="99"/>
        <v/>
      </c>
      <c r="AW31" s="387" t="str">
        <f t="shared" si="100"/>
        <v/>
      </c>
      <c r="AX31" s="3"/>
      <c r="AY31" s="4"/>
      <c r="AZ31" s="4"/>
      <c r="BA31" s="4"/>
      <c r="BB31" s="4"/>
      <c r="BC31" s="5"/>
      <c r="BD31" s="682">
        <f t="shared" si="101"/>
        <v>0</v>
      </c>
      <c r="BE31" s="4">
        <f t="shared" si="102"/>
        <v>150</v>
      </c>
      <c r="BF31" s="386">
        <f t="shared" si="103"/>
        <v>0</v>
      </c>
      <c r="BG31" s="386">
        <f t="shared" si="163"/>
        <v>150</v>
      </c>
      <c r="BH31" s="386">
        <f t="shared" si="105"/>
        <v>115.19999999999997</v>
      </c>
      <c r="BI31" s="387">
        <f t="shared" si="106"/>
        <v>1958399.9999999995</v>
      </c>
      <c r="BJ31" s="682" t="str">
        <f t="shared" si="107"/>
        <v/>
      </c>
      <c r="BK31" s="4" t="str">
        <f t="shared" si="108"/>
        <v/>
      </c>
      <c r="BL31" s="386" t="str">
        <f t="shared" si="109"/>
        <v/>
      </c>
      <c r="BM31" s="386">
        <f t="shared" si="25"/>
        <v>0</v>
      </c>
      <c r="BN31" s="386" t="str">
        <f t="shared" si="110"/>
        <v/>
      </c>
      <c r="BO31" s="387" t="str">
        <f t="shared" si="111"/>
        <v/>
      </c>
      <c r="BP31" s="682">
        <f t="shared" si="112"/>
        <v>0</v>
      </c>
      <c r="BQ31" s="4">
        <f t="shared" si="113"/>
        <v>0</v>
      </c>
      <c r="BR31" s="386">
        <f t="shared" si="114"/>
        <v>156.94999999999999</v>
      </c>
      <c r="BS31" s="386">
        <f t="shared" si="164"/>
        <v>156.94999999999999</v>
      </c>
      <c r="BT31" s="386">
        <f t="shared" si="116"/>
        <v>112.1499</v>
      </c>
      <c r="BU31" s="387">
        <f t="shared" si="117"/>
        <v>1794398.4</v>
      </c>
      <c r="BV31" s="682" t="str">
        <f t="shared" si="118"/>
        <v/>
      </c>
      <c r="BW31" s="4" t="str">
        <f t="shared" si="119"/>
        <v/>
      </c>
      <c r="BX31" s="386" t="str">
        <f t="shared" si="120"/>
        <v/>
      </c>
      <c r="BY31" s="386">
        <f t="shared" si="37"/>
        <v>0</v>
      </c>
      <c r="BZ31" s="386" t="str">
        <f t="shared" si="121"/>
        <v/>
      </c>
      <c r="CA31" s="387" t="str">
        <f t="shared" si="122"/>
        <v/>
      </c>
      <c r="CB31" s="682" t="str">
        <f t="shared" si="123"/>
        <v/>
      </c>
      <c r="CC31" s="4" t="str">
        <f t="shared" si="124"/>
        <v/>
      </c>
      <c r="CD31" s="386" t="str">
        <f t="shared" si="125"/>
        <v/>
      </c>
      <c r="CE31" s="386">
        <f t="shared" si="43"/>
        <v>0</v>
      </c>
      <c r="CF31" s="386" t="str">
        <f t="shared" si="126"/>
        <v/>
      </c>
      <c r="CG31" s="387" t="str">
        <f t="shared" si="127"/>
        <v/>
      </c>
      <c r="CH31" s="682">
        <f t="shared" si="128"/>
        <v>0</v>
      </c>
      <c r="CI31" s="4">
        <f t="shared" si="129"/>
        <v>0</v>
      </c>
      <c r="CJ31" s="386">
        <f t="shared" si="130"/>
        <v>16</v>
      </c>
      <c r="CK31" s="386">
        <f t="shared" si="165"/>
        <v>16</v>
      </c>
      <c r="CL31" s="386">
        <f t="shared" si="132"/>
        <v>3.6040000000000005</v>
      </c>
      <c r="CM31" s="387">
        <f t="shared" si="133"/>
        <v>88334.040000000023</v>
      </c>
      <c r="CN31" s="682">
        <f t="shared" si="134"/>
        <v>0</v>
      </c>
      <c r="CO31" s="4">
        <f t="shared" si="135"/>
        <v>0</v>
      </c>
      <c r="CP31" s="386">
        <f t="shared" si="136"/>
        <v>101.5</v>
      </c>
      <c r="CQ31" s="386">
        <f t="shared" si="166"/>
        <v>101.5</v>
      </c>
      <c r="CR31" s="386">
        <f t="shared" si="138"/>
        <v>66.381</v>
      </c>
      <c r="CS31" s="387">
        <f t="shared" si="139"/>
        <v>1153701.7799999998</v>
      </c>
      <c r="CT31" s="682" t="str">
        <f t="shared" si="140"/>
        <v/>
      </c>
      <c r="CU31" s="4" t="str">
        <f t="shared" si="141"/>
        <v/>
      </c>
      <c r="CV31" s="386" t="str">
        <f t="shared" si="142"/>
        <v/>
      </c>
      <c r="CW31" s="386">
        <f t="shared" si="167"/>
        <v>0</v>
      </c>
      <c r="CX31" s="386" t="str">
        <f t="shared" si="143"/>
        <v/>
      </c>
      <c r="CY31" s="387" t="str">
        <f t="shared" si="144"/>
        <v/>
      </c>
      <c r="CZ31" s="682" t="str">
        <f t="shared" si="145"/>
        <v/>
      </c>
      <c r="DA31" s="4" t="str">
        <f t="shared" si="146"/>
        <v/>
      </c>
      <c r="DB31" s="386" t="str">
        <f t="shared" si="147"/>
        <v/>
      </c>
      <c r="DC31" s="386">
        <f t="shared" si="168"/>
        <v>0</v>
      </c>
      <c r="DD31" s="386" t="str">
        <f t="shared" si="148"/>
        <v/>
      </c>
      <c r="DE31" s="387" t="str">
        <f t="shared" si="149"/>
        <v/>
      </c>
      <c r="DF31" s="682">
        <f t="shared" si="150"/>
        <v>0</v>
      </c>
      <c r="DG31" s="4">
        <f t="shared" si="151"/>
        <v>0.1</v>
      </c>
      <c r="DH31" s="386">
        <f t="shared" si="152"/>
        <v>0</v>
      </c>
      <c r="DI31" s="386">
        <f t="shared" si="169"/>
        <v>0.1</v>
      </c>
      <c r="DJ31" s="386">
        <f t="shared" si="153"/>
        <v>0.43</v>
      </c>
      <c r="DK31" s="387">
        <f t="shared" si="154"/>
        <v>7090.6999999999989</v>
      </c>
      <c r="DL31" s="682" t="str">
        <f t="shared" si="155"/>
        <v/>
      </c>
      <c r="DM31" s="4" t="str">
        <f t="shared" si="156"/>
        <v/>
      </c>
      <c r="DN31" s="386" t="str">
        <f t="shared" si="157"/>
        <v/>
      </c>
      <c r="DO31" s="386">
        <f t="shared" si="79"/>
        <v>0</v>
      </c>
      <c r="DP31" s="386" t="str">
        <f t="shared" si="158"/>
        <v/>
      </c>
      <c r="DQ31" s="387" t="str">
        <f t="shared" si="159"/>
        <v/>
      </c>
    </row>
    <row r="32" spans="1:121" customFormat="1" x14ac:dyDescent="0.25">
      <c r="A32" t="s">
        <v>124</v>
      </c>
      <c r="B32" t="s">
        <v>33</v>
      </c>
      <c r="C32" t="s">
        <v>34</v>
      </c>
      <c r="D32" t="s">
        <v>106</v>
      </c>
      <c r="E32" t="s">
        <v>107</v>
      </c>
      <c r="F32" t="s">
        <v>125</v>
      </c>
      <c r="G32" t="s">
        <v>126</v>
      </c>
      <c r="H32" s="3"/>
      <c r="I32" s="4"/>
      <c r="J32" s="4"/>
      <c r="K32" s="4"/>
      <c r="L32" s="4"/>
      <c r="M32" s="5"/>
      <c r="N32" s="3"/>
      <c r="O32" s="4"/>
      <c r="P32" s="4"/>
      <c r="Q32" s="4"/>
      <c r="R32" s="4"/>
      <c r="S32" s="5"/>
      <c r="T32" s="3"/>
      <c r="U32" s="4"/>
      <c r="V32" s="4"/>
      <c r="W32" s="4"/>
      <c r="X32" s="4"/>
      <c r="Y32" s="5"/>
      <c r="Z32" s="3"/>
      <c r="AA32" s="4"/>
      <c r="AB32" s="4"/>
      <c r="AC32" s="4"/>
      <c r="AD32" s="4"/>
      <c r="AE32" s="5"/>
      <c r="AF32" s="682">
        <f t="shared" si="91"/>
        <v>0</v>
      </c>
      <c r="AG32" s="4">
        <f t="shared" si="92"/>
        <v>5.2</v>
      </c>
      <c r="AH32" s="386">
        <f t="shared" si="93"/>
        <v>13.4</v>
      </c>
      <c r="AI32" s="386">
        <f t="shared" si="160"/>
        <v>18.600000000000001</v>
      </c>
      <c r="AJ32" s="386">
        <f t="shared" si="161"/>
        <v>56.643999999999998</v>
      </c>
      <c r="AK32" s="387">
        <f t="shared" si="95"/>
        <v>1132880</v>
      </c>
      <c r="AL32" s="3"/>
      <c r="AM32" s="4"/>
      <c r="AN32" s="4"/>
      <c r="AO32" s="4"/>
      <c r="AP32" s="4"/>
      <c r="AQ32" s="5"/>
      <c r="AR32" s="682">
        <f t="shared" si="96"/>
        <v>424</v>
      </c>
      <c r="AS32" s="4">
        <f t="shared" si="97"/>
        <v>39.85</v>
      </c>
      <c r="AT32" s="386">
        <f t="shared" si="98"/>
        <v>60.65</v>
      </c>
      <c r="AU32" s="386">
        <f t="shared" si="162"/>
        <v>100.5</v>
      </c>
      <c r="AV32" s="386">
        <f t="shared" si="99"/>
        <v>253.07620000000003</v>
      </c>
      <c r="AW32" s="387">
        <f t="shared" si="100"/>
        <v>4302295.4000000004</v>
      </c>
      <c r="AX32" s="3"/>
      <c r="AY32" s="4"/>
      <c r="AZ32" s="4"/>
      <c r="BA32" s="4"/>
      <c r="BB32" s="4"/>
      <c r="BC32" s="5"/>
      <c r="BD32" s="682">
        <f t="shared" si="101"/>
        <v>0</v>
      </c>
      <c r="BE32" s="4">
        <f t="shared" si="102"/>
        <v>40</v>
      </c>
      <c r="BF32" s="386">
        <f t="shared" si="103"/>
        <v>15</v>
      </c>
      <c r="BG32" s="386">
        <f t="shared" si="163"/>
        <v>55</v>
      </c>
      <c r="BH32" s="386">
        <f t="shared" si="105"/>
        <v>0</v>
      </c>
      <c r="BI32" s="387">
        <f t="shared" si="106"/>
        <v>404250</v>
      </c>
      <c r="BJ32" s="682" t="str">
        <f t="shared" si="107"/>
        <v/>
      </c>
      <c r="BK32" s="4" t="str">
        <f t="shared" si="108"/>
        <v/>
      </c>
      <c r="BL32" s="386" t="str">
        <f t="shared" si="109"/>
        <v/>
      </c>
      <c r="BM32" s="386">
        <f t="shared" si="25"/>
        <v>0</v>
      </c>
      <c r="BN32" s="386" t="str">
        <f t="shared" si="110"/>
        <v/>
      </c>
      <c r="BO32" s="387" t="str">
        <f t="shared" si="111"/>
        <v/>
      </c>
      <c r="BP32" s="682">
        <f t="shared" si="112"/>
        <v>0</v>
      </c>
      <c r="BQ32" s="4">
        <f t="shared" si="113"/>
        <v>0</v>
      </c>
      <c r="BR32" s="386">
        <f t="shared" si="114"/>
        <v>22.5</v>
      </c>
      <c r="BS32" s="386">
        <f t="shared" si="164"/>
        <v>22.5</v>
      </c>
      <c r="BT32" s="386">
        <f t="shared" si="116"/>
        <v>10.621499999999999</v>
      </c>
      <c r="BU32" s="387">
        <f t="shared" si="117"/>
        <v>169944</v>
      </c>
      <c r="BV32" s="682" t="str">
        <f t="shared" si="118"/>
        <v/>
      </c>
      <c r="BW32" s="4" t="str">
        <f t="shared" si="119"/>
        <v/>
      </c>
      <c r="BX32" s="386" t="str">
        <f t="shared" si="120"/>
        <v/>
      </c>
      <c r="BY32" s="386">
        <f t="shared" si="37"/>
        <v>0</v>
      </c>
      <c r="BZ32" s="386" t="str">
        <f t="shared" si="121"/>
        <v/>
      </c>
      <c r="CA32" s="387" t="str">
        <f t="shared" si="122"/>
        <v/>
      </c>
      <c r="CB32" s="682" t="str">
        <f t="shared" si="123"/>
        <v/>
      </c>
      <c r="CC32" s="4" t="str">
        <f t="shared" si="124"/>
        <v/>
      </c>
      <c r="CD32" s="386" t="str">
        <f t="shared" si="125"/>
        <v/>
      </c>
      <c r="CE32" s="386">
        <f t="shared" si="43"/>
        <v>0</v>
      </c>
      <c r="CF32" s="386" t="str">
        <f t="shared" si="126"/>
        <v/>
      </c>
      <c r="CG32" s="387" t="str">
        <f t="shared" si="127"/>
        <v/>
      </c>
      <c r="CH32" s="682">
        <f t="shared" si="128"/>
        <v>0</v>
      </c>
      <c r="CI32" s="4">
        <f t="shared" si="129"/>
        <v>4</v>
      </c>
      <c r="CJ32" s="386">
        <f t="shared" si="130"/>
        <v>3</v>
      </c>
      <c r="CK32" s="386">
        <f t="shared" si="165"/>
        <v>7</v>
      </c>
      <c r="CL32" s="386">
        <f t="shared" si="132"/>
        <v>20.776</v>
      </c>
      <c r="CM32" s="387">
        <f t="shared" si="133"/>
        <v>491072.56</v>
      </c>
      <c r="CN32" s="682" t="str">
        <f t="shared" si="134"/>
        <v/>
      </c>
      <c r="CO32" s="4" t="str">
        <f t="shared" si="135"/>
        <v/>
      </c>
      <c r="CP32" s="386" t="str">
        <f t="shared" si="136"/>
        <v/>
      </c>
      <c r="CQ32" s="386">
        <f t="shared" si="166"/>
        <v>0</v>
      </c>
      <c r="CR32" s="386" t="str">
        <f t="shared" si="138"/>
        <v/>
      </c>
      <c r="CS32" s="387" t="str">
        <f t="shared" si="139"/>
        <v/>
      </c>
      <c r="CT32" s="682" t="str">
        <f t="shared" si="140"/>
        <v/>
      </c>
      <c r="CU32" s="4" t="str">
        <f t="shared" si="141"/>
        <v/>
      </c>
      <c r="CV32" s="386" t="str">
        <f t="shared" si="142"/>
        <v/>
      </c>
      <c r="CW32" s="386">
        <f t="shared" si="167"/>
        <v>0</v>
      </c>
      <c r="CX32" s="386" t="str">
        <f t="shared" si="143"/>
        <v/>
      </c>
      <c r="CY32" s="387" t="str">
        <f t="shared" si="144"/>
        <v/>
      </c>
      <c r="CZ32" s="682" t="str">
        <f t="shared" si="145"/>
        <v/>
      </c>
      <c r="DA32" s="4" t="str">
        <f t="shared" si="146"/>
        <v/>
      </c>
      <c r="DB32" s="386" t="str">
        <f t="shared" si="147"/>
        <v/>
      </c>
      <c r="DC32" s="386">
        <f t="shared" si="168"/>
        <v>0</v>
      </c>
      <c r="DD32" s="386" t="str">
        <f t="shared" si="148"/>
        <v/>
      </c>
      <c r="DE32" s="387" t="str">
        <f t="shared" si="149"/>
        <v/>
      </c>
      <c r="DF32" s="682" t="str">
        <f t="shared" si="150"/>
        <v/>
      </c>
      <c r="DG32" s="4" t="str">
        <f t="shared" si="151"/>
        <v/>
      </c>
      <c r="DH32" s="386" t="str">
        <f t="shared" si="152"/>
        <v/>
      </c>
      <c r="DI32" s="386">
        <f t="shared" si="169"/>
        <v>0</v>
      </c>
      <c r="DJ32" s="386" t="str">
        <f t="shared" si="153"/>
        <v/>
      </c>
      <c r="DK32" s="387" t="str">
        <f t="shared" si="154"/>
        <v/>
      </c>
      <c r="DL32" s="682" t="str">
        <f t="shared" si="155"/>
        <v/>
      </c>
      <c r="DM32" s="4" t="str">
        <f t="shared" si="156"/>
        <v/>
      </c>
      <c r="DN32" s="386" t="str">
        <f t="shared" si="157"/>
        <v/>
      </c>
      <c r="DO32" s="386">
        <f t="shared" si="79"/>
        <v>0</v>
      </c>
      <c r="DP32" s="386" t="str">
        <f t="shared" si="158"/>
        <v/>
      </c>
      <c r="DQ32" s="387" t="str">
        <f t="shared" si="159"/>
        <v/>
      </c>
    </row>
    <row r="33" spans="1:121" customFormat="1" x14ac:dyDescent="0.25">
      <c r="A33" t="s">
        <v>127</v>
      </c>
      <c r="B33" t="s">
        <v>33</v>
      </c>
      <c r="C33" t="s">
        <v>34</v>
      </c>
      <c r="D33" t="s">
        <v>106</v>
      </c>
      <c r="E33" t="s">
        <v>107</v>
      </c>
      <c r="F33" t="s">
        <v>128</v>
      </c>
      <c r="G33" t="s">
        <v>129</v>
      </c>
      <c r="H33" s="3"/>
      <c r="I33" s="4"/>
      <c r="J33" s="4"/>
      <c r="K33" s="4"/>
      <c r="L33" s="4"/>
      <c r="M33" s="5"/>
      <c r="N33" s="3"/>
      <c r="O33" s="4"/>
      <c r="P33" s="4"/>
      <c r="Q33" s="4"/>
      <c r="R33" s="4"/>
      <c r="S33" s="5"/>
      <c r="T33" s="3"/>
      <c r="U33" s="4"/>
      <c r="V33" s="4"/>
      <c r="W33" s="4"/>
      <c r="X33" s="4"/>
      <c r="Y33" s="5"/>
      <c r="Z33" s="3"/>
      <c r="AA33" s="4"/>
      <c r="AB33" s="4"/>
      <c r="AC33" s="4"/>
      <c r="AD33" s="4"/>
      <c r="AE33" s="5"/>
      <c r="AF33" s="682">
        <f t="shared" si="91"/>
        <v>0</v>
      </c>
      <c r="AG33" s="4">
        <f t="shared" si="92"/>
        <v>0</v>
      </c>
      <c r="AH33" s="386">
        <f t="shared" si="93"/>
        <v>1800</v>
      </c>
      <c r="AI33" s="386">
        <f t="shared" si="160"/>
        <v>1800</v>
      </c>
      <c r="AJ33" s="386">
        <f t="shared" si="161"/>
        <v>3427.2</v>
      </c>
      <c r="AK33" s="387">
        <f t="shared" si="95"/>
        <v>68544000</v>
      </c>
      <c r="AL33" s="3"/>
      <c r="AM33" s="4"/>
      <c r="AN33" s="4"/>
      <c r="AO33" s="4"/>
      <c r="AP33" s="4"/>
      <c r="AQ33" s="5"/>
      <c r="AR33" s="682">
        <f t="shared" si="96"/>
        <v>3911</v>
      </c>
      <c r="AS33" s="4">
        <f t="shared" si="97"/>
        <v>0</v>
      </c>
      <c r="AT33" s="386">
        <f t="shared" si="98"/>
        <v>2400</v>
      </c>
      <c r="AU33" s="386">
        <f t="shared" si="162"/>
        <v>2400</v>
      </c>
      <c r="AV33" s="386">
        <f t="shared" si="99"/>
        <v>2332.6000000000004</v>
      </c>
      <c r="AW33" s="387">
        <f t="shared" si="100"/>
        <v>39654200</v>
      </c>
      <c r="AX33" s="3"/>
      <c r="AY33" s="4"/>
      <c r="AZ33" s="4"/>
      <c r="BA33" s="4"/>
      <c r="BB33" s="4"/>
      <c r="BC33" s="5"/>
      <c r="BD33" s="682" t="str">
        <f t="shared" si="101"/>
        <v/>
      </c>
      <c r="BE33" s="4" t="str">
        <f t="shared" si="102"/>
        <v/>
      </c>
      <c r="BF33" s="386" t="str">
        <f t="shared" si="103"/>
        <v/>
      </c>
      <c r="BG33" s="386">
        <f t="shared" si="163"/>
        <v>0</v>
      </c>
      <c r="BH33" s="386" t="str">
        <f t="shared" si="105"/>
        <v/>
      </c>
      <c r="BI33" s="387" t="str">
        <f t="shared" si="106"/>
        <v/>
      </c>
      <c r="BJ33" s="682" t="str">
        <f t="shared" si="107"/>
        <v/>
      </c>
      <c r="BK33" s="4" t="str">
        <f t="shared" si="108"/>
        <v/>
      </c>
      <c r="BL33" s="386" t="str">
        <f t="shared" si="109"/>
        <v/>
      </c>
      <c r="BM33" s="386">
        <f t="shared" si="25"/>
        <v>0</v>
      </c>
      <c r="BN33" s="386" t="str">
        <f t="shared" si="110"/>
        <v/>
      </c>
      <c r="BO33" s="387" t="str">
        <f t="shared" si="111"/>
        <v/>
      </c>
      <c r="BP33" s="682" t="str">
        <f t="shared" si="112"/>
        <v/>
      </c>
      <c r="BQ33" s="4" t="str">
        <f t="shared" si="113"/>
        <v/>
      </c>
      <c r="BR33" s="386" t="str">
        <f t="shared" si="114"/>
        <v/>
      </c>
      <c r="BS33" s="386">
        <f t="shared" si="164"/>
        <v>0</v>
      </c>
      <c r="BT33" s="386" t="str">
        <f t="shared" si="116"/>
        <v/>
      </c>
      <c r="BU33" s="387" t="str">
        <f t="shared" si="117"/>
        <v/>
      </c>
      <c r="BV33" s="682" t="str">
        <f t="shared" si="118"/>
        <v/>
      </c>
      <c r="BW33" s="4" t="str">
        <f t="shared" si="119"/>
        <v/>
      </c>
      <c r="BX33" s="386" t="str">
        <f t="shared" si="120"/>
        <v/>
      </c>
      <c r="BY33" s="386">
        <f t="shared" si="37"/>
        <v>0</v>
      </c>
      <c r="BZ33" s="386" t="str">
        <f t="shared" si="121"/>
        <v/>
      </c>
      <c r="CA33" s="387" t="str">
        <f t="shared" si="122"/>
        <v/>
      </c>
      <c r="CB33" s="682" t="str">
        <f t="shared" si="123"/>
        <v/>
      </c>
      <c r="CC33" s="4" t="str">
        <f t="shared" si="124"/>
        <v/>
      </c>
      <c r="CD33" s="386" t="str">
        <f t="shared" si="125"/>
        <v/>
      </c>
      <c r="CE33" s="386">
        <f t="shared" si="43"/>
        <v>0</v>
      </c>
      <c r="CF33" s="386" t="str">
        <f t="shared" si="126"/>
        <v/>
      </c>
      <c r="CG33" s="387" t="str">
        <f t="shared" si="127"/>
        <v/>
      </c>
      <c r="CH33" s="682" t="str">
        <f t="shared" si="128"/>
        <v/>
      </c>
      <c r="CI33" s="4" t="str">
        <f t="shared" si="129"/>
        <v/>
      </c>
      <c r="CJ33" s="386" t="str">
        <f t="shared" si="130"/>
        <v/>
      </c>
      <c r="CK33" s="386">
        <f t="shared" si="165"/>
        <v>0</v>
      </c>
      <c r="CL33" s="386" t="str">
        <f t="shared" si="132"/>
        <v/>
      </c>
      <c r="CM33" s="387" t="str">
        <f t="shared" si="133"/>
        <v/>
      </c>
      <c r="CN33" s="682">
        <f t="shared" si="134"/>
        <v>0</v>
      </c>
      <c r="CO33" s="4">
        <f t="shared" si="135"/>
        <v>6.05</v>
      </c>
      <c r="CP33" s="386">
        <f t="shared" si="136"/>
        <v>0</v>
      </c>
      <c r="CQ33" s="386">
        <f t="shared" si="166"/>
        <v>6.05</v>
      </c>
      <c r="CR33" s="386">
        <f t="shared" si="138"/>
        <v>26.378</v>
      </c>
      <c r="CS33" s="387">
        <f t="shared" si="139"/>
        <v>458449.63999999996</v>
      </c>
      <c r="CT33" s="682" t="str">
        <f t="shared" si="140"/>
        <v/>
      </c>
      <c r="CU33" s="4" t="str">
        <f t="shared" si="141"/>
        <v/>
      </c>
      <c r="CV33" s="386" t="str">
        <f t="shared" si="142"/>
        <v/>
      </c>
      <c r="CW33" s="386">
        <f t="shared" si="167"/>
        <v>0</v>
      </c>
      <c r="CX33" s="386" t="str">
        <f t="shared" si="143"/>
        <v/>
      </c>
      <c r="CY33" s="387" t="str">
        <f t="shared" si="144"/>
        <v/>
      </c>
      <c r="CZ33" s="682" t="str">
        <f t="shared" si="145"/>
        <v/>
      </c>
      <c r="DA33" s="4" t="str">
        <f t="shared" si="146"/>
        <v/>
      </c>
      <c r="DB33" s="386" t="str">
        <f t="shared" si="147"/>
        <v/>
      </c>
      <c r="DC33" s="386">
        <f t="shared" si="168"/>
        <v>0</v>
      </c>
      <c r="DD33" s="386" t="str">
        <f t="shared" si="148"/>
        <v/>
      </c>
      <c r="DE33" s="387" t="str">
        <f t="shared" si="149"/>
        <v/>
      </c>
      <c r="DF33" s="682" t="str">
        <f t="shared" si="150"/>
        <v/>
      </c>
      <c r="DG33" s="4" t="str">
        <f t="shared" si="151"/>
        <v/>
      </c>
      <c r="DH33" s="386" t="str">
        <f t="shared" si="152"/>
        <v/>
      </c>
      <c r="DI33" s="386">
        <f t="shared" si="169"/>
        <v>0</v>
      </c>
      <c r="DJ33" s="386" t="str">
        <f t="shared" si="153"/>
        <v/>
      </c>
      <c r="DK33" s="387" t="str">
        <f t="shared" si="154"/>
        <v/>
      </c>
      <c r="DL33" s="682" t="str">
        <f t="shared" si="155"/>
        <v/>
      </c>
      <c r="DM33" s="4" t="str">
        <f t="shared" si="156"/>
        <v/>
      </c>
      <c r="DN33" s="386" t="str">
        <f t="shared" si="157"/>
        <v/>
      </c>
      <c r="DO33" s="386">
        <f t="shared" si="79"/>
        <v>0</v>
      </c>
      <c r="DP33" s="386" t="str">
        <f t="shared" si="158"/>
        <v/>
      </c>
      <c r="DQ33" s="387" t="str">
        <f t="shared" si="159"/>
        <v/>
      </c>
    </row>
    <row r="34" spans="1:121" customFormat="1" x14ac:dyDescent="0.25">
      <c r="A34" t="s">
        <v>130</v>
      </c>
      <c r="B34" t="s">
        <v>33</v>
      </c>
      <c r="C34" t="s">
        <v>34</v>
      </c>
      <c r="D34" t="s">
        <v>106</v>
      </c>
      <c r="E34" t="s">
        <v>107</v>
      </c>
      <c r="F34" t="s">
        <v>131</v>
      </c>
      <c r="G34" t="s">
        <v>132</v>
      </c>
      <c r="H34" s="3"/>
      <c r="I34" s="4"/>
      <c r="J34" s="4"/>
      <c r="K34" s="4"/>
      <c r="L34" s="4"/>
      <c r="M34" s="5"/>
      <c r="N34" s="3"/>
      <c r="O34" s="4"/>
      <c r="P34" s="4"/>
      <c r="Q34" s="4"/>
      <c r="R34" s="4"/>
      <c r="S34" s="5"/>
      <c r="T34" s="3"/>
      <c r="U34" s="4"/>
      <c r="V34" s="4"/>
      <c r="W34" s="4"/>
      <c r="X34" s="4"/>
      <c r="Y34" s="5"/>
      <c r="Z34" s="3"/>
      <c r="AA34" s="4"/>
      <c r="AB34" s="4"/>
      <c r="AC34" s="4"/>
      <c r="AD34" s="4"/>
      <c r="AE34" s="5"/>
      <c r="AF34" s="682" t="str">
        <f t="shared" si="91"/>
        <v/>
      </c>
      <c r="AG34" s="4" t="str">
        <f t="shared" si="92"/>
        <v/>
      </c>
      <c r="AH34" s="386" t="str">
        <f t="shared" si="93"/>
        <v/>
      </c>
      <c r="AI34" s="386">
        <f t="shared" si="160"/>
        <v>0</v>
      </c>
      <c r="AJ34" s="386" t="str">
        <f t="shared" si="161"/>
        <v/>
      </c>
      <c r="AK34" s="387" t="str">
        <f t="shared" si="95"/>
        <v/>
      </c>
      <c r="AL34" s="3"/>
      <c r="AM34" s="4"/>
      <c r="AN34" s="4"/>
      <c r="AO34" s="4"/>
      <c r="AP34" s="4"/>
      <c r="AQ34" s="5"/>
      <c r="AR34" s="682">
        <f t="shared" si="96"/>
        <v>70</v>
      </c>
      <c r="AS34" s="4">
        <f t="shared" si="97"/>
        <v>0</v>
      </c>
      <c r="AT34" s="386">
        <f t="shared" si="98"/>
        <v>50.4</v>
      </c>
      <c r="AU34" s="386">
        <f t="shared" si="162"/>
        <v>50.4</v>
      </c>
      <c r="AV34" s="386">
        <f t="shared" si="99"/>
        <v>87.897600000000011</v>
      </c>
      <c r="AW34" s="387">
        <f t="shared" si="100"/>
        <v>1494259.2000000002</v>
      </c>
      <c r="AX34" s="3"/>
      <c r="AY34" s="4"/>
      <c r="AZ34" s="4"/>
      <c r="BA34" s="4"/>
      <c r="BB34" s="4"/>
      <c r="BC34" s="5"/>
      <c r="BD34" s="682" t="str">
        <f t="shared" si="101"/>
        <v/>
      </c>
      <c r="BE34" s="4" t="str">
        <f t="shared" si="102"/>
        <v/>
      </c>
      <c r="BF34" s="386" t="str">
        <f t="shared" si="103"/>
        <v/>
      </c>
      <c r="BG34" s="386">
        <f t="shared" si="163"/>
        <v>0</v>
      </c>
      <c r="BH34" s="386" t="str">
        <f t="shared" si="105"/>
        <v/>
      </c>
      <c r="BI34" s="387" t="str">
        <f t="shared" si="106"/>
        <v/>
      </c>
      <c r="BJ34" s="682" t="str">
        <f t="shared" si="107"/>
        <v/>
      </c>
      <c r="BK34" s="4" t="str">
        <f t="shared" si="108"/>
        <v/>
      </c>
      <c r="BL34" s="386" t="str">
        <f t="shared" si="109"/>
        <v/>
      </c>
      <c r="BM34" s="386">
        <f t="shared" si="25"/>
        <v>0</v>
      </c>
      <c r="BN34" s="386" t="str">
        <f t="shared" si="110"/>
        <v/>
      </c>
      <c r="BO34" s="387" t="str">
        <f t="shared" si="111"/>
        <v/>
      </c>
      <c r="BP34" s="682" t="str">
        <f t="shared" si="112"/>
        <v/>
      </c>
      <c r="BQ34" s="4" t="str">
        <f t="shared" si="113"/>
        <v/>
      </c>
      <c r="BR34" s="386" t="str">
        <f t="shared" si="114"/>
        <v/>
      </c>
      <c r="BS34" s="386">
        <f t="shared" si="164"/>
        <v>0</v>
      </c>
      <c r="BT34" s="386" t="str">
        <f t="shared" si="116"/>
        <v/>
      </c>
      <c r="BU34" s="387" t="str">
        <f t="shared" si="117"/>
        <v/>
      </c>
      <c r="BV34" s="682" t="str">
        <f t="shared" si="118"/>
        <v/>
      </c>
      <c r="BW34" s="4" t="str">
        <f t="shared" si="119"/>
        <v/>
      </c>
      <c r="BX34" s="386" t="str">
        <f t="shared" si="120"/>
        <v/>
      </c>
      <c r="BY34" s="386">
        <f t="shared" si="37"/>
        <v>0</v>
      </c>
      <c r="BZ34" s="386" t="str">
        <f t="shared" si="121"/>
        <v/>
      </c>
      <c r="CA34" s="387" t="str">
        <f t="shared" si="122"/>
        <v/>
      </c>
      <c r="CB34" s="682" t="str">
        <f t="shared" si="123"/>
        <v/>
      </c>
      <c r="CC34" s="4" t="str">
        <f t="shared" si="124"/>
        <v/>
      </c>
      <c r="CD34" s="386" t="str">
        <f t="shared" si="125"/>
        <v/>
      </c>
      <c r="CE34" s="386">
        <f t="shared" si="43"/>
        <v>0</v>
      </c>
      <c r="CF34" s="386" t="str">
        <f t="shared" si="126"/>
        <v/>
      </c>
      <c r="CG34" s="387" t="str">
        <f t="shared" si="127"/>
        <v/>
      </c>
      <c r="CH34" s="682" t="str">
        <f t="shared" si="128"/>
        <v/>
      </c>
      <c r="CI34" s="4" t="str">
        <f t="shared" si="129"/>
        <v/>
      </c>
      <c r="CJ34" s="386" t="str">
        <f t="shared" si="130"/>
        <v/>
      </c>
      <c r="CK34" s="386">
        <f t="shared" si="165"/>
        <v>0</v>
      </c>
      <c r="CL34" s="386" t="str">
        <f t="shared" si="132"/>
        <v/>
      </c>
      <c r="CM34" s="387" t="str">
        <f t="shared" si="133"/>
        <v/>
      </c>
      <c r="CN34" s="682" t="str">
        <f t="shared" si="134"/>
        <v/>
      </c>
      <c r="CO34" s="4" t="str">
        <f t="shared" si="135"/>
        <v/>
      </c>
      <c r="CP34" s="386" t="str">
        <f t="shared" si="136"/>
        <v/>
      </c>
      <c r="CQ34" s="386">
        <f t="shared" si="166"/>
        <v>0</v>
      </c>
      <c r="CR34" s="386" t="str">
        <f t="shared" si="138"/>
        <v/>
      </c>
      <c r="CS34" s="387" t="str">
        <f t="shared" si="139"/>
        <v/>
      </c>
      <c r="CT34" s="682" t="str">
        <f t="shared" si="140"/>
        <v/>
      </c>
      <c r="CU34" s="4" t="str">
        <f t="shared" si="141"/>
        <v/>
      </c>
      <c r="CV34" s="386" t="str">
        <f t="shared" si="142"/>
        <v/>
      </c>
      <c r="CW34" s="386">
        <f t="shared" si="167"/>
        <v>0</v>
      </c>
      <c r="CX34" s="386" t="str">
        <f t="shared" si="143"/>
        <v/>
      </c>
      <c r="CY34" s="387" t="str">
        <f t="shared" si="144"/>
        <v/>
      </c>
      <c r="CZ34" s="682" t="str">
        <f t="shared" si="145"/>
        <v/>
      </c>
      <c r="DA34" s="4" t="str">
        <f t="shared" si="146"/>
        <v/>
      </c>
      <c r="DB34" s="386" t="str">
        <f t="shared" si="147"/>
        <v/>
      </c>
      <c r="DC34" s="386">
        <f t="shared" si="168"/>
        <v>0</v>
      </c>
      <c r="DD34" s="386" t="str">
        <f t="shared" si="148"/>
        <v/>
      </c>
      <c r="DE34" s="387" t="str">
        <f t="shared" si="149"/>
        <v/>
      </c>
      <c r="DF34" s="682">
        <f t="shared" si="150"/>
        <v>0</v>
      </c>
      <c r="DG34" s="4">
        <f t="shared" si="151"/>
        <v>2.5</v>
      </c>
      <c r="DH34" s="386">
        <f t="shared" si="152"/>
        <v>0</v>
      </c>
      <c r="DI34" s="386">
        <f t="shared" si="169"/>
        <v>2.5</v>
      </c>
      <c r="DJ34" s="386">
        <f t="shared" si="153"/>
        <v>9.65</v>
      </c>
      <c r="DK34" s="387">
        <f t="shared" si="154"/>
        <v>159128.49999999997</v>
      </c>
      <c r="DL34" s="682" t="str">
        <f t="shared" si="155"/>
        <v/>
      </c>
      <c r="DM34" s="4" t="str">
        <f t="shared" si="156"/>
        <v/>
      </c>
      <c r="DN34" s="386" t="str">
        <f t="shared" si="157"/>
        <v/>
      </c>
      <c r="DO34" s="386">
        <f t="shared" si="79"/>
        <v>0</v>
      </c>
      <c r="DP34" s="386" t="str">
        <f t="shared" si="158"/>
        <v/>
      </c>
      <c r="DQ34" s="387" t="str">
        <f t="shared" si="159"/>
        <v/>
      </c>
    </row>
    <row r="35" spans="1:121" customFormat="1" x14ac:dyDescent="0.25">
      <c r="A35" t="s">
        <v>133</v>
      </c>
      <c r="B35" t="s">
        <v>33</v>
      </c>
      <c r="C35" t="s">
        <v>34</v>
      </c>
      <c r="D35" t="s">
        <v>106</v>
      </c>
      <c r="E35" t="s">
        <v>107</v>
      </c>
      <c r="F35" t="s">
        <v>134</v>
      </c>
      <c r="G35" t="s">
        <v>135</v>
      </c>
      <c r="H35" s="3"/>
      <c r="I35" s="4"/>
      <c r="J35" s="4"/>
      <c r="K35" s="4"/>
      <c r="L35" s="4"/>
      <c r="M35" s="5"/>
      <c r="N35" s="3"/>
      <c r="O35" s="4"/>
      <c r="P35" s="4"/>
      <c r="Q35" s="4"/>
      <c r="R35" s="4"/>
      <c r="S35" s="5"/>
      <c r="T35" s="3"/>
      <c r="U35" s="4"/>
      <c r="V35" s="4"/>
      <c r="W35" s="4"/>
      <c r="X35" s="4"/>
      <c r="Y35" s="5"/>
      <c r="Z35" s="3"/>
      <c r="AA35" s="4"/>
      <c r="AB35" s="4"/>
      <c r="AC35" s="4"/>
      <c r="AD35" s="4"/>
      <c r="AE35" s="5"/>
      <c r="AF35" s="682">
        <f t="shared" si="91"/>
        <v>0</v>
      </c>
      <c r="AG35" s="4">
        <f t="shared" si="92"/>
        <v>0</v>
      </c>
      <c r="AH35" s="386">
        <f t="shared" si="93"/>
        <v>242.5</v>
      </c>
      <c r="AI35" s="386">
        <f t="shared" si="160"/>
        <v>242.5</v>
      </c>
      <c r="AJ35" s="386">
        <f t="shared" si="161"/>
        <v>1038.8699999999999</v>
      </c>
      <c r="AK35" s="387">
        <f t="shared" si="95"/>
        <v>20777399.999999996</v>
      </c>
      <c r="AL35" s="3"/>
      <c r="AM35" s="4"/>
      <c r="AN35" s="4"/>
      <c r="AO35" s="4"/>
      <c r="AP35" s="4"/>
      <c r="AQ35" s="5"/>
      <c r="AR35" s="682">
        <f t="shared" si="96"/>
        <v>1243</v>
      </c>
      <c r="AS35" s="4">
        <f t="shared" si="97"/>
        <v>3</v>
      </c>
      <c r="AT35" s="386">
        <f t="shared" si="98"/>
        <v>613</v>
      </c>
      <c r="AU35" s="386">
        <f t="shared" si="162"/>
        <v>616</v>
      </c>
      <c r="AV35" s="386">
        <f t="shared" si="99"/>
        <v>812.1</v>
      </c>
      <c r="AW35" s="387">
        <f t="shared" si="100"/>
        <v>13805700</v>
      </c>
      <c r="AX35" s="3"/>
      <c r="AY35" s="4"/>
      <c r="AZ35" s="4"/>
      <c r="BA35" s="4"/>
      <c r="BB35" s="4"/>
      <c r="BC35" s="5"/>
      <c r="BD35" s="682">
        <f t="shared" si="101"/>
        <v>0</v>
      </c>
      <c r="BE35" s="4">
        <f t="shared" si="102"/>
        <v>5</v>
      </c>
      <c r="BF35" s="386">
        <f t="shared" si="103"/>
        <v>5</v>
      </c>
      <c r="BG35" s="386">
        <f t="shared" si="163"/>
        <v>10</v>
      </c>
      <c r="BH35" s="386">
        <f t="shared" si="105"/>
        <v>0</v>
      </c>
      <c r="BI35" s="387">
        <f t="shared" si="106"/>
        <v>100000</v>
      </c>
      <c r="BJ35" s="682" t="str">
        <f t="shared" si="107"/>
        <v/>
      </c>
      <c r="BK35" s="4" t="str">
        <f t="shared" si="108"/>
        <v/>
      </c>
      <c r="BL35" s="386" t="str">
        <f t="shared" si="109"/>
        <v/>
      </c>
      <c r="BM35" s="386">
        <f t="shared" si="25"/>
        <v>0</v>
      </c>
      <c r="BN35" s="386" t="str">
        <f t="shared" si="110"/>
        <v/>
      </c>
      <c r="BO35" s="387" t="str">
        <f t="shared" si="111"/>
        <v/>
      </c>
      <c r="BP35" s="682">
        <f t="shared" si="112"/>
        <v>0</v>
      </c>
      <c r="BQ35" s="4">
        <f t="shared" si="113"/>
        <v>3</v>
      </c>
      <c r="BR35" s="386">
        <f t="shared" si="114"/>
        <v>76.599999999999994</v>
      </c>
      <c r="BS35" s="386">
        <f t="shared" si="164"/>
        <v>79.599999999999994</v>
      </c>
      <c r="BT35" s="386">
        <f t="shared" si="116"/>
        <v>63.466199999999994</v>
      </c>
      <c r="BU35" s="387">
        <f t="shared" si="117"/>
        <v>1015459.1999999998</v>
      </c>
      <c r="BV35" s="682" t="str">
        <f t="shared" si="118"/>
        <v/>
      </c>
      <c r="BW35" s="4" t="str">
        <f t="shared" si="119"/>
        <v/>
      </c>
      <c r="BX35" s="386" t="str">
        <f t="shared" si="120"/>
        <v/>
      </c>
      <c r="BY35" s="386">
        <f t="shared" si="37"/>
        <v>0</v>
      </c>
      <c r="BZ35" s="386" t="str">
        <f t="shared" si="121"/>
        <v/>
      </c>
      <c r="CA35" s="387" t="str">
        <f t="shared" si="122"/>
        <v/>
      </c>
      <c r="CB35" s="682" t="str">
        <f t="shared" si="123"/>
        <v/>
      </c>
      <c r="CC35" s="4" t="str">
        <f t="shared" si="124"/>
        <v/>
      </c>
      <c r="CD35" s="386" t="str">
        <f t="shared" si="125"/>
        <v/>
      </c>
      <c r="CE35" s="386">
        <f t="shared" si="43"/>
        <v>0</v>
      </c>
      <c r="CF35" s="386" t="str">
        <f t="shared" si="126"/>
        <v/>
      </c>
      <c r="CG35" s="387" t="str">
        <f t="shared" si="127"/>
        <v/>
      </c>
      <c r="CH35" s="682">
        <f t="shared" si="128"/>
        <v>0</v>
      </c>
      <c r="CI35" s="4">
        <f t="shared" si="129"/>
        <v>0</v>
      </c>
      <c r="CJ35" s="386">
        <f t="shared" si="130"/>
        <v>5</v>
      </c>
      <c r="CK35" s="386">
        <f t="shared" si="165"/>
        <v>5</v>
      </c>
      <c r="CL35" s="386">
        <f t="shared" si="132"/>
        <v>6.36</v>
      </c>
      <c r="CM35" s="387">
        <f t="shared" si="133"/>
        <v>155883.60000000003</v>
      </c>
      <c r="CN35" s="682">
        <f t="shared" si="134"/>
        <v>0</v>
      </c>
      <c r="CO35" s="4">
        <f t="shared" si="135"/>
        <v>0.1</v>
      </c>
      <c r="CP35" s="386">
        <f t="shared" si="136"/>
        <v>0</v>
      </c>
      <c r="CQ35" s="386">
        <f t="shared" si="166"/>
        <v>0.1</v>
      </c>
      <c r="CR35" s="386">
        <f t="shared" si="138"/>
        <v>0.38300000000000001</v>
      </c>
      <c r="CS35" s="387">
        <f t="shared" si="139"/>
        <v>6656.54</v>
      </c>
      <c r="CT35" s="682" t="str">
        <f t="shared" si="140"/>
        <v/>
      </c>
      <c r="CU35" s="4" t="str">
        <f t="shared" si="141"/>
        <v/>
      </c>
      <c r="CV35" s="386" t="str">
        <f t="shared" si="142"/>
        <v/>
      </c>
      <c r="CW35" s="386">
        <f t="shared" si="167"/>
        <v>0</v>
      </c>
      <c r="CX35" s="386" t="str">
        <f t="shared" si="143"/>
        <v/>
      </c>
      <c r="CY35" s="387" t="str">
        <f t="shared" si="144"/>
        <v/>
      </c>
      <c r="CZ35" s="682" t="str">
        <f t="shared" si="145"/>
        <v/>
      </c>
      <c r="DA35" s="4" t="str">
        <f t="shared" si="146"/>
        <v/>
      </c>
      <c r="DB35" s="386" t="str">
        <f t="shared" si="147"/>
        <v/>
      </c>
      <c r="DC35" s="386">
        <f t="shared" si="168"/>
        <v>0</v>
      </c>
      <c r="DD35" s="386" t="str">
        <f t="shared" si="148"/>
        <v/>
      </c>
      <c r="DE35" s="387" t="str">
        <f t="shared" si="149"/>
        <v/>
      </c>
      <c r="DF35" s="682" t="str">
        <f t="shared" si="150"/>
        <v/>
      </c>
      <c r="DG35" s="4" t="str">
        <f t="shared" si="151"/>
        <v/>
      </c>
      <c r="DH35" s="386" t="str">
        <f t="shared" si="152"/>
        <v/>
      </c>
      <c r="DI35" s="386">
        <f t="shared" si="169"/>
        <v>0</v>
      </c>
      <c r="DJ35" s="386" t="str">
        <f t="shared" si="153"/>
        <v/>
      </c>
      <c r="DK35" s="387" t="str">
        <f t="shared" si="154"/>
        <v/>
      </c>
      <c r="DL35" s="682" t="str">
        <f t="shared" si="155"/>
        <v/>
      </c>
      <c r="DM35" s="4" t="str">
        <f t="shared" si="156"/>
        <v/>
      </c>
      <c r="DN35" s="386" t="str">
        <f t="shared" si="157"/>
        <v/>
      </c>
      <c r="DO35" s="386">
        <f t="shared" si="79"/>
        <v>0</v>
      </c>
      <c r="DP35" s="386" t="str">
        <f t="shared" si="158"/>
        <v/>
      </c>
      <c r="DQ35" s="387" t="str">
        <f t="shared" si="159"/>
        <v/>
      </c>
    </row>
    <row r="36" spans="1:121" customFormat="1" x14ac:dyDescent="0.25">
      <c r="A36" t="s">
        <v>136</v>
      </c>
      <c r="B36" t="s">
        <v>33</v>
      </c>
      <c r="C36" t="s">
        <v>34</v>
      </c>
      <c r="D36" t="s">
        <v>106</v>
      </c>
      <c r="E36" t="s">
        <v>107</v>
      </c>
      <c r="F36" t="s">
        <v>137</v>
      </c>
      <c r="G36" t="s">
        <v>138</v>
      </c>
      <c r="H36" s="3"/>
      <c r="I36" s="4"/>
      <c r="J36" s="4"/>
      <c r="K36" s="4"/>
      <c r="L36" s="4"/>
      <c r="M36" s="5"/>
      <c r="N36" s="3"/>
      <c r="O36" s="4"/>
      <c r="P36" s="4"/>
      <c r="Q36" s="4"/>
      <c r="R36" s="4"/>
      <c r="S36" s="5"/>
      <c r="T36" s="3"/>
      <c r="U36" s="4"/>
      <c r="V36" s="4"/>
      <c r="W36" s="4"/>
      <c r="X36" s="4"/>
      <c r="Y36" s="5"/>
      <c r="Z36" s="3"/>
      <c r="AA36" s="4"/>
      <c r="AB36" s="4"/>
      <c r="AC36" s="4"/>
      <c r="AD36" s="4"/>
      <c r="AE36" s="5"/>
      <c r="AF36" s="682" t="str">
        <f t="shared" si="91"/>
        <v/>
      </c>
      <c r="AG36" s="4" t="str">
        <f t="shared" si="92"/>
        <v/>
      </c>
      <c r="AH36" s="386" t="str">
        <f t="shared" si="93"/>
        <v/>
      </c>
      <c r="AI36" s="386">
        <f t="shared" si="160"/>
        <v>0</v>
      </c>
      <c r="AJ36" s="386" t="str">
        <f t="shared" si="161"/>
        <v/>
      </c>
      <c r="AK36" s="387" t="str">
        <f t="shared" si="95"/>
        <v/>
      </c>
      <c r="AL36" s="3"/>
      <c r="AM36" s="4"/>
      <c r="AN36" s="4"/>
      <c r="AO36" s="4"/>
      <c r="AP36" s="4"/>
      <c r="AQ36" s="5"/>
      <c r="AR36" s="682">
        <f t="shared" si="96"/>
        <v>1111</v>
      </c>
      <c r="AS36" s="4">
        <f t="shared" si="97"/>
        <v>0</v>
      </c>
      <c r="AT36" s="386">
        <f t="shared" si="98"/>
        <v>560</v>
      </c>
      <c r="AU36" s="386">
        <f t="shared" si="162"/>
        <v>560</v>
      </c>
      <c r="AV36" s="386">
        <f t="shared" si="99"/>
        <v>525.81600000000003</v>
      </c>
      <c r="AW36" s="387">
        <f t="shared" si="100"/>
        <v>8938872</v>
      </c>
      <c r="AX36" s="3"/>
      <c r="AY36" s="4"/>
      <c r="AZ36" s="4"/>
      <c r="BA36" s="4"/>
      <c r="BB36" s="4"/>
      <c r="BC36" s="5"/>
      <c r="BD36" s="682" t="str">
        <f t="shared" si="101"/>
        <v/>
      </c>
      <c r="BE36" s="4" t="str">
        <f t="shared" si="102"/>
        <v/>
      </c>
      <c r="BF36" s="386" t="str">
        <f t="shared" si="103"/>
        <v/>
      </c>
      <c r="BG36" s="386">
        <f t="shared" si="163"/>
        <v>0</v>
      </c>
      <c r="BH36" s="386" t="str">
        <f t="shared" si="105"/>
        <v/>
      </c>
      <c r="BI36" s="387" t="str">
        <f t="shared" si="106"/>
        <v/>
      </c>
      <c r="BJ36" s="682" t="str">
        <f t="shared" si="107"/>
        <v/>
      </c>
      <c r="BK36" s="4" t="str">
        <f t="shared" si="108"/>
        <v/>
      </c>
      <c r="BL36" s="386" t="str">
        <f t="shared" si="109"/>
        <v/>
      </c>
      <c r="BM36" s="386">
        <f t="shared" si="25"/>
        <v>0</v>
      </c>
      <c r="BN36" s="386" t="str">
        <f t="shared" si="110"/>
        <v/>
      </c>
      <c r="BO36" s="387" t="str">
        <f t="shared" si="111"/>
        <v/>
      </c>
      <c r="BP36" s="682">
        <f t="shared" si="112"/>
        <v>0</v>
      </c>
      <c r="BQ36" s="4">
        <f t="shared" si="113"/>
        <v>1.5</v>
      </c>
      <c r="BR36" s="386">
        <f t="shared" si="114"/>
        <v>5</v>
      </c>
      <c r="BS36" s="386">
        <f t="shared" si="164"/>
        <v>6.5</v>
      </c>
      <c r="BT36" s="386">
        <f t="shared" si="116"/>
        <v>10.95</v>
      </c>
      <c r="BU36" s="387">
        <f t="shared" si="117"/>
        <v>175200</v>
      </c>
      <c r="BV36" s="682" t="str">
        <f t="shared" si="118"/>
        <v/>
      </c>
      <c r="BW36" s="4" t="str">
        <f t="shared" si="119"/>
        <v/>
      </c>
      <c r="BX36" s="386" t="str">
        <f t="shared" si="120"/>
        <v/>
      </c>
      <c r="BY36" s="386">
        <f t="shared" si="37"/>
        <v>0</v>
      </c>
      <c r="BZ36" s="386" t="str">
        <f t="shared" si="121"/>
        <v/>
      </c>
      <c r="CA36" s="387" t="str">
        <f t="shared" si="122"/>
        <v/>
      </c>
      <c r="CB36" s="682" t="str">
        <f t="shared" si="123"/>
        <v/>
      </c>
      <c r="CC36" s="4" t="str">
        <f t="shared" si="124"/>
        <v/>
      </c>
      <c r="CD36" s="386" t="str">
        <f t="shared" si="125"/>
        <v/>
      </c>
      <c r="CE36" s="386">
        <f t="shared" si="43"/>
        <v>0</v>
      </c>
      <c r="CF36" s="386" t="str">
        <f t="shared" si="126"/>
        <v/>
      </c>
      <c r="CG36" s="387" t="str">
        <f t="shared" si="127"/>
        <v/>
      </c>
      <c r="CH36" s="682" t="str">
        <f t="shared" si="128"/>
        <v/>
      </c>
      <c r="CI36" s="4" t="str">
        <f t="shared" si="129"/>
        <v/>
      </c>
      <c r="CJ36" s="386" t="str">
        <f t="shared" si="130"/>
        <v/>
      </c>
      <c r="CK36" s="386">
        <f t="shared" si="165"/>
        <v>0</v>
      </c>
      <c r="CL36" s="386" t="str">
        <f t="shared" si="132"/>
        <v/>
      </c>
      <c r="CM36" s="387" t="str">
        <f t="shared" si="133"/>
        <v/>
      </c>
      <c r="CN36" s="682">
        <f t="shared" si="134"/>
        <v>0</v>
      </c>
      <c r="CO36" s="4">
        <f t="shared" si="135"/>
        <v>3</v>
      </c>
      <c r="CP36" s="386">
        <f t="shared" si="136"/>
        <v>0</v>
      </c>
      <c r="CQ36" s="386">
        <f t="shared" si="166"/>
        <v>3</v>
      </c>
      <c r="CR36" s="386">
        <f t="shared" si="138"/>
        <v>13.080000000000002</v>
      </c>
      <c r="CS36" s="387">
        <f t="shared" si="139"/>
        <v>227330.40000000002</v>
      </c>
      <c r="CT36" s="682" t="str">
        <f t="shared" si="140"/>
        <v/>
      </c>
      <c r="CU36" s="4" t="str">
        <f t="shared" si="141"/>
        <v/>
      </c>
      <c r="CV36" s="386" t="str">
        <f t="shared" si="142"/>
        <v/>
      </c>
      <c r="CW36" s="386">
        <f t="shared" si="167"/>
        <v>0</v>
      </c>
      <c r="CX36" s="386" t="str">
        <f t="shared" si="143"/>
        <v/>
      </c>
      <c r="CY36" s="387" t="str">
        <f t="shared" si="144"/>
        <v/>
      </c>
      <c r="CZ36" s="682" t="str">
        <f t="shared" si="145"/>
        <v/>
      </c>
      <c r="DA36" s="4" t="str">
        <f t="shared" si="146"/>
        <v/>
      </c>
      <c r="DB36" s="386" t="str">
        <f t="shared" si="147"/>
        <v/>
      </c>
      <c r="DC36" s="386">
        <f t="shared" si="168"/>
        <v>0</v>
      </c>
      <c r="DD36" s="386" t="str">
        <f t="shared" si="148"/>
        <v/>
      </c>
      <c r="DE36" s="387" t="str">
        <f t="shared" si="149"/>
        <v/>
      </c>
      <c r="DF36" s="682" t="str">
        <f t="shared" si="150"/>
        <v/>
      </c>
      <c r="DG36" s="4" t="str">
        <f t="shared" si="151"/>
        <v/>
      </c>
      <c r="DH36" s="386" t="str">
        <f t="shared" si="152"/>
        <v/>
      </c>
      <c r="DI36" s="386">
        <f t="shared" si="169"/>
        <v>0</v>
      </c>
      <c r="DJ36" s="386" t="str">
        <f t="shared" si="153"/>
        <v/>
      </c>
      <c r="DK36" s="387" t="str">
        <f t="shared" si="154"/>
        <v/>
      </c>
      <c r="DL36" s="682" t="str">
        <f t="shared" si="155"/>
        <v/>
      </c>
      <c r="DM36" s="4" t="str">
        <f t="shared" si="156"/>
        <v/>
      </c>
      <c r="DN36" s="386" t="str">
        <f t="shared" si="157"/>
        <v/>
      </c>
      <c r="DO36" s="386">
        <f t="shared" si="79"/>
        <v>0</v>
      </c>
      <c r="DP36" s="386" t="str">
        <f t="shared" si="158"/>
        <v/>
      </c>
      <c r="DQ36" s="387" t="str">
        <f t="shared" si="159"/>
        <v/>
      </c>
    </row>
    <row r="37" spans="1:121" customFormat="1" x14ac:dyDescent="0.25">
      <c r="A37" t="s">
        <v>139</v>
      </c>
      <c r="B37" t="s">
        <v>33</v>
      </c>
      <c r="C37" t="s">
        <v>34</v>
      </c>
      <c r="D37" t="s">
        <v>106</v>
      </c>
      <c r="E37" t="s">
        <v>107</v>
      </c>
      <c r="F37" t="s">
        <v>140</v>
      </c>
      <c r="G37" t="s">
        <v>141</v>
      </c>
      <c r="H37" s="3"/>
      <c r="I37" s="4"/>
      <c r="J37" s="4"/>
      <c r="K37" s="4"/>
      <c r="L37" s="4"/>
      <c r="M37" s="5"/>
      <c r="N37" s="3"/>
      <c r="O37" s="4"/>
      <c r="P37" s="4"/>
      <c r="Q37" s="4"/>
      <c r="R37" s="4"/>
      <c r="S37" s="5"/>
      <c r="T37" s="3"/>
      <c r="U37" s="4"/>
      <c r="V37" s="4"/>
      <c r="W37" s="4"/>
      <c r="X37" s="4"/>
      <c r="Y37" s="5"/>
      <c r="Z37" s="3"/>
      <c r="AA37" s="4"/>
      <c r="AB37" s="4"/>
      <c r="AC37" s="4"/>
      <c r="AD37" s="4"/>
      <c r="AE37" s="5"/>
      <c r="AF37" s="682" t="str">
        <f t="shared" si="91"/>
        <v/>
      </c>
      <c r="AG37" s="4" t="str">
        <f t="shared" si="92"/>
        <v/>
      </c>
      <c r="AH37" s="386" t="str">
        <f t="shared" si="93"/>
        <v/>
      </c>
      <c r="AI37" s="386">
        <f t="shared" si="160"/>
        <v>0</v>
      </c>
      <c r="AJ37" s="386" t="str">
        <f t="shared" si="161"/>
        <v/>
      </c>
      <c r="AK37" s="387" t="str">
        <f t="shared" si="95"/>
        <v/>
      </c>
      <c r="AL37" s="3"/>
      <c r="AM37" s="4"/>
      <c r="AN37" s="4"/>
      <c r="AO37" s="4"/>
      <c r="AP37" s="4"/>
      <c r="AQ37" s="5"/>
      <c r="AR37" s="682">
        <f t="shared" si="96"/>
        <v>39</v>
      </c>
      <c r="AS37" s="4">
        <f t="shared" si="97"/>
        <v>9</v>
      </c>
      <c r="AT37" s="386">
        <f t="shared" si="98"/>
        <v>10.5</v>
      </c>
      <c r="AU37" s="386">
        <f t="shared" si="162"/>
        <v>19.5</v>
      </c>
      <c r="AV37" s="386">
        <f t="shared" si="99"/>
        <v>57</v>
      </c>
      <c r="AW37" s="387">
        <f t="shared" si="100"/>
        <v>969000</v>
      </c>
      <c r="AX37" s="3"/>
      <c r="AY37" s="4"/>
      <c r="AZ37" s="4"/>
      <c r="BA37" s="4"/>
      <c r="BB37" s="4"/>
      <c r="BC37" s="5"/>
      <c r="BD37" s="682" t="str">
        <f t="shared" si="101"/>
        <v/>
      </c>
      <c r="BE37" s="4" t="str">
        <f t="shared" si="102"/>
        <v/>
      </c>
      <c r="BF37" s="386" t="str">
        <f t="shared" si="103"/>
        <v/>
      </c>
      <c r="BG37" s="386">
        <f t="shared" si="163"/>
        <v>0</v>
      </c>
      <c r="BH37" s="386" t="str">
        <f t="shared" si="105"/>
        <v/>
      </c>
      <c r="BI37" s="387" t="str">
        <f t="shared" si="106"/>
        <v/>
      </c>
      <c r="BJ37" s="682" t="str">
        <f t="shared" si="107"/>
        <v/>
      </c>
      <c r="BK37" s="4" t="str">
        <f t="shared" si="108"/>
        <v/>
      </c>
      <c r="BL37" s="386" t="str">
        <f t="shared" si="109"/>
        <v/>
      </c>
      <c r="BM37" s="386">
        <f t="shared" si="25"/>
        <v>0</v>
      </c>
      <c r="BN37" s="386" t="str">
        <f t="shared" si="110"/>
        <v/>
      </c>
      <c r="BO37" s="387" t="str">
        <f t="shared" si="111"/>
        <v/>
      </c>
      <c r="BP37" s="682" t="str">
        <f t="shared" si="112"/>
        <v/>
      </c>
      <c r="BQ37" s="4" t="str">
        <f t="shared" si="113"/>
        <v/>
      </c>
      <c r="BR37" s="386" t="str">
        <f t="shared" si="114"/>
        <v/>
      </c>
      <c r="BS37" s="386">
        <f t="shared" si="164"/>
        <v>0</v>
      </c>
      <c r="BT37" s="386" t="str">
        <f t="shared" si="116"/>
        <v/>
      </c>
      <c r="BU37" s="387" t="str">
        <f t="shared" si="117"/>
        <v/>
      </c>
      <c r="BV37" s="682" t="str">
        <f t="shared" si="118"/>
        <v/>
      </c>
      <c r="BW37" s="4" t="str">
        <f t="shared" si="119"/>
        <v/>
      </c>
      <c r="BX37" s="386" t="str">
        <f t="shared" si="120"/>
        <v/>
      </c>
      <c r="BY37" s="386">
        <f t="shared" si="37"/>
        <v>0</v>
      </c>
      <c r="BZ37" s="386" t="str">
        <f t="shared" si="121"/>
        <v/>
      </c>
      <c r="CA37" s="387" t="str">
        <f t="shared" si="122"/>
        <v/>
      </c>
      <c r="CB37" s="682" t="str">
        <f t="shared" si="123"/>
        <v/>
      </c>
      <c r="CC37" s="4" t="str">
        <f t="shared" si="124"/>
        <v/>
      </c>
      <c r="CD37" s="386" t="str">
        <f t="shared" si="125"/>
        <v/>
      </c>
      <c r="CE37" s="386">
        <f t="shared" si="43"/>
        <v>0</v>
      </c>
      <c r="CF37" s="386" t="str">
        <f t="shared" si="126"/>
        <v/>
      </c>
      <c r="CG37" s="387" t="str">
        <f t="shared" si="127"/>
        <v/>
      </c>
      <c r="CH37" s="682" t="str">
        <f t="shared" si="128"/>
        <v/>
      </c>
      <c r="CI37" s="4" t="str">
        <f t="shared" si="129"/>
        <v/>
      </c>
      <c r="CJ37" s="386" t="str">
        <f t="shared" si="130"/>
        <v/>
      </c>
      <c r="CK37" s="386">
        <f t="shared" si="165"/>
        <v>0</v>
      </c>
      <c r="CL37" s="386" t="str">
        <f t="shared" si="132"/>
        <v/>
      </c>
      <c r="CM37" s="387" t="str">
        <f t="shared" si="133"/>
        <v/>
      </c>
      <c r="CN37" s="682">
        <f t="shared" si="134"/>
        <v>0</v>
      </c>
      <c r="CO37" s="4">
        <f t="shared" si="135"/>
        <v>22</v>
      </c>
      <c r="CP37" s="386">
        <f t="shared" si="136"/>
        <v>0</v>
      </c>
      <c r="CQ37" s="386">
        <f t="shared" si="166"/>
        <v>22</v>
      </c>
      <c r="CR37" s="386">
        <f t="shared" si="138"/>
        <v>95.92</v>
      </c>
      <c r="CS37" s="387">
        <f t="shared" si="139"/>
        <v>1667089.6</v>
      </c>
      <c r="CT37" s="682" t="str">
        <f t="shared" si="140"/>
        <v/>
      </c>
      <c r="CU37" s="4" t="str">
        <f t="shared" si="141"/>
        <v/>
      </c>
      <c r="CV37" s="386" t="str">
        <f t="shared" si="142"/>
        <v/>
      </c>
      <c r="CW37" s="386">
        <f t="shared" si="167"/>
        <v>0</v>
      </c>
      <c r="CX37" s="386" t="str">
        <f t="shared" si="143"/>
        <v/>
      </c>
      <c r="CY37" s="387" t="str">
        <f t="shared" si="144"/>
        <v/>
      </c>
      <c r="CZ37" s="682" t="str">
        <f t="shared" si="145"/>
        <v/>
      </c>
      <c r="DA37" s="4" t="str">
        <f t="shared" si="146"/>
        <v/>
      </c>
      <c r="DB37" s="386" t="str">
        <f t="shared" si="147"/>
        <v/>
      </c>
      <c r="DC37" s="386">
        <f t="shared" si="168"/>
        <v>0</v>
      </c>
      <c r="DD37" s="386" t="str">
        <f t="shared" si="148"/>
        <v/>
      </c>
      <c r="DE37" s="387" t="str">
        <f t="shared" si="149"/>
        <v/>
      </c>
      <c r="DF37" s="682" t="str">
        <f t="shared" si="150"/>
        <v/>
      </c>
      <c r="DG37" s="4" t="str">
        <f t="shared" si="151"/>
        <v/>
      </c>
      <c r="DH37" s="386" t="str">
        <f t="shared" si="152"/>
        <v/>
      </c>
      <c r="DI37" s="386">
        <f t="shared" si="169"/>
        <v>0</v>
      </c>
      <c r="DJ37" s="386" t="str">
        <f t="shared" si="153"/>
        <v/>
      </c>
      <c r="DK37" s="387" t="str">
        <f t="shared" si="154"/>
        <v/>
      </c>
      <c r="DL37" s="682" t="str">
        <f t="shared" si="155"/>
        <v/>
      </c>
      <c r="DM37" s="4" t="str">
        <f t="shared" si="156"/>
        <v/>
      </c>
      <c r="DN37" s="386" t="str">
        <f t="shared" si="157"/>
        <v/>
      </c>
      <c r="DO37" s="386">
        <f t="shared" si="79"/>
        <v>0</v>
      </c>
      <c r="DP37" s="386" t="str">
        <f t="shared" si="158"/>
        <v/>
      </c>
      <c r="DQ37" s="387" t="str">
        <f t="shared" si="159"/>
        <v/>
      </c>
    </row>
    <row r="38" spans="1:121" customFormat="1" x14ac:dyDescent="0.25">
      <c r="A38" t="s">
        <v>142</v>
      </c>
      <c r="B38" t="s">
        <v>33</v>
      </c>
      <c r="C38" t="s">
        <v>34</v>
      </c>
      <c r="D38" t="s">
        <v>106</v>
      </c>
      <c r="E38" t="s">
        <v>107</v>
      </c>
      <c r="F38" t="s">
        <v>143</v>
      </c>
      <c r="G38" t="s">
        <v>144</v>
      </c>
      <c r="H38" s="3"/>
      <c r="I38" s="4"/>
      <c r="J38" s="4"/>
      <c r="K38" s="4"/>
      <c r="L38" s="4"/>
      <c r="M38" s="5"/>
      <c r="N38" s="3"/>
      <c r="O38" s="4"/>
      <c r="P38" s="4"/>
      <c r="Q38" s="4"/>
      <c r="R38" s="4"/>
      <c r="S38" s="5"/>
      <c r="T38" s="3"/>
      <c r="U38" s="4"/>
      <c r="V38" s="4"/>
      <c r="W38" s="4"/>
      <c r="X38" s="4"/>
      <c r="Y38" s="5"/>
      <c r="Z38" s="3"/>
      <c r="AA38" s="4"/>
      <c r="AB38" s="4"/>
      <c r="AC38" s="4"/>
      <c r="AD38" s="4"/>
      <c r="AE38" s="5"/>
      <c r="AF38" s="682">
        <f t="shared" si="91"/>
        <v>0</v>
      </c>
      <c r="AG38" s="4">
        <f t="shared" si="92"/>
        <v>689.25</v>
      </c>
      <c r="AH38" s="386">
        <f t="shared" si="93"/>
        <v>50.25</v>
      </c>
      <c r="AI38" s="386">
        <f t="shared" si="160"/>
        <v>739.5</v>
      </c>
      <c r="AJ38" s="386">
        <f t="shared" si="161"/>
        <v>3400.4249999999997</v>
      </c>
      <c r="AK38" s="387">
        <f t="shared" si="95"/>
        <v>68008500</v>
      </c>
      <c r="AL38" s="3"/>
      <c r="AM38" s="4"/>
      <c r="AN38" s="4"/>
      <c r="AO38" s="4"/>
      <c r="AP38" s="4"/>
      <c r="AQ38" s="5"/>
      <c r="AR38" s="682">
        <f t="shared" si="96"/>
        <v>1091</v>
      </c>
      <c r="AS38" s="4">
        <f t="shared" si="97"/>
        <v>6</v>
      </c>
      <c r="AT38" s="386">
        <f t="shared" si="98"/>
        <v>813</v>
      </c>
      <c r="AU38" s="386">
        <f t="shared" si="162"/>
        <v>819</v>
      </c>
      <c r="AV38" s="386">
        <f t="shared" si="99"/>
        <v>721.89600000000007</v>
      </c>
      <c r="AW38" s="387">
        <f t="shared" si="100"/>
        <v>12272232.000000002</v>
      </c>
      <c r="AX38" s="3"/>
      <c r="AY38" s="4"/>
      <c r="AZ38" s="4"/>
      <c r="BA38" s="4"/>
      <c r="BB38" s="4"/>
      <c r="BC38" s="5"/>
      <c r="BD38" s="682">
        <f t="shared" si="101"/>
        <v>0</v>
      </c>
      <c r="BE38" s="4">
        <f t="shared" si="102"/>
        <v>21</v>
      </c>
      <c r="BF38" s="386">
        <f t="shared" si="103"/>
        <v>21</v>
      </c>
      <c r="BG38" s="386">
        <f t="shared" si="163"/>
        <v>42</v>
      </c>
      <c r="BH38" s="386">
        <f t="shared" si="105"/>
        <v>0</v>
      </c>
      <c r="BI38" s="387">
        <f t="shared" si="106"/>
        <v>452760</v>
      </c>
      <c r="BJ38" s="682" t="str">
        <f t="shared" si="107"/>
        <v/>
      </c>
      <c r="BK38" s="4" t="str">
        <f t="shared" si="108"/>
        <v/>
      </c>
      <c r="BL38" s="386" t="str">
        <f t="shared" si="109"/>
        <v/>
      </c>
      <c r="BM38" s="386">
        <f t="shared" si="25"/>
        <v>0</v>
      </c>
      <c r="BN38" s="386" t="str">
        <f t="shared" si="110"/>
        <v/>
      </c>
      <c r="BO38" s="387" t="str">
        <f t="shared" si="111"/>
        <v/>
      </c>
      <c r="BP38" s="682">
        <f t="shared" si="112"/>
        <v>0</v>
      </c>
      <c r="BQ38" s="4">
        <f t="shared" si="113"/>
        <v>0</v>
      </c>
      <c r="BR38" s="386">
        <f t="shared" si="114"/>
        <v>65</v>
      </c>
      <c r="BS38" s="386">
        <f t="shared" si="164"/>
        <v>65</v>
      </c>
      <c r="BT38" s="386">
        <f t="shared" si="116"/>
        <v>42.704999999999998</v>
      </c>
      <c r="BU38" s="387">
        <f t="shared" si="117"/>
        <v>683280</v>
      </c>
      <c r="BV38" s="682" t="str">
        <f t="shared" si="118"/>
        <v/>
      </c>
      <c r="BW38" s="4" t="str">
        <f t="shared" si="119"/>
        <v/>
      </c>
      <c r="BX38" s="386" t="str">
        <f t="shared" si="120"/>
        <v/>
      </c>
      <c r="BY38" s="386">
        <f t="shared" si="37"/>
        <v>0</v>
      </c>
      <c r="BZ38" s="386" t="str">
        <f t="shared" si="121"/>
        <v/>
      </c>
      <c r="CA38" s="387" t="str">
        <f t="shared" si="122"/>
        <v/>
      </c>
      <c r="CB38" s="682" t="str">
        <f t="shared" si="123"/>
        <v/>
      </c>
      <c r="CC38" s="4" t="str">
        <f t="shared" si="124"/>
        <v/>
      </c>
      <c r="CD38" s="386" t="str">
        <f t="shared" si="125"/>
        <v/>
      </c>
      <c r="CE38" s="386">
        <f t="shared" si="43"/>
        <v>0</v>
      </c>
      <c r="CF38" s="386" t="str">
        <f t="shared" si="126"/>
        <v/>
      </c>
      <c r="CG38" s="387" t="str">
        <f t="shared" si="127"/>
        <v/>
      </c>
      <c r="CH38" s="682">
        <f t="shared" si="128"/>
        <v>0</v>
      </c>
      <c r="CI38" s="4">
        <f t="shared" si="129"/>
        <v>0</v>
      </c>
      <c r="CJ38" s="386">
        <f t="shared" si="130"/>
        <v>30</v>
      </c>
      <c r="CK38" s="386">
        <f t="shared" si="165"/>
        <v>30</v>
      </c>
      <c r="CL38" s="386">
        <f t="shared" si="132"/>
        <v>19.080000000000002</v>
      </c>
      <c r="CM38" s="387">
        <f t="shared" si="133"/>
        <v>467650.80000000005</v>
      </c>
      <c r="CN38" s="682">
        <f t="shared" si="134"/>
        <v>0</v>
      </c>
      <c r="CO38" s="4">
        <f t="shared" si="135"/>
        <v>2.25</v>
      </c>
      <c r="CP38" s="386">
        <f t="shared" si="136"/>
        <v>0</v>
      </c>
      <c r="CQ38" s="386">
        <f t="shared" si="166"/>
        <v>2.25</v>
      </c>
      <c r="CR38" s="386">
        <f t="shared" si="138"/>
        <v>9.0150000000000006</v>
      </c>
      <c r="CS38" s="387">
        <f t="shared" si="139"/>
        <v>156680.70000000001</v>
      </c>
      <c r="CT38" s="682" t="str">
        <f t="shared" si="140"/>
        <v/>
      </c>
      <c r="CU38" s="4" t="str">
        <f t="shared" si="141"/>
        <v/>
      </c>
      <c r="CV38" s="386" t="str">
        <f t="shared" si="142"/>
        <v/>
      </c>
      <c r="CW38" s="386">
        <f t="shared" si="167"/>
        <v>0</v>
      </c>
      <c r="CX38" s="386" t="str">
        <f t="shared" si="143"/>
        <v/>
      </c>
      <c r="CY38" s="387" t="str">
        <f t="shared" si="144"/>
        <v/>
      </c>
      <c r="CZ38" s="682" t="str">
        <f t="shared" si="145"/>
        <v/>
      </c>
      <c r="DA38" s="4" t="str">
        <f t="shared" si="146"/>
        <v/>
      </c>
      <c r="DB38" s="386" t="str">
        <f t="shared" si="147"/>
        <v/>
      </c>
      <c r="DC38" s="386">
        <f t="shared" si="168"/>
        <v>0</v>
      </c>
      <c r="DD38" s="386" t="str">
        <f t="shared" si="148"/>
        <v/>
      </c>
      <c r="DE38" s="387" t="str">
        <f t="shared" si="149"/>
        <v/>
      </c>
      <c r="DF38" s="682" t="str">
        <f t="shared" si="150"/>
        <v/>
      </c>
      <c r="DG38" s="4" t="str">
        <f t="shared" si="151"/>
        <v/>
      </c>
      <c r="DH38" s="386" t="str">
        <f t="shared" si="152"/>
        <v/>
      </c>
      <c r="DI38" s="386">
        <f t="shared" si="169"/>
        <v>0</v>
      </c>
      <c r="DJ38" s="386" t="str">
        <f t="shared" si="153"/>
        <v/>
      </c>
      <c r="DK38" s="387" t="str">
        <f t="shared" si="154"/>
        <v/>
      </c>
      <c r="DL38" s="682" t="str">
        <f t="shared" si="155"/>
        <v/>
      </c>
      <c r="DM38" s="4" t="str">
        <f t="shared" si="156"/>
        <v/>
      </c>
      <c r="DN38" s="386" t="str">
        <f t="shared" si="157"/>
        <v/>
      </c>
      <c r="DO38" s="386">
        <f t="shared" si="79"/>
        <v>0</v>
      </c>
      <c r="DP38" s="386" t="str">
        <f t="shared" si="158"/>
        <v/>
      </c>
      <c r="DQ38" s="387" t="str">
        <f t="shared" si="159"/>
        <v/>
      </c>
    </row>
    <row r="39" spans="1:121" customFormat="1" x14ac:dyDescent="0.25">
      <c r="A39" t="s">
        <v>145</v>
      </c>
      <c r="B39" t="s">
        <v>33</v>
      </c>
      <c r="C39" t="s">
        <v>34</v>
      </c>
      <c r="D39" t="s">
        <v>106</v>
      </c>
      <c r="E39" t="s">
        <v>107</v>
      </c>
      <c r="F39" t="s">
        <v>146</v>
      </c>
      <c r="G39" t="s">
        <v>147</v>
      </c>
      <c r="H39" s="3"/>
      <c r="I39" s="4"/>
      <c r="J39" s="4"/>
      <c r="K39" s="4"/>
      <c r="L39" s="4"/>
      <c r="M39" s="5"/>
      <c r="N39" s="3"/>
      <c r="O39" s="4"/>
      <c r="P39" s="4"/>
      <c r="Q39" s="4"/>
      <c r="R39" s="4"/>
      <c r="S39" s="5"/>
      <c r="T39" s="3"/>
      <c r="U39" s="4"/>
      <c r="V39" s="4"/>
      <c r="W39" s="4"/>
      <c r="X39" s="4"/>
      <c r="Y39" s="5"/>
      <c r="Z39" s="3"/>
      <c r="AA39" s="4"/>
      <c r="AB39" s="4"/>
      <c r="AC39" s="4"/>
      <c r="AD39" s="4"/>
      <c r="AE39" s="5"/>
      <c r="AF39" s="682">
        <f t="shared" si="91"/>
        <v>0</v>
      </c>
      <c r="AG39" s="4">
        <f t="shared" si="92"/>
        <v>75</v>
      </c>
      <c r="AH39" s="386">
        <f t="shared" si="93"/>
        <v>86</v>
      </c>
      <c r="AI39" s="386">
        <f t="shared" si="160"/>
        <v>161</v>
      </c>
      <c r="AJ39" s="386">
        <f t="shared" si="161"/>
        <v>558.11</v>
      </c>
      <c r="AK39" s="387">
        <f t="shared" si="95"/>
        <v>11162200</v>
      </c>
      <c r="AL39" s="3"/>
      <c r="AM39" s="4"/>
      <c r="AN39" s="4"/>
      <c r="AO39" s="4"/>
      <c r="AP39" s="4"/>
      <c r="AQ39" s="5"/>
      <c r="AR39" s="682">
        <f t="shared" si="96"/>
        <v>1498</v>
      </c>
      <c r="AS39" s="4">
        <f t="shared" si="97"/>
        <v>0</v>
      </c>
      <c r="AT39" s="386">
        <f t="shared" si="98"/>
        <v>753.8</v>
      </c>
      <c r="AU39" s="386">
        <f t="shared" si="162"/>
        <v>753.8</v>
      </c>
      <c r="AV39" s="386">
        <f t="shared" si="99"/>
        <v>1078.08</v>
      </c>
      <c r="AW39" s="387">
        <f t="shared" si="100"/>
        <v>18327360</v>
      </c>
      <c r="AX39" s="3"/>
      <c r="AY39" s="4"/>
      <c r="AZ39" s="4"/>
      <c r="BA39" s="4"/>
      <c r="BB39" s="4"/>
      <c r="BC39" s="5"/>
      <c r="BD39" s="682">
        <f t="shared" si="101"/>
        <v>0</v>
      </c>
      <c r="BE39" s="4">
        <f t="shared" si="102"/>
        <v>21.25</v>
      </c>
      <c r="BF39" s="386">
        <f t="shared" si="103"/>
        <v>7.75</v>
      </c>
      <c r="BG39" s="386">
        <f t="shared" si="163"/>
        <v>29</v>
      </c>
      <c r="BH39" s="386">
        <f t="shared" si="105"/>
        <v>2.5499999999999998</v>
      </c>
      <c r="BI39" s="387">
        <f t="shared" si="106"/>
        <v>229850</v>
      </c>
      <c r="BJ39" s="682" t="str">
        <f t="shared" si="107"/>
        <v/>
      </c>
      <c r="BK39" s="4" t="str">
        <f t="shared" si="108"/>
        <v/>
      </c>
      <c r="BL39" s="386" t="str">
        <f t="shared" si="109"/>
        <v/>
      </c>
      <c r="BM39" s="386">
        <f t="shared" si="25"/>
        <v>0</v>
      </c>
      <c r="BN39" s="386" t="str">
        <f t="shared" si="110"/>
        <v/>
      </c>
      <c r="BO39" s="387" t="str">
        <f t="shared" si="111"/>
        <v/>
      </c>
      <c r="BP39" s="682">
        <f t="shared" si="112"/>
        <v>0</v>
      </c>
      <c r="BQ39" s="4">
        <f t="shared" si="113"/>
        <v>0</v>
      </c>
      <c r="BR39" s="386">
        <f t="shared" si="114"/>
        <v>661</v>
      </c>
      <c r="BS39" s="386">
        <f t="shared" si="164"/>
        <v>661</v>
      </c>
      <c r="BT39" s="386">
        <f t="shared" si="116"/>
        <v>434.27699999999999</v>
      </c>
      <c r="BU39" s="387">
        <f t="shared" si="117"/>
        <v>6948432</v>
      </c>
      <c r="BV39" s="682" t="str">
        <f t="shared" si="118"/>
        <v/>
      </c>
      <c r="BW39" s="4" t="str">
        <f t="shared" si="119"/>
        <v/>
      </c>
      <c r="BX39" s="386" t="str">
        <f t="shared" si="120"/>
        <v/>
      </c>
      <c r="BY39" s="386">
        <f t="shared" si="37"/>
        <v>0</v>
      </c>
      <c r="BZ39" s="386" t="str">
        <f t="shared" si="121"/>
        <v/>
      </c>
      <c r="CA39" s="387" t="str">
        <f t="shared" si="122"/>
        <v/>
      </c>
      <c r="CB39" s="682" t="str">
        <f t="shared" si="123"/>
        <v/>
      </c>
      <c r="CC39" s="4" t="str">
        <f t="shared" si="124"/>
        <v/>
      </c>
      <c r="CD39" s="386" t="str">
        <f t="shared" si="125"/>
        <v/>
      </c>
      <c r="CE39" s="386">
        <f t="shared" si="43"/>
        <v>0</v>
      </c>
      <c r="CF39" s="386" t="str">
        <f t="shared" si="126"/>
        <v/>
      </c>
      <c r="CG39" s="387" t="str">
        <f t="shared" si="127"/>
        <v/>
      </c>
      <c r="CH39" s="682">
        <f t="shared" si="128"/>
        <v>0</v>
      </c>
      <c r="CI39" s="4">
        <f t="shared" si="129"/>
        <v>0</v>
      </c>
      <c r="CJ39" s="386">
        <f t="shared" si="130"/>
        <v>65.5</v>
      </c>
      <c r="CK39" s="386">
        <f t="shared" si="165"/>
        <v>65.5</v>
      </c>
      <c r="CL39" s="386">
        <f t="shared" si="132"/>
        <v>83.316000000000003</v>
      </c>
      <c r="CM39" s="387">
        <f t="shared" si="133"/>
        <v>2042075.1600000001</v>
      </c>
      <c r="CN39" s="682">
        <f t="shared" si="134"/>
        <v>0</v>
      </c>
      <c r="CO39" s="4">
        <f t="shared" si="135"/>
        <v>5</v>
      </c>
      <c r="CP39" s="386">
        <f t="shared" si="136"/>
        <v>18</v>
      </c>
      <c r="CQ39" s="386">
        <f t="shared" si="166"/>
        <v>23</v>
      </c>
      <c r="CR39" s="386">
        <f t="shared" si="138"/>
        <v>29.648000000000003</v>
      </c>
      <c r="CS39" s="387">
        <f t="shared" si="139"/>
        <v>515282.24000000005</v>
      </c>
      <c r="CT39" s="682" t="str">
        <f t="shared" si="140"/>
        <v/>
      </c>
      <c r="CU39" s="4" t="str">
        <f t="shared" si="141"/>
        <v/>
      </c>
      <c r="CV39" s="386" t="str">
        <f t="shared" si="142"/>
        <v/>
      </c>
      <c r="CW39" s="386">
        <f t="shared" si="167"/>
        <v>0</v>
      </c>
      <c r="CX39" s="386" t="str">
        <f t="shared" si="143"/>
        <v/>
      </c>
      <c r="CY39" s="387" t="str">
        <f t="shared" si="144"/>
        <v/>
      </c>
      <c r="CZ39" s="682" t="str">
        <f t="shared" si="145"/>
        <v/>
      </c>
      <c r="DA39" s="4" t="str">
        <f t="shared" si="146"/>
        <v/>
      </c>
      <c r="DB39" s="386" t="str">
        <f t="shared" si="147"/>
        <v/>
      </c>
      <c r="DC39" s="386">
        <f t="shared" si="168"/>
        <v>0</v>
      </c>
      <c r="DD39" s="386" t="str">
        <f t="shared" si="148"/>
        <v/>
      </c>
      <c r="DE39" s="387" t="str">
        <f t="shared" si="149"/>
        <v/>
      </c>
      <c r="DF39" s="682" t="str">
        <f t="shared" si="150"/>
        <v/>
      </c>
      <c r="DG39" s="4" t="str">
        <f t="shared" si="151"/>
        <v/>
      </c>
      <c r="DH39" s="386" t="str">
        <f t="shared" si="152"/>
        <v/>
      </c>
      <c r="DI39" s="386">
        <f t="shared" si="169"/>
        <v>0</v>
      </c>
      <c r="DJ39" s="386" t="str">
        <f t="shared" si="153"/>
        <v/>
      </c>
      <c r="DK39" s="387" t="str">
        <f t="shared" si="154"/>
        <v/>
      </c>
      <c r="DL39" s="682" t="str">
        <f t="shared" si="155"/>
        <v/>
      </c>
      <c r="DM39" s="4" t="str">
        <f t="shared" si="156"/>
        <v/>
      </c>
      <c r="DN39" s="386" t="str">
        <f t="shared" si="157"/>
        <v/>
      </c>
      <c r="DO39" s="386">
        <f t="shared" si="79"/>
        <v>0</v>
      </c>
      <c r="DP39" s="386" t="str">
        <f t="shared" si="158"/>
        <v/>
      </c>
      <c r="DQ39" s="387" t="str">
        <f t="shared" si="159"/>
        <v/>
      </c>
    </row>
    <row r="40" spans="1:121" customFormat="1" x14ac:dyDescent="0.25">
      <c r="A40" t="s">
        <v>148</v>
      </c>
      <c r="B40" t="s">
        <v>33</v>
      </c>
      <c r="C40" t="s">
        <v>34</v>
      </c>
      <c r="D40" t="s">
        <v>106</v>
      </c>
      <c r="E40" t="s">
        <v>107</v>
      </c>
      <c r="F40" t="s">
        <v>149</v>
      </c>
      <c r="G40" t="s">
        <v>150</v>
      </c>
      <c r="H40" s="3"/>
      <c r="I40" s="4"/>
      <c r="J40" s="4"/>
      <c r="K40" s="4"/>
      <c r="L40" s="4"/>
      <c r="M40" s="5"/>
      <c r="N40" s="3"/>
      <c r="O40" s="4"/>
      <c r="P40" s="4"/>
      <c r="Q40" s="4"/>
      <c r="R40" s="4"/>
      <c r="S40" s="5"/>
      <c r="T40" s="3"/>
      <c r="U40" s="4"/>
      <c r="V40" s="4"/>
      <c r="W40" s="4"/>
      <c r="X40" s="4"/>
      <c r="Y40" s="5"/>
      <c r="Z40" s="3"/>
      <c r="AA40" s="4"/>
      <c r="AB40" s="4"/>
      <c r="AC40" s="4"/>
      <c r="AD40" s="4"/>
      <c r="AE40" s="5"/>
      <c r="AF40" s="682">
        <f t="shared" si="91"/>
        <v>0</v>
      </c>
      <c r="AG40" s="4">
        <f t="shared" si="92"/>
        <v>961</v>
      </c>
      <c r="AH40" s="386">
        <f t="shared" si="93"/>
        <v>1075</v>
      </c>
      <c r="AI40" s="386">
        <f t="shared" si="160"/>
        <v>2036</v>
      </c>
      <c r="AJ40" s="386">
        <f t="shared" si="161"/>
        <v>7132.86</v>
      </c>
      <c r="AK40" s="387">
        <f t="shared" si="95"/>
        <v>142657200</v>
      </c>
      <c r="AL40" s="3"/>
      <c r="AM40" s="4"/>
      <c r="AN40" s="4"/>
      <c r="AO40" s="4"/>
      <c r="AP40" s="4"/>
      <c r="AQ40" s="5"/>
      <c r="AR40" s="682">
        <f t="shared" si="96"/>
        <v>748</v>
      </c>
      <c r="AS40" s="4">
        <f t="shared" si="97"/>
        <v>0</v>
      </c>
      <c r="AT40" s="386">
        <f t="shared" si="98"/>
        <v>563</v>
      </c>
      <c r="AU40" s="386">
        <f t="shared" si="162"/>
        <v>563</v>
      </c>
      <c r="AV40" s="386">
        <f t="shared" si="99"/>
        <v>844.5</v>
      </c>
      <c r="AW40" s="387">
        <f t="shared" si="100"/>
        <v>14356500</v>
      </c>
      <c r="AX40" s="3"/>
      <c r="AY40" s="4"/>
      <c r="AZ40" s="4"/>
      <c r="BA40" s="4"/>
      <c r="BB40" s="4"/>
      <c r="BC40" s="5"/>
      <c r="BD40" s="682">
        <f t="shared" si="101"/>
        <v>0</v>
      </c>
      <c r="BE40" s="4">
        <f t="shared" si="102"/>
        <v>30</v>
      </c>
      <c r="BF40" s="386">
        <f t="shared" si="103"/>
        <v>30</v>
      </c>
      <c r="BG40" s="386">
        <f t="shared" si="163"/>
        <v>60</v>
      </c>
      <c r="BH40" s="386">
        <f t="shared" si="105"/>
        <v>0</v>
      </c>
      <c r="BI40" s="387">
        <f t="shared" si="106"/>
        <v>646800</v>
      </c>
      <c r="BJ40" s="682" t="str">
        <f t="shared" si="107"/>
        <v/>
      </c>
      <c r="BK40" s="4" t="str">
        <f t="shared" si="108"/>
        <v/>
      </c>
      <c r="BL40" s="386" t="str">
        <f t="shared" si="109"/>
        <v/>
      </c>
      <c r="BM40" s="386">
        <f t="shared" si="25"/>
        <v>0</v>
      </c>
      <c r="BN40" s="386" t="str">
        <f t="shared" si="110"/>
        <v/>
      </c>
      <c r="BO40" s="387" t="str">
        <f t="shared" si="111"/>
        <v/>
      </c>
      <c r="BP40" s="682">
        <f t="shared" si="112"/>
        <v>0</v>
      </c>
      <c r="BQ40" s="4">
        <f t="shared" si="113"/>
        <v>0</v>
      </c>
      <c r="BR40" s="386">
        <f t="shared" si="114"/>
        <v>1200</v>
      </c>
      <c r="BS40" s="386">
        <f t="shared" si="164"/>
        <v>1200</v>
      </c>
      <c r="BT40" s="386">
        <f t="shared" si="116"/>
        <v>262.8</v>
      </c>
      <c r="BU40" s="387">
        <f t="shared" si="117"/>
        <v>4204800</v>
      </c>
      <c r="BV40" s="682" t="str">
        <f t="shared" si="118"/>
        <v/>
      </c>
      <c r="BW40" s="4" t="str">
        <f t="shared" si="119"/>
        <v/>
      </c>
      <c r="BX40" s="386" t="str">
        <f t="shared" si="120"/>
        <v/>
      </c>
      <c r="BY40" s="386">
        <f t="shared" si="37"/>
        <v>0</v>
      </c>
      <c r="BZ40" s="386" t="str">
        <f t="shared" si="121"/>
        <v/>
      </c>
      <c r="CA40" s="387" t="str">
        <f t="shared" si="122"/>
        <v/>
      </c>
      <c r="CB40" s="682" t="str">
        <f t="shared" si="123"/>
        <v/>
      </c>
      <c r="CC40" s="4" t="str">
        <f t="shared" si="124"/>
        <v/>
      </c>
      <c r="CD40" s="386" t="str">
        <f t="shared" si="125"/>
        <v/>
      </c>
      <c r="CE40" s="386">
        <f t="shared" si="43"/>
        <v>0</v>
      </c>
      <c r="CF40" s="386" t="str">
        <f t="shared" si="126"/>
        <v/>
      </c>
      <c r="CG40" s="387" t="str">
        <f t="shared" si="127"/>
        <v/>
      </c>
      <c r="CH40" s="682" t="str">
        <f t="shared" si="128"/>
        <v/>
      </c>
      <c r="CI40" s="4" t="str">
        <f t="shared" si="129"/>
        <v/>
      </c>
      <c r="CJ40" s="386" t="str">
        <f t="shared" si="130"/>
        <v/>
      </c>
      <c r="CK40" s="386">
        <f t="shared" si="165"/>
        <v>0</v>
      </c>
      <c r="CL40" s="386" t="str">
        <f t="shared" si="132"/>
        <v/>
      </c>
      <c r="CM40" s="387" t="str">
        <f t="shared" si="133"/>
        <v/>
      </c>
      <c r="CN40" s="682">
        <f t="shared" si="134"/>
        <v>0</v>
      </c>
      <c r="CO40" s="4">
        <f t="shared" si="135"/>
        <v>0</v>
      </c>
      <c r="CP40" s="386">
        <f t="shared" si="136"/>
        <v>297</v>
      </c>
      <c r="CQ40" s="386">
        <f t="shared" si="166"/>
        <v>297</v>
      </c>
      <c r="CR40" s="386">
        <f t="shared" si="138"/>
        <v>121.99621000000002</v>
      </c>
      <c r="CS40" s="387">
        <f t="shared" si="139"/>
        <v>2120294.1298000002</v>
      </c>
      <c r="CT40" s="682">
        <f t="shared" si="140"/>
        <v>0</v>
      </c>
      <c r="CU40" s="4">
        <f t="shared" si="141"/>
        <v>0</v>
      </c>
      <c r="CV40" s="386">
        <f t="shared" si="142"/>
        <v>40</v>
      </c>
      <c r="CW40" s="386">
        <f t="shared" si="167"/>
        <v>40</v>
      </c>
      <c r="CX40" s="386">
        <f t="shared" si="143"/>
        <v>5.2320000000000002</v>
      </c>
      <c r="CY40" s="387">
        <f t="shared" si="144"/>
        <v>83712</v>
      </c>
      <c r="CZ40" s="682" t="str">
        <f t="shared" si="145"/>
        <v/>
      </c>
      <c r="DA40" s="4" t="str">
        <f t="shared" si="146"/>
        <v/>
      </c>
      <c r="DB40" s="386" t="str">
        <f t="shared" si="147"/>
        <v/>
      </c>
      <c r="DC40" s="386">
        <f t="shared" si="168"/>
        <v>0</v>
      </c>
      <c r="DD40" s="386" t="str">
        <f t="shared" si="148"/>
        <v/>
      </c>
      <c r="DE40" s="387" t="str">
        <f t="shared" si="149"/>
        <v/>
      </c>
      <c r="DF40" s="682" t="str">
        <f t="shared" si="150"/>
        <v/>
      </c>
      <c r="DG40" s="4" t="str">
        <f t="shared" si="151"/>
        <v/>
      </c>
      <c r="DH40" s="386" t="str">
        <f t="shared" si="152"/>
        <v/>
      </c>
      <c r="DI40" s="386">
        <f t="shared" si="169"/>
        <v>0</v>
      </c>
      <c r="DJ40" s="386" t="str">
        <f t="shared" si="153"/>
        <v/>
      </c>
      <c r="DK40" s="387" t="str">
        <f t="shared" si="154"/>
        <v/>
      </c>
      <c r="DL40" s="682" t="str">
        <f t="shared" si="155"/>
        <v/>
      </c>
      <c r="DM40" s="4" t="str">
        <f t="shared" si="156"/>
        <v/>
      </c>
      <c r="DN40" s="386" t="str">
        <f t="shared" si="157"/>
        <v/>
      </c>
      <c r="DO40" s="386">
        <f t="shared" si="79"/>
        <v>0</v>
      </c>
      <c r="DP40" s="386" t="str">
        <f t="shared" si="158"/>
        <v/>
      </c>
      <c r="DQ40" s="387" t="str">
        <f t="shared" si="159"/>
        <v/>
      </c>
    </row>
    <row r="41" spans="1:121" customFormat="1" x14ac:dyDescent="0.25">
      <c r="A41" t="s">
        <v>151</v>
      </c>
      <c r="B41" t="s">
        <v>33</v>
      </c>
      <c r="C41" t="s">
        <v>34</v>
      </c>
      <c r="D41" t="s">
        <v>106</v>
      </c>
      <c r="E41" t="s">
        <v>107</v>
      </c>
      <c r="F41" t="s">
        <v>152</v>
      </c>
      <c r="G41" t="s">
        <v>153</v>
      </c>
      <c r="H41" s="3"/>
      <c r="I41" s="4"/>
      <c r="J41" s="4"/>
      <c r="K41" s="4"/>
      <c r="L41" s="4"/>
      <c r="M41" s="5"/>
      <c r="N41" s="3"/>
      <c r="O41" s="4"/>
      <c r="P41" s="4"/>
      <c r="Q41" s="4"/>
      <c r="R41" s="4"/>
      <c r="S41" s="5"/>
      <c r="T41" s="3"/>
      <c r="U41" s="4"/>
      <c r="V41" s="4"/>
      <c r="W41" s="4"/>
      <c r="X41" s="4"/>
      <c r="Y41" s="5"/>
      <c r="Z41" s="3"/>
      <c r="AA41" s="4"/>
      <c r="AB41" s="4"/>
      <c r="AC41" s="4"/>
      <c r="AD41" s="4"/>
      <c r="AE41" s="5"/>
      <c r="AF41" s="682" t="str">
        <f t="shared" si="91"/>
        <v/>
      </c>
      <c r="AG41" s="4" t="str">
        <f t="shared" si="92"/>
        <v/>
      </c>
      <c r="AH41" s="386" t="str">
        <f t="shared" si="93"/>
        <v/>
      </c>
      <c r="AI41" s="386">
        <f t="shared" si="160"/>
        <v>0</v>
      </c>
      <c r="AJ41" s="386" t="str">
        <f t="shared" si="161"/>
        <v/>
      </c>
      <c r="AK41" s="387" t="str">
        <f t="shared" si="95"/>
        <v/>
      </c>
      <c r="AL41" s="3"/>
      <c r="AM41" s="4"/>
      <c r="AN41" s="4"/>
      <c r="AO41" s="4"/>
      <c r="AP41" s="4"/>
      <c r="AQ41" s="5"/>
      <c r="AR41" s="682">
        <f t="shared" si="96"/>
        <v>1109</v>
      </c>
      <c r="AS41" s="4">
        <f t="shared" si="97"/>
        <v>0</v>
      </c>
      <c r="AT41" s="386">
        <f t="shared" si="98"/>
        <v>550</v>
      </c>
      <c r="AU41" s="386">
        <f t="shared" si="162"/>
        <v>550</v>
      </c>
      <c r="AV41" s="386">
        <f t="shared" si="99"/>
        <v>567.5</v>
      </c>
      <c r="AW41" s="387">
        <f t="shared" si="100"/>
        <v>9647500</v>
      </c>
      <c r="AX41" s="3"/>
      <c r="AY41" s="4"/>
      <c r="AZ41" s="4"/>
      <c r="BA41" s="4"/>
      <c r="BB41" s="4"/>
      <c r="BC41" s="5"/>
      <c r="BD41" s="682" t="str">
        <f t="shared" si="101"/>
        <v/>
      </c>
      <c r="BE41" s="4" t="str">
        <f t="shared" si="102"/>
        <v/>
      </c>
      <c r="BF41" s="386" t="str">
        <f t="shared" si="103"/>
        <v/>
      </c>
      <c r="BG41" s="386">
        <f t="shared" si="163"/>
        <v>0</v>
      </c>
      <c r="BH41" s="386" t="str">
        <f t="shared" si="105"/>
        <v/>
      </c>
      <c r="BI41" s="387" t="str">
        <f t="shared" si="106"/>
        <v/>
      </c>
      <c r="BJ41" s="682" t="str">
        <f t="shared" si="107"/>
        <v/>
      </c>
      <c r="BK41" s="4" t="str">
        <f t="shared" si="108"/>
        <v/>
      </c>
      <c r="BL41" s="386" t="str">
        <f t="shared" si="109"/>
        <v/>
      </c>
      <c r="BM41" s="386">
        <f t="shared" si="25"/>
        <v>0</v>
      </c>
      <c r="BN41" s="386" t="str">
        <f t="shared" si="110"/>
        <v/>
      </c>
      <c r="BO41" s="387" t="str">
        <f t="shared" si="111"/>
        <v/>
      </c>
      <c r="BP41" s="682" t="str">
        <f t="shared" si="112"/>
        <v/>
      </c>
      <c r="BQ41" s="4" t="str">
        <f t="shared" si="113"/>
        <v/>
      </c>
      <c r="BR41" s="386" t="str">
        <f t="shared" si="114"/>
        <v/>
      </c>
      <c r="BS41" s="386">
        <f t="shared" si="164"/>
        <v>0</v>
      </c>
      <c r="BT41" s="386" t="str">
        <f t="shared" si="116"/>
        <v/>
      </c>
      <c r="BU41" s="387" t="str">
        <f t="shared" si="117"/>
        <v/>
      </c>
      <c r="BV41" s="682" t="str">
        <f t="shared" si="118"/>
        <v/>
      </c>
      <c r="BW41" s="4" t="str">
        <f t="shared" si="119"/>
        <v/>
      </c>
      <c r="BX41" s="386" t="str">
        <f t="shared" si="120"/>
        <v/>
      </c>
      <c r="BY41" s="386">
        <f t="shared" si="37"/>
        <v>0</v>
      </c>
      <c r="BZ41" s="386" t="str">
        <f t="shared" si="121"/>
        <v/>
      </c>
      <c r="CA41" s="387" t="str">
        <f t="shared" si="122"/>
        <v/>
      </c>
      <c r="CB41" s="682" t="str">
        <f t="shared" si="123"/>
        <v/>
      </c>
      <c r="CC41" s="4" t="str">
        <f t="shared" si="124"/>
        <v/>
      </c>
      <c r="CD41" s="386" t="str">
        <f t="shared" si="125"/>
        <v/>
      </c>
      <c r="CE41" s="386">
        <f t="shared" si="43"/>
        <v>0</v>
      </c>
      <c r="CF41" s="386" t="str">
        <f t="shared" si="126"/>
        <v/>
      </c>
      <c r="CG41" s="387" t="str">
        <f t="shared" si="127"/>
        <v/>
      </c>
      <c r="CH41" s="682" t="str">
        <f t="shared" si="128"/>
        <v/>
      </c>
      <c r="CI41" s="4" t="str">
        <f t="shared" si="129"/>
        <v/>
      </c>
      <c r="CJ41" s="386" t="str">
        <f t="shared" si="130"/>
        <v/>
      </c>
      <c r="CK41" s="386">
        <f t="shared" si="165"/>
        <v>0</v>
      </c>
      <c r="CL41" s="386" t="str">
        <f t="shared" si="132"/>
        <v/>
      </c>
      <c r="CM41" s="387" t="str">
        <f t="shared" si="133"/>
        <v/>
      </c>
      <c r="CN41" s="682" t="str">
        <f t="shared" si="134"/>
        <v/>
      </c>
      <c r="CO41" s="4" t="str">
        <f t="shared" si="135"/>
        <v/>
      </c>
      <c r="CP41" s="386" t="str">
        <f t="shared" si="136"/>
        <v/>
      </c>
      <c r="CQ41" s="386">
        <f t="shared" si="166"/>
        <v>0</v>
      </c>
      <c r="CR41" s="386" t="str">
        <f t="shared" si="138"/>
        <v/>
      </c>
      <c r="CS41" s="387" t="str">
        <f t="shared" si="139"/>
        <v/>
      </c>
      <c r="CT41" s="682" t="str">
        <f t="shared" si="140"/>
        <v/>
      </c>
      <c r="CU41" s="4" t="str">
        <f t="shared" si="141"/>
        <v/>
      </c>
      <c r="CV41" s="386" t="str">
        <f t="shared" si="142"/>
        <v/>
      </c>
      <c r="CW41" s="386">
        <f t="shared" si="167"/>
        <v>0</v>
      </c>
      <c r="CX41" s="386" t="str">
        <f t="shared" si="143"/>
        <v/>
      </c>
      <c r="CY41" s="387" t="str">
        <f t="shared" si="144"/>
        <v/>
      </c>
      <c r="CZ41" s="682" t="str">
        <f t="shared" si="145"/>
        <v/>
      </c>
      <c r="DA41" s="4" t="str">
        <f t="shared" si="146"/>
        <v/>
      </c>
      <c r="DB41" s="386" t="str">
        <f t="shared" si="147"/>
        <v/>
      </c>
      <c r="DC41" s="386">
        <f t="shared" si="168"/>
        <v>0</v>
      </c>
      <c r="DD41" s="386" t="str">
        <f t="shared" si="148"/>
        <v/>
      </c>
      <c r="DE41" s="387" t="str">
        <f t="shared" si="149"/>
        <v/>
      </c>
      <c r="DF41" s="682" t="str">
        <f t="shared" si="150"/>
        <v/>
      </c>
      <c r="DG41" s="4" t="str">
        <f t="shared" si="151"/>
        <v/>
      </c>
      <c r="DH41" s="386" t="str">
        <f t="shared" si="152"/>
        <v/>
      </c>
      <c r="DI41" s="386">
        <f t="shared" si="169"/>
        <v>0</v>
      </c>
      <c r="DJ41" s="386" t="str">
        <f t="shared" si="153"/>
        <v/>
      </c>
      <c r="DK41" s="387" t="str">
        <f t="shared" si="154"/>
        <v/>
      </c>
      <c r="DL41" s="682" t="str">
        <f t="shared" si="155"/>
        <v/>
      </c>
      <c r="DM41" s="4" t="str">
        <f t="shared" si="156"/>
        <v/>
      </c>
      <c r="DN41" s="386" t="str">
        <f t="shared" si="157"/>
        <v/>
      </c>
      <c r="DO41" s="386">
        <f t="shared" si="79"/>
        <v>0</v>
      </c>
      <c r="DP41" s="386" t="str">
        <f t="shared" si="158"/>
        <v/>
      </c>
      <c r="DQ41" s="387" t="str">
        <f t="shared" si="159"/>
        <v/>
      </c>
    </row>
    <row r="42" spans="1:121" customFormat="1" x14ac:dyDescent="0.25">
      <c r="A42" t="s">
        <v>154</v>
      </c>
      <c r="B42" t="s">
        <v>33</v>
      </c>
      <c r="C42" t="s">
        <v>34</v>
      </c>
      <c r="D42" t="s">
        <v>106</v>
      </c>
      <c r="E42" t="s">
        <v>107</v>
      </c>
      <c r="F42" t="s">
        <v>155</v>
      </c>
      <c r="G42" t="s">
        <v>156</v>
      </c>
      <c r="H42" s="3"/>
      <c r="I42" s="4"/>
      <c r="J42" s="4"/>
      <c r="K42" s="4"/>
      <c r="L42" s="4"/>
      <c r="M42" s="5"/>
      <c r="N42" s="3"/>
      <c r="O42" s="4"/>
      <c r="P42" s="4"/>
      <c r="Q42" s="4"/>
      <c r="R42" s="4"/>
      <c r="S42" s="5"/>
      <c r="T42" s="3"/>
      <c r="U42" s="4"/>
      <c r="V42" s="4"/>
      <c r="W42" s="4"/>
      <c r="X42" s="4"/>
      <c r="Y42" s="5"/>
      <c r="Z42" s="3"/>
      <c r="AA42" s="4"/>
      <c r="AB42" s="4"/>
      <c r="AC42" s="4"/>
      <c r="AD42" s="4"/>
      <c r="AE42" s="5"/>
      <c r="AF42" s="682" t="str">
        <f t="shared" si="91"/>
        <v/>
      </c>
      <c r="AG42" s="4" t="str">
        <f t="shared" si="92"/>
        <v/>
      </c>
      <c r="AH42" s="386" t="str">
        <f t="shared" si="93"/>
        <v/>
      </c>
      <c r="AI42" s="386">
        <f t="shared" si="160"/>
        <v>0</v>
      </c>
      <c r="AJ42" s="386" t="str">
        <f t="shared" si="161"/>
        <v/>
      </c>
      <c r="AK42" s="387" t="str">
        <f t="shared" si="95"/>
        <v/>
      </c>
      <c r="AL42" s="3"/>
      <c r="AM42" s="4"/>
      <c r="AN42" s="4"/>
      <c r="AO42" s="4"/>
      <c r="AP42" s="4"/>
      <c r="AQ42" s="5"/>
      <c r="AR42" s="682">
        <f t="shared" si="96"/>
        <v>1654</v>
      </c>
      <c r="AS42" s="4">
        <f t="shared" si="97"/>
        <v>0</v>
      </c>
      <c r="AT42" s="386">
        <f t="shared" si="98"/>
        <v>850</v>
      </c>
      <c r="AU42" s="386">
        <f t="shared" si="162"/>
        <v>850</v>
      </c>
      <c r="AV42" s="386">
        <f t="shared" si="99"/>
        <v>185.30000000000004</v>
      </c>
      <c r="AW42" s="387">
        <f t="shared" si="100"/>
        <v>3150100.0000000009</v>
      </c>
      <c r="AX42" s="3"/>
      <c r="AY42" s="4"/>
      <c r="AZ42" s="4"/>
      <c r="BA42" s="4"/>
      <c r="BB42" s="4"/>
      <c r="BC42" s="5"/>
      <c r="BD42" s="682" t="str">
        <f t="shared" si="101"/>
        <v/>
      </c>
      <c r="BE42" s="4" t="str">
        <f t="shared" si="102"/>
        <v/>
      </c>
      <c r="BF42" s="386" t="str">
        <f t="shared" si="103"/>
        <v/>
      </c>
      <c r="BG42" s="386">
        <f t="shared" si="163"/>
        <v>0</v>
      </c>
      <c r="BH42" s="386" t="str">
        <f t="shared" si="105"/>
        <v/>
      </c>
      <c r="BI42" s="387" t="str">
        <f t="shared" si="106"/>
        <v/>
      </c>
      <c r="BJ42" s="682" t="str">
        <f t="shared" si="107"/>
        <v/>
      </c>
      <c r="BK42" s="4" t="str">
        <f t="shared" si="108"/>
        <v/>
      </c>
      <c r="BL42" s="386" t="str">
        <f t="shared" si="109"/>
        <v/>
      </c>
      <c r="BM42" s="386">
        <f t="shared" si="25"/>
        <v>0</v>
      </c>
      <c r="BN42" s="386" t="str">
        <f t="shared" si="110"/>
        <v/>
      </c>
      <c r="BO42" s="387" t="str">
        <f t="shared" si="111"/>
        <v/>
      </c>
      <c r="BP42" s="682" t="str">
        <f t="shared" si="112"/>
        <v/>
      </c>
      <c r="BQ42" s="4" t="str">
        <f t="shared" si="113"/>
        <v/>
      </c>
      <c r="BR42" s="386" t="str">
        <f t="shared" si="114"/>
        <v/>
      </c>
      <c r="BS42" s="386">
        <f t="shared" si="164"/>
        <v>0</v>
      </c>
      <c r="BT42" s="386" t="str">
        <f t="shared" si="116"/>
        <v/>
      </c>
      <c r="BU42" s="387" t="str">
        <f t="shared" si="117"/>
        <v/>
      </c>
      <c r="BV42" s="682" t="str">
        <f t="shared" si="118"/>
        <v/>
      </c>
      <c r="BW42" s="4" t="str">
        <f t="shared" si="119"/>
        <v/>
      </c>
      <c r="BX42" s="386" t="str">
        <f t="shared" si="120"/>
        <v/>
      </c>
      <c r="BY42" s="386">
        <f t="shared" si="37"/>
        <v>0</v>
      </c>
      <c r="BZ42" s="386" t="str">
        <f t="shared" si="121"/>
        <v/>
      </c>
      <c r="CA42" s="387" t="str">
        <f t="shared" si="122"/>
        <v/>
      </c>
      <c r="CB42" s="682" t="str">
        <f t="shared" si="123"/>
        <v/>
      </c>
      <c r="CC42" s="4" t="str">
        <f t="shared" si="124"/>
        <v/>
      </c>
      <c r="CD42" s="386" t="str">
        <f t="shared" si="125"/>
        <v/>
      </c>
      <c r="CE42" s="386">
        <f t="shared" si="43"/>
        <v>0</v>
      </c>
      <c r="CF42" s="386" t="str">
        <f t="shared" si="126"/>
        <v/>
      </c>
      <c r="CG42" s="387" t="str">
        <f t="shared" si="127"/>
        <v/>
      </c>
      <c r="CH42" s="682" t="str">
        <f t="shared" si="128"/>
        <v/>
      </c>
      <c r="CI42" s="4" t="str">
        <f t="shared" si="129"/>
        <v/>
      </c>
      <c r="CJ42" s="386" t="str">
        <f t="shared" si="130"/>
        <v/>
      </c>
      <c r="CK42" s="386">
        <f t="shared" si="165"/>
        <v>0</v>
      </c>
      <c r="CL42" s="386" t="str">
        <f t="shared" si="132"/>
        <v/>
      </c>
      <c r="CM42" s="387" t="str">
        <f t="shared" si="133"/>
        <v/>
      </c>
      <c r="CN42" s="682">
        <f t="shared" si="134"/>
        <v>0</v>
      </c>
      <c r="CO42" s="4">
        <f t="shared" si="135"/>
        <v>1</v>
      </c>
      <c r="CP42" s="386">
        <f t="shared" si="136"/>
        <v>0</v>
      </c>
      <c r="CQ42" s="386">
        <f t="shared" si="166"/>
        <v>1</v>
      </c>
      <c r="CR42" s="386">
        <f t="shared" si="138"/>
        <v>3.83</v>
      </c>
      <c r="CS42" s="387">
        <f t="shared" si="139"/>
        <v>66565.399999999994</v>
      </c>
      <c r="CT42" s="682" t="str">
        <f t="shared" si="140"/>
        <v/>
      </c>
      <c r="CU42" s="4" t="str">
        <f t="shared" si="141"/>
        <v/>
      </c>
      <c r="CV42" s="386" t="str">
        <f t="shared" si="142"/>
        <v/>
      </c>
      <c r="CW42" s="386">
        <f t="shared" si="167"/>
        <v>0</v>
      </c>
      <c r="CX42" s="386" t="str">
        <f t="shared" si="143"/>
        <v/>
      </c>
      <c r="CY42" s="387" t="str">
        <f t="shared" si="144"/>
        <v/>
      </c>
      <c r="CZ42" s="682" t="str">
        <f t="shared" si="145"/>
        <v/>
      </c>
      <c r="DA42" s="4" t="str">
        <f t="shared" si="146"/>
        <v/>
      </c>
      <c r="DB42" s="386" t="str">
        <f t="shared" si="147"/>
        <v/>
      </c>
      <c r="DC42" s="386">
        <f t="shared" si="168"/>
        <v>0</v>
      </c>
      <c r="DD42" s="386" t="str">
        <f t="shared" si="148"/>
        <v/>
      </c>
      <c r="DE42" s="387" t="str">
        <f t="shared" si="149"/>
        <v/>
      </c>
      <c r="DF42" s="682" t="str">
        <f t="shared" si="150"/>
        <v/>
      </c>
      <c r="DG42" s="4" t="str">
        <f t="shared" si="151"/>
        <v/>
      </c>
      <c r="DH42" s="386" t="str">
        <f t="shared" si="152"/>
        <v/>
      </c>
      <c r="DI42" s="386">
        <f t="shared" si="169"/>
        <v>0</v>
      </c>
      <c r="DJ42" s="386" t="str">
        <f t="shared" si="153"/>
        <v/>
      </c>
      <c r="DK42" s="387" t="str">
        <f t="shared" si="154"/>
        <v/>
      </c>
      <c r="DL42" s="682" t="str">
        <f t="shared" si="155"/>
        <v/>
      </c>
      <c r="DM42" s="4" t="str">
        <f t="shared" si="156"/>
        <v/>
      </c>
      <c r="DN42" s="386" t="str">
        <f t="shared" si="157"/>
        <v/>
      </c>
      <c r="DO42" s="386">
        <f t="shared" si="79"/>
        <v>0</v>
      </c>
      <c r="DP42" s="386" t="str">
        <f t="shared" si="158"/>
        <v/>
      </c>
      <c r="DQ42" s="387" t="str">
        <f t="shared" si="159"/>
        <v/>
      </c>
    </row>
    <row r="43" spans="1:121" customFormat="1" x14ac:dyDescent="0.25">
      <c r="A43" t="s">
        <v>157</v>
      </c>
      <c r="B43" t="s">
        <v>33</v>
      </c>
      <c r="C43" t="s">
        <v>34</v>
      </c>
      <c r="D43" t="s">
        <v>106</v>
      </c>
      <c r="E43" t="s">
        <v>107</v>
      </c>
      <c r="F43" t="s">
        <v>158</v>
      </c>
      <c r="G43" t="s">
        <v>159</v>
      </c>
      <c r="H43" s="3"/>
      <c r="I43" s="4"/>
      <c r="J43" s="4"/>
      <c r="K43" s="4"/>
      <c r="L43" s="4"/>
      <c r="M43" s="5"/>
      <c r="N43" s="3"/>
      <c r="O43" s="4"/>
      <c r="P43" s="4"/>
      <c r="Q43" s="4"/>
      <c r="R43" s="4"/>
      <c r="S43" s="5"/>
      <c r="T43" s="3"/>
      <c r="U43" s="4"/>
      <c r="V43" s="4"/>
      <c r="W43" s="4"/>
      <c r="X43" s="4"/>
      <c r="Y43" s="5"/>
      <c r="Z43" s="3"/>
      <c r="AA43" s="4"/>
      <c r="AB43" s="4"/>
      <c r="AC43" s="4"/>
      <c r="AD43" s="4"/>
      <c r="AE43" s="5"/>
      <c r="AF43" s="682">
        <f t="shared" si="91"/>
        <v>0</v>
      </c>
      <c r="AG43" s="4">
        <f t="shared" si="92"/>
        <v>0</v>
      </c>
      <c r="AH43" s="386">
        <f t="shared" si="93"/>
        <v>30</v>
      </c>
      <c r="AI43" s="386">
        <f t="shared" si="160"/>
        <v>30</v>
      </c>
      <c r="AJ43" s="386">
        <f t="shared" si="161"/>
        <v>107.1</v>
      </c>
      <c r="AK43" s="387">
        <f t="shared" si="95"/>
        <v>2142000</v>
      </c>
      <c r="AL43" s="3"/>
      <c r="AM43" s="4"/>
      <c r="AN43" s="4"/>
      <c r="AO43" s="4"/>
      <c r="AP43" s="4"/>
      <c r="AQ43" s="5"/>
      <c r="AR43" s="682">
        <f t="shared" si="96"/>
        <v>700</v>
      </c>
      <c r="AS43" s="4">
        <f t="shared" si="97"/>
        <v>0</v>
      </c>
      <c r="AT43" s="386">
        <f t="shared" si="98"/>
        <v>353</v>
      </c>
      <c r="AU43" s="386">
        <f t="shared" si="162"/>
        <v>353</v>
      </c>
      <c r="AV43" s="386">
        <f t="shared" si="99"/>
        <v>561.56799999999998</v>
      </c>
      <c r="AW43" s="387">
        <f t="shared" si="100"/>
        <v>9546656</v>
      </c>
      <c r="AX43" s="3"/>
      <c r="AY43" s="4"/>
      <c r="AZ43" s="4"/>
      <c r="BA43" s="4"/>
      <c r="BB43" s="4"/>
      <c r="BC43" s="5"/>
      <c r="BD43" s="682">
        <f t="shared" si="101"/>
        <v>0</v>
      </c>
      <c r="BE43" s="4">
        <f t="shared" si="102"/>
        <v>25</v>
      </c>
      <c r="BF43" s="386">
        <f t="shared" si="103"/>
        <v>16.5</v>
      </c>
      <c r="BG43" s="386">
        <f t="shared" si="163"/>
        <v>41.5</v>
      </c>
      <c r="BH43" s="386">
        <f t="shared" si="105"/>
        <v>0</v>
      </c>
      <c r="BI43" s="387">
        <f t="shared" si="106"/>
        <v>322016</v>
      </c>
      <c r="BJ43" s="682" t="str">
        <f t="shared" si="107"/>
        <v/>
      </c>
      <c r="BK43" s="4" t="str">
        <f t="shared" si="108"/>
        <v/>
      </c>
      <c r="BL43" s="386" t="str">
        <f t="shared" si="109"/>
        <v/>
      </c>
      <c r="BM43" s="386">
        <f t="shared" si="25"/>
        <v>0</v>
      </c>
      <c r="BN43" s="386" t="str">
        <f t="shared" si="110"/>
        <v/>
      </c>
      <c r="BO43" s="387" t="str">
        <f t="shared" si="111"/>
        <v/>
      </c>
      <c r="BP43" s="682" t="str">
        <f t="shared" si="112"/>
        <v/>
      </c>
      <c r="BQ43" s="4" t="str">
        <f t="shared" si="113"/>
        <v/>
      </c>
      <c r="BR43" s="386" t="str">
        <f t="shared" si="114"/>
        <v/>
      </c>
      <c r="BS43" s="386">
        <f t="shared" si="164"/>
        <v>0</v>
      </c>
      <c r="BT43" s="386" t="str">
        <f t="shared" si="116"/>
        <v/>
      </c>
      <c r="BU43" s="387" t="str">
        <f t="shared" si="117"/>
        <v/>
      </c>
      <c r="BV43" s="682" t="str">
        <f t="shared" si="118"/>
        <v/>
      </c>
      <c r="BW43" s="4" t="str">
        <f t="shared" si="119"/>
        <v/>
      </c>
      <c r="BX43" s="386" t="str">
        <f t="shared" si="120"/>
        <v/>
      </c>
      <c r="BY43" s="386">
        <f t="shared" si="37"/>
        <v>0</v>
      </c>
      <c r="BZ43" s="386" t="str">
        <f t="shared" si="121"/>
        <v/>
      </c>
      <c r="CA43" s="387" t="str">
        <f t="shared" si="122"/>
        <v/>
      </c>
      <c r="CB43" s="682" t="str">
        <f t="shared" si="123"/>
        <v/>
      </c>
      <c r="CC43" s="4" t="str">
        <f t="shared" si="124"/>
        <v/>
      </c>
      <c r="CD43" s="386" t="str">
        <f t="shared" si="125"/>
        <v/>
      </c>
      <c r="CE43" s="386">
        <f t="shared" si="43"/>
        <v>0</v>
      </c>
      <c r="CF43" s="386" t="str">
        <f t="shared" si="126"/>
        <v/>
      </c>
      <c r="CG43" s="387" t="str">
        <f t="shared" si="127"/>
        <v/>
      </c>
      <c r="CH43" s="682">
        <f t="shared" si="128"/>
        <v>0</v>
      </c>
      <c r="CI43" s="4">
        <f t="shared" si="129"/>
        <v>1.7</v>
      </c>
      <c r="CJ43" s="386">
        <f t="shared" si="130"/>
        <v>0</v>
      </c>
      <c r="CK43" s="386">
        <f t="shared" si="165"/>
        <v>1.7</v>
      </c>
      <c r="CL43" s="386">
        <f t="shared" si="132"/>
        <v>7.2080000000000002</v>
      </c>
      <c r="CM43" s="387">
        <f t="shared" si="133"/>
        <v>168955.52000000002</v>
      </c>
      <c r="CN43" s="682">
        <f t="shared" si="134"/>
        <v>0</v>
      </c>
      <c r="CO43" s="4">
        <f t="shared" si="135"/>
        <v>22</v>
      </c>
      <c r="CP43" s="386">
        <f t="shared" si="136"/>
        <v>21</v>
      </c>
      <c r="CQ43" s="386">
        <f t="shared" si="166"/>
        <v>43</v>
      </c>
      <c r="CR43" s="386">
        <f t="shared" si="138"/>
        <v>104.602</v>
      </c>
      <c r="CS43" s="387">
        <f t="shared" si="139"/>
        <v>1817982.76</v>
      </c>
      <c r="CT43" s="682" t="str">
        <f t="shared" si="140"/>
        <v/>
      </c>
      <c r="CU43" s="4" t="str">
        <f t="shared" si="141"/>
        <v/>
      </c>
      <c r="CV43" s="386" t="str">
        <f t="shared" si="142"/>
        <v/>
      </c>
      <c r="CW43" s="386">
        <f t="shared" si="167"/>
        <v>0</v>
      </c>
      <c r="CX43" s="386" t="str">
        <f t="shared" si="143"/>
        <v/>
      </c>
      <c r="CY43" s="387" t="str">
        <f t="shared" si="144"/>
        <v/>
      </c>
      <c r="CZ43" s="682" t="str">
        <f t="shared" si="145"/>
        <v/>
      </c>
      <c r="DA43" s="4" t="str">
        <f t="shared" si="146"/>
        <v/>
      </c>
      <c r="DB43" s="386" t="str">
        <f t="shared" si="147"/>
        <v/>
      </c>
      <c r="DC43" s="386">
        <f t="shared" si="168"/>
        <v>0</v>
      </c>
      <c r="DD43" s="386" t="str">
        <f t="shared" si="148"/>
        <v/>
      </c>
      <c r="DE43" s="387" t="str">
        <f t="shared" si="149"/>
        <v/>
      </c>
      <c r="DF43" s="682" t="str">
        <f t="shared" si="150"/>
        <v/>
      </c>
      <c r="DG43" s="4" t="str">
        <f t="shared" si="151"/>
        <v/>
      </c>
      <c r="DH43" s="386" t="str">
        <f t="shared" si="152"/>
        <v/>
      </c>
      <c r="DI43" s="386">
        <f t="shared" si="169"/>
        <v>0</v>
      </c>
      <c r="DJ43" s="386" t="str">
        <f t="shared" si="153"/>
        <v/>
      </c>
      <c r="DK43" s="387" t="str">
        <f t="shared" si="154"/>
        <v/>
      </c>
      <c r="DL43" s="682" t="str">
        <f t="shared" si="155"/>
        <v/>
      </c>
      <c r="DM43" s="4" t="str">
        <f t="shared" si="156"/>
        <v/>
      </c>
      <c r="DN43" s="386" t="str">
        <f t="shared" si="157"/>
        <v/>
      </c>
      <c r="DO43" s="386">
        <f t="shared" si="79"/>
        <v>0</v>
      </c>
      <c r="DP43" s="386" t="str">
        <f t="shared" si="158"/>
        <v/>
      </c>
      <c r="DQ43" s="387" t="str">
        <f t="shared" si="159"/>
        <v/>
      </c>
    </row>
    <row r="44" spans="1:121" customFormat="1" x14ac:dyDescent="0.25">
      <c r="A44" t="s">
        <v>160</v>
      </c>
      <c r="B44" t="s">
        <v>33</v>
      </c>
      <c r="C44" t="s">
        <v>34</v>
      </c>
      <c r="D44" t="s">
        <v>106</v>
      </c>
      <c r="E44" t="s">
        <v>107</v>
      </c>
      <c r="F44" t="s">
        <v>161</v>
      </c>
      <c r="G44" t="s">
        <v>162</v>
      </c>
      <c r="H44" s="3"/>
      <c r="I44" s="4"/>
      <c r="J44" s="4"/>
      <c r="K44" s="4"/>
      <c r="L44" s="4"/>
      <c r="M44" s="5"/>
      <c r="N44" s="3"/>
      <c r="O44" s="4"/>
      <c r="P44" s="4"/>
      <c r="Q44" s="4"/>
      <c r="R44" s="4"/>
      <c r="S44" s="5"/>
      <c r="T44" s="3"/>
      <c r="U44" s="4"/>
      <c r="V44" s="4"/>
      <c r="W44" s="4"/>
      <c r="X44" s="4"/>
      <c r="Y44" s="5"/>
      <c r="Z44" s="3"/>
      <c r="AA44" s="4"/>
      <c r="AB44" s="4"/>
      <c r="AC44" s="4"/>
      <c r="AD44" s="4"/>
      <c r="AE44" s="5"/>
      <c r="AF44" s="682">
        <f t="shared" si="91"/>
        <v>0</v>
      </c>
      <c r="AG44" s="4">
        <f t="shared" si="92"/>
        <v>0</v>
      </c>
      <c r="AH44" s="386">
        <f t="shared" si="93"/>
        <v>473.7</v>
      </c>
      <c r="AI44" s="386">
        <f t="shared" si="160"/>
        <v>473.7</v>
      </c>
      <c r="AJ44" s="386">
        <f t="shared" si="161"/>
        <v>912.52769999999987</v>
      </c>
      <c r="AK44" s="387">
        <f t="shared" si="95"/>
        <v>18250554</v>
      </c>
      <c r="AL44" s="3"/>
      <c r="AM44" s="4"/>
      <c r="AN44" s="4"/>
      <c r="AO44" s="4"/>
      <c r="AP44" s="4"/>
      <c r="AQ44" s="5"/>
      <c r="AR44" s="682">
        <f t="shared" si="96"/>
        <v>1123</v>
      </c>
      <c r="AS44" s="4">
        <f t="shared" si="97"/>
        <v>31</v>
      </c>
      <c r="AT44" s="386">
        <f t="shared" si="98"/>
        <v>693.3</v>
      </c>
      <c r="AU44" s="386">
        <f t="shared" si="162"/>
        <v>724.3</v>
      </c>
      <c r="AV44" s="386">
        <f t="shared" si="99"/>
        <v>1038.6848</v>
      </c>
      <c r="AW44" s="387">
        <f t="shared" si="100"/>
        <v>17657641.600000001</v>
      </c>
      <c r="AX44" s="3"/>
      <c r="AY44" s="4"/>
      <c r="AZ44" s="4"/>
      <c r="BA44" s="4"/>
      <c r="BB44" s="4"/>
      <c r="BC44" s="5"/>
      <c r="BD44" s="682">
        <f t="shared" si="101"/>
        <v>0</v>
      </c>
      <c r="BE44" s="4">
        <f t="shared" si="102"/>
        <v>77.430000000000007</v>
      </c>
      <c r="BF44" s="386">
        <f t="shared" si="103"/>
        <v>22.75</v>
      </c>
      <c r="BG44" s="386">
        <f t="shared" si="163"/>
        <v>100.18</v>
      </c>
      <c r="BH44" s="386">
        <f t="shared" si="105"/>
        <v>0</v>
      </c>
      <c r="BI44" s="387">
        <f t="shared" si="106"/>
        <v>811468</v>
      </c>
      <c r="BJ44" s="682" t="str">
        <f t="shared" si="107"/>
        <v/>
      </c>
      <c r="BK44" s="4" t="str">
        <f t="shared" si="108"/>
        <v/>
      </c>
      <c r="BL44" s="386" t="str">
        <f t="shared" si="109"/>
        <v/>
      </c>
      <c r="BM44" s="386">
        <f t="shared" si="25"/>
        <v>0</v>
      </c>
      <c r="BN44" s="386" t="str">
        <f t="shared" si="110"/>
        <v/>
      </c>
      <c r="BO44" s="387" t="str">
        <f t="shared" si="111"/>
        <v/>
      </c>
      <c r="BP44" s="682" t="str">
        <f t="shared" si="112"/>
        <v/>
      </c>
      <c r="BQ44" s="4" t="str">
        <f t="shared" si="113"/>
        <v/>
      </c>
      <c r="BR44" s="386" t="str">
        <f t="shared" si="114"/>
        <v/>
      </c>
      <c r="BS44" s="386">
        <f t="shared" si="164"/>
        <v>0</v>
      </c>
      <c r="BT44" s="386" t="str">
        <f t="shared" si="116"/>
        <v/>
      </c>
      <c r="BU44" s="387" t="str">
        <f t="shared" si="117"/>
        <v/>
      </c>
      <c r="BV44" s="682" t="str">
        <f t="shared" si="118"/>
        <v/>
      </c>
      <c r="BW44" s="4" t="str">
        <f t="shared" si="119"/>
        <v/>
      </c>
      <c r="BX44" s="386" t="str">
        <f t="shared" si="120"/>
        <v/>
      </c>
      <c r="BY44" s="386">
        <f t="shared" si="37"/>
        <v>0</v>
      </c>
      <c r="BZ44" s="386" t="str">
        <f t="shared" si="121"/>
        <v/>
      </c>
      <c r="CA44" s="387" t="str">
        <f t="shared" si="122"/>
        <v/>
      </c>
      <c r="CB44" s="682" t="str">
        <f t="shared" si="123"/>
        <v/>
      </c>
      <c r="CC44" s="4" t="str">
        <f t="shared" si="124"/>
        <v/>
      </c>
      <c r="CD44" s="386" t="str">
        <f t="shared" si="125"/>
        <v/>
      </c>
      <c r="CE44" s="386">
        <f t="shared" si="43"/>
        <v>0</v>
      </c>
      <c r="CF44" s="386" t="str">
        <f t="shared" si="126"/>
        <v/>
      </c>
      <c r="CG44" s="387" t="str">
        <f t="shared" si="127"/>
        <v/>
      </c>
      <c r="CH44" s="682" t="str">
        <f t="shared" si="128"/>
        <v/>
      </c>
      <c r="CI44" s="4" t="str">
        <f t="shared" si="129"/>
        <v/>
      </c>
      <c r="CJ44" s="386" t="str">
        <f t="shared" si="130"/>
        <v/>
      </c>
      <c r="CK44" s="386">
        <f t="shared" si="165"/>
        <v>0</v>
      </c>
      <c r="CL44" s="386" t="str">
        <f t="shared" si="132"/>
        <v/>
      </c>
      <c r="CM44" s="387" t="str">
        <f t="shared" si="133"/>
        <v/>
      </c>
      <c r="CN44" s="682" t="str">
        <f t="shared" si="134"/>
        <v/>
      </c>
      <c r="CO44" s="4" t="str">
        <f t="shared" si="135"/>
        <v/>
      </c>
      <c r="CP44" s="386" t="str">
        <f t="shared" si="136"/>
        <v/>
      </c>
      <c r="CQ44" s="386">
        <f t="shared" si="166"/>
        <v>0</v>
      </c>
      <c r="CR44" s="386" t="str">
        <f t="shared" si="138"/>
        <v/>
      </c>
      <c r="CS44" s="387" t="str">
        <f t="shared" si="139"/>
        <v/>
      </c>
      <c r="CT44" s="682" t="str">
        <f t="shared" si="140"/>
        <v/>
      </c>
      <c r="CU44" s="4" t="str">
        <f t="shared" si="141"/>
        <v/>
      </c>
      <c r="CV44" s="386" t="str">
        <f t="shared" si="142"/>
        <v/>
      </c>
      <c r="CW44" s="386">
        <f t="shared" si="167"/>
        <v>0</v>
      </c>
      <c r="CX44" s="386" t="str">
        <f t="shared" si="143"/>
        <v/>
      </c>
      <c r="CY44" s="387" t="str">
        <f t="shared" si="144"/>
        <v/>
      </c>
      <c r="CZ44" s="682" t="str">
        <f t="shared" si="145"/>
        <v/>
      </c>
      <c r="DA44" s="4" t="str">
        <f t="shared" si="146"/>
        <v/>
      </c>
      <c r="DB44" s="386" t="str">
        <f t="shared" si="147"/>
        <v/>
      </c>
      <c r="DC44" s="386">
        <f t="shared" si="168"/>
        <v>0</v>
      </c>
      <c r="DD44" s="386" t="str">
        <f t="shared" si="148"/>
        <v/>
      </c>
      <c r="DE44" s="387" t="str">
        <f t="shared" si="149"/>
        <v/>
      </c>
      <c r="DF44" s="682" t="str">
        <f t="shared" si="150"/>
        <v/>
      </c>
      <c r="DG44" s="4" t="str">
        <f t="shared" si="151"/>
        <v/>
      </c>
      <c r="DH44" s="386" t="str">
        <f t="shared" si="152"/>
        <v/>
      </c>
      <c r="DI44" s="386">
        <f t="shared" si="169"/>
        <v>0</v>
      </c>
      <c r="DJ44" s="386" t="str">
        <f t="shared" si="153"/>
        <v/>
      </c>
      <c r="DK44" s="387" t="str">
        <f t="shared" si="154"/>
        <v/>
      </c>
      <c r="DL44" s="682" t="str">
        <f t="shared" si="155"/>
        <v/>
      </c>
      <c r="DM44" s="4" t="str">
        <f t="shared" si="156"/>
        <v/>
      </c>
      <c r="DN44" s="386" t="str">
        <f t="shared" si="157"/>
        <v/>
      </c>
      <c r="DO44" s="386">
        <f t="shared" si="79"/>
        <v>0</v>
      </c>
      <c r="DP44" s="386" t="str">
        <f t="shared" si="158"/>
        <v/>
      </c>
      <c r="DQ44" s="387" t="str">
        <f t="shared" si="159"/>
        <v/>
      </c>
    </row>
    <row r="45" spans="1:121" customFormat="1" x14ac:dyDescent="0.25">
      <c r="A45" t="s">
        <v>163</v>
      </c>
      <c r="B45" t="s">
        <v>33</v>
      </c>
      <c r="C45" t="s">
        <v>34</v>
      </c>
      <c r="D45" t="s">
        <v>106</v>
      </c>
      <c r="E45" t="s">
        <v>107</v>
      </c>
      <c r="F45" t="s">
        <v>164</v>
      </c>
      <c r="G45" t="s">
        <v>165</v>
      </c>
      <c r="H45" s="3"/>
      <c r="I45" s="4"/>
      <c r="J45" s="4"/>
      <c r="K45" s="4"/>
      <c r="L45" s="4"/>
      <c r="M45" s="5"/>
      <c r="N45" s="3"/>
      <c r="O45" s="4"/>
      <c r="P45" s="4"/>
      <c r="Q45" s="4"/>
      <c r="R45" s="4"/>
      <c r="S45" s="5"/>
      <c r="T45" s="3"/>
      <c r="U45" s="4"/>
      <c r="V45" s="4"/>
      <c r="W45" s="4"/>
      <c r="X45" s="4"/>
      <c r="Y45" s="5"/>
      <c r="Z45" s="3"/>
      <c r="AA45" s="4"/>
      <c r="AB45" s="4"/>
      <c r="AC45" s="4"/>
      <c r="AD45" s="4"/>
      <c r="AE45" s="5"/>
      <c r="AF45" s="682">
        <f t="shared" si="91"/>
        <v>0</v>
      </c>
      <c r="AG45" s="4">
        <f t="shared" si="92"/>
        <v>0</v>
      </c>
      <c r="AH45" s="386">
        <f t="shared" si="93"/>
        <v>652.29999999999995</v>
      </c>
      <c r="AI45" s="386">
        <f t="shared" si="160"/>
        <v>652.29999999999995</v>
      </c>
      <c r="AJ45" s="386">
        <f t="shared" si="161"/>
        <v>1587.6504</v>
      </c>
      <c r="AK45" s="387">
        <f t="shared" si="95"/>
        <v>31753007.999999996</v>
      </c>
      <c r="AL45" s="3"/>
      <c r="AM45" s="4"/>
      <c r="AN45" s="4"/>
      <c r="AO45" s="4"/>
      <c r="AP45" s="4"/>
      <c r="AQ45" s="5"/>
      <c r="AR45" s="682">
        <f t="shared" si="96"/>
        <v>286</v>
      </c>
      <c r="AS45" s="4">
        <f t="shared" si="97"/>
        <v>3</v>
      </c>
      <c r="AT45" s="386">
        <f t="shared" si="98"/>
        <v>140</v>
      </c>
      <c r="AU45" s="386">
        <f t="shared" si="162"/>
        <v>143</v>
      </c>
      <c r="AV45" s="386">
        <f t="shared" si="99"/>
        <v>153.08000000000001</v>
      </c>
      <c r="AW45" s="387">
        <f t="shared" si="100"/>
        <v>2602360</v>
      </c>
      <c r="AX45" s="3"/>
      <c r="AY45" s="4"/>
      <c r="AZ45" s="4"/>
      <c r="BA45" s="4"/>
      <c r="BB45" s="4"/>
      <c r="BC45" s="5"/>
      <c r="BD45" s="682">
        <f t="shared" si="101"/>
        <v>0</v>
      </c>
      <c r="BE45" s="4">
        <f t="shared" si="102"/>
        <v>4</v>
      </c>
      <c r="BF45" s="386">
        <f t="shared" si="103"/>
        <v>0</v>
      </c>
      <c r="BG45" s="386">
        <f t="shared" si="163"/>
        <v>4</v>
      </c>
      <c r="BH45" s="386">
        <f t="shared" si="105"/>
        <v>4</v>
      </c>
      <c r="BI45" s="387">
        <f t="shared" si="106"/>
        <v>68000</v>
      </c>
      <c r="BJ45" s="682" t="str">
        <f t="shared" si="107"/>
        <v/>
      </c>
      <c r="BK45" s="4" t="str">
        <f t="shared" si="108"/>
        <v/>
      </c>
      <c r="BL45" s="386" t="str">
        <f t="shared" si="109"/>
        <v/>
      </c>
      <c r="BM45" s="386">
        <f t="shared" si="25"/>
        <v>0</v>
      </c>
      <c r="BN45" s="386" t="str">
        <f t="shared" si="110"/>
        <v/>
      </c>
      <c r="BO45" s="387" t="str">
        <f t="shared" si="111"/>
        <v/>
      </c>
      <c r="BP45" s="682">
        <f t="shared" si="112"/>
        <v>0</v>
      </c>
      <c r="BQ45" s="4">
        <f t="shared" si="113"/>
        <v>0</v>
      </c>
      <c r="BR45" s="386">
        <f t="shared" si="114"/>
        <v>33</v>
      </c>
      <c r="BS45" s="386">
        <f t="shared" si="164"/>
        <v>33</v>
      </c>
      <c r="BT45" s="386">
        <f t="shared" si="116"/>
        <v>21.680999999999997</v>
      </c>
      <c r="BU45" s="387">
        <f t="shared" si="117"/>
        <v>346895.99999999994</v>
      </c>
      <c r="BV45" s="682" t="str">
        <f t="shared" si="118"/>
        <v/>
      </c>
      <c r="BW45" s="4" t="str">
        <f t="shared" si="119"/>
        <v/>
      </c>
      <c r="BX45" s="386" t="str">
        <f t="shared" si="120"/>
        <v/>
      </c>
      <c r="BY45" s="386">
        <f t="shared" si="37"/>
        <v>0</v>
      </c>
      <c r="BZ45" s="386" t="str">
        <f t="shared" si="121"/>
        <v/>
      </c>
      <c r="CA45" s="387" t="str">
        <f t="shared" si="122"/>
        <v/>
      </c>
      <c r="CB45" s="682" t="str">
        <f t="shared" si="123"/>
        <v/>
      </c>
      <c r="CC45" s="4" t="str">
        <f t="shared" si="124"/>
        <v/>
      </c>
      <c r="CD45" s="386" t="str">
        <f t="shared" si="125"/>
        <v/>
      </c>
      <c r="CE45" s="386">
        <f t="shared" si="43"/>
        <v>0</v>
      </c>
      <c r="CF45" s="386" t="str">
        <f t="shared" si="126"/>
        <v/>
      </c>
      <c r="CG45" s="387" t="str">
        <f t="shared" si="127"/>
        <v/>
      </c>
      <c r="CH45" s="682">
        <f t="shared" si="128"/>
        <v>0</v>
      </c>
      <c r="CI45" s="4">
        <f t="shared" si="129"/>
        <v>0</v>
      </c>
      <c r="CJ45" s="386">
        <f t="shared" si="130"/>
        <v>30.27</v>
      </c>
      <c r="CK45" s="386">
        <f t="shared" si="165"/>
        <v>30.27</v>
      </c>
      <c r="CL45" s="386">
        <f t="shared" si="132"/>
        <v>6.4172400000000014</v>
      </c>
      <c r="CM45" s="387">
        <f t="shared" si="133"/>
        <v>157286.55240000004</v>
      </c>
      <c r="CN45" s="682">
        <f t="shared" si="134"/>
        <v>0</v>
      </c>
      <c r="CO45" s="4">
        <f t="shared" si="135"/>
        <v>0</v>
      </c>
      <c r="CP45" s="386">
        <f t="shared" si="136"/>
        <v>20</v>
      </c>
      <c r="CQ45" s="386">
        <f t="shared" si="166"/>
        <v>20</v>
      </c>
      <c r="CR45" s="386">
        <f t="shared" si="138"/>
        <v>4.3600000000000003</v>
      </c>
      <c r="CS45" s="387">
        <f t="shared" si="139"/>
        <v>75776.799999999988</v>
      </c>
      <c r="CT45" s="682" t="str">
        <f t="shared" si="140"/>
        <v/>
      </c>
      <c r="CU45" s="4" t="str">
        <f t="shared" si="141"/>
        <v/>
      </c>
      <c r="CV45" s="386" t="str">
        <f t="shared" si="142"/>
        <v/>
      </c>
      <c r="CW45" s="386">
        <f t="shared" si="167"/>
        <v>0</v>
      </c>
      <c r="CX45" s="386" t="str">
        <f t="shared" si="143"/>
        <v/>
      </c>
      <c r="CY45" s="387" t="str">
        <f t="shared" si="144"/>
        <v/>
      </c>
      <c r="CZ45" s="682" t="str">
        <f t="shared" si="145"/>
        <v/>
      </c>
      <c r="DA45" s="4" t="str">
        <f t="shared" si="146"/>
        <v/>
      </c>
      <c r="DB45" s="386" t="str">
        <f t="shared" si="147"/>
        <v/>
      </c>
      <c r="DC45" s="386">
        <f t="shared" si="168"/>
        <v>0</v>
      </c>
      <c r="DD45" s="386" t="str">
        <f t="shared" si="148"/>
        <v/>
      </c>
      <c r="DE45" s="387" t="str">
        <f t="shared" si="149"/>
        <v/>
      </c>
      <c r="DF45" s="682" t="str">
        <f t="shared" si="150"/>
        <v/>
      </c>
      <c r="DG45" s="4" t="str">
        <f t="shared" si="151"/>
        <v/>
      </c>
      <c r="DH45" s="386" t="str">
        <f t="shared" si="152"/>
        <v/>
      </c>
      <c r="DI45" s="386">
        <f t="shared" si="169"/>
        <v>0</v>
      </c>
      <c r="DJ45" s="386" t="str">
        <f t="shared" si="153"/>
        <v/>
      </c>
      <c r="DK45" s="387" t="str">
        <f t="shared" si="154"/>
        <v/>
      </c>
      <c r="DL45" s="682" t="str">
        <f t="shared" si="155"/>
        <v/>
      </c>
      <c r="DM45" s="4" t="str">
        <f t="shared" si="156"/>
        <v/>
      </c>
      <c r="DN45" s="386" t="str">
        <f t="shared" si="157"/>
        <v/>
      </c>
      <c r="DO45" s="386">
        <f t="shared" si="79"/>
        <v>0</v>
      </c>
      <c r="DP45" s="386" t="str">
        <f t="shared" si="158"/>
        <v/>
      </c>
      <c r="DQ45" s="387" t="str">
        <f t="shared" si="159"/>
        <v/>
      </c>
    </row>
    <row r="46" spans="1:121" customFormat="1" x14ac:dyDescent="0.25">
      <c r="A46" t="s">
        <v>166</v>
      </c>
      <c r="B46" t="s">
        <v>33</v>
      </c>
      <c r="C46" t="s">
        <v>34</v>
      </c>
      <c r="D46" t="s">
        <v>106</v>
      </c>
      <c r="E46" t="s">
        <v>107</v>
      </c>
      <c r="F46" t="s">
        <v>167</v>
      </c>
      <c r="G46" t="s">
        <v>168</v>
      </c>
      <c r="H46" s="3"/>
      <c r="I46" s="4"/>
      <c r="J46" s="4"/>
      <c r="K46" s="4"/>
      <c r="L46" s="4"/>
      <c r="M46" s="5"/>
      <c r="N46" s="3"/>
      <c r="O46" s="4"/>
      <c r="P46" s="4"/>
      <c r="Q46" s="4"/>
      <c r="R46" s="4"/>
      <c r="S46" s="5"/>
      <c r="T46" s="3"/>
      <c r="U46" s="4"/>
      <c r="V46" s="4"/>
      <c r="W46" s="4"/>
      <c r="X46" s="4"/>
      <c r="Y46" s="5"/>
      <c r="Z46" s="3"/>
      <c r="AA46" s="4"/>
      <c r="AB46" s="4"/>
      <c r="AC46" s="4"/>
      <c r="AD46" s="4"/>
      <c r="AE46" s="5"/>
      <c r="AF46" s="682" t="str">
        <f t="shared" si="91"/>
        <v/>
      </c>
      <c r="AG46" s="4" t="str">
        <f t="shared" si="92"/>
        <v/>
      </c>
      <c r="AH46" s="386" t="str">
        <f t="shared" si="93"/>
        <v/>
      </c>
      <c r="AI46" s="386">
        <f t="shared" si="160"/>
        <v>0</v>
      </c>
      <c r="AJ46" s="386" t="str">
        <f t="shared" si="161"/>
        <v/>
      </c>
      <c r="AK46" s="387" t="str">
        <f t="shared" si="95"/>
        <v/>
      </c>
      <c r="AL46" s="3"/>
      <c r="AM46" s="4"/>
      <c r="AN46" s="4"/>
      <c r="AO46" s="4"/>
      <c r="AP46" s="4"/>
      <c r="AQ46" s="5"/>
      <c r="AR46" s="682">
        <f t="shared" si="96"/>
        <v>385</v>
      </c>
      <c r="AS46" s="4">
        <f t="shared" si="97"/>
        <v>0</v>
      </c>
      <c r="AT46" s="386">
        <f t="shared" si="98"/>
        <v>194</v>
      </c>
      <c r="AU46" s="386">
        <f t="shared" si="162"/>
        <v>194</v>
      </c>
      <c r="AV46" s="386">
        <f t="shared" si="99"/>
        <v>592.08799999999997</v>
      </c>
      <c r="AW46" s="387">
        <f t="shared" si="100"/>
        <v>10065496</v>
      </c>
      <c r="AX46" s="3"/>
      <c r="AY46" s="4"/>
      <c r="AZ46" s="4"/>
      <c r="BA46" s="4"/>
      <c r="BB46" s="4"/>
      <c r="BC46" s="5"/>
      <c r="BD46" s="682" t="str">
        <f t="shared" si="101"/>
        <v/>
      </c>
      <c r="BE46" s="4" t="str">
        <f t="shared" si="102"/>
        <v/>
      </c>
      <c r="BF46" s="386" t="str">
        <f t="shared" si="103"/>
        <v/>
      </c>
      <c r="BG46" s="386">
        <f t="shared" si="163"/>
        <v>0</v>
      </c>
      <c r="BH46" s="386" t="str">
        <f t="shared" si="105"/>
        <v/>
      </c>
      <c r="BI46" s="387" t="str">
        <f t="shared" si="106"/>
        <v/>
      </c>
      <c r="BJ46" s="682" t="str">
        <f t="shared" si="107"/>
        <v/>
      </c>
      <c r="BK46" s="4" t="str">
        <f t="shared" si="108"/>
        <v/>
      </c>
      <c r="BL46" s="386" t="str">
        <f t="shared" si="109"/>
        <v/>
      </c>
      <c r="BM46" s="386">
        <f t="shared" si="25"/>
        <v>0</v>
      </c>
      <c r="BN46" s="386" t="str">
        <f t="shared" si="110"/>
        <v/>
      </c>
      <c r="BO46" s="387" t="str">
        <f t="shared" si="111"/>
        <v/>
      </c>
      <c r="BP46" s="682" t="str">
        <f t="shared" si="112"/>
        <v/>
      </c>
      <c r="BQ46" s="4" t="str">
        <f t="shared" si="113"/>
        <v/>
      </c>
      <c r="BR46" s="386" t="str">
        <f t="shared" si="114"/>
        <v/>
      </c>
      <c r="BS46" s="386">
        <f t="shared" si="164"/>
        <v>0</v>
      </c>
      <c r="BT46" s="386" t="str">
        <f t="shared" si="116"/>
        <v/>
      </c>
      <c r="BU46" s="387" t="str">
        <f t="shared" si="117"/>
        <v/>
      </c>
      <c r="BV46" s="682" t="str">
        <f t="shared" si="118"/>
        <v/>
      </c>
      <c r="BW46" s="4" t="str">
        <f t="shared" si="119"/>
        <v/>
      </c>
      <c r="BX46" s="386" t="str">
        <f t="shared" si="120"/>
        <v/>
      </c>
      <c r="BY46" s="386">
        <f t="shared" si="37"/>
        <v>0</v>
      </c>
      <c r="BZ46" s="386" t="str">
        <f t="shared" si="121"/>
        <v/>
      </c>
      <c r="CA46" s="387" t="str">
        <f t="shared" si="122"/>
        <v/>
      </c>
      <c r="CB46" s="682" t="str">
        <f t="shared" si="123"/>
        <v/>
      </c>
      <c r="CC46" s="4" t="str">
        <f t="shared" si="124"/>
        <v/>
      </c>
      <c r="CD46" s="386" t="str">
        <f t="shared" si="125"/>
        <v/>
      </c>
      <c r="CE46" s="386">
        <f t="shared" si="43"/>
        <v>0</v>
      </c>
      <c r="CF46" s="386" t="str">
        <f t="shared" si="126"/>
        <v/>
      </c>
      <c r="CG46" s="387" t="str">
        <f t="shared" si="127"/>
        <v/>
      </c>
      <c r="CH46" s="682" t="str">
        <f t="shared" si="128"/>
        <v/>
      </c>
      <c r="CI46" s="4" t="str">
        <f t="shared" si="129"/>
        <v/>
      </c>
      <c r="CJ46" s="386" t="str">
        <f t="shared" si="130"/>
        <v/>
      </c>
      <c r="CK46" s="386">
        <f t="shared" si="165"/>
        <v>0</v>
      </c>
      <c r="CL46" s="386" t="str">
        <f t="shared" si="132"/>
        <v/>
      </c>
      <c r="CM46" s="387" t="str">
        <f t="shared" si="133"/>
        <v/>
      </c>
      <c r="CN46" s="682" t="str">
        <f t="shared" si="134"/>
        <v/>
      </c>
      <c r="CO46" s="4" t="str">
        <f t="shared" si="135"/>
        <v/>
      </c>
      <c r="CP46" s="386" t="str">
        <f t="shared" si="136"/>
        <v/>
      </c>
      <c r="CQ46" s="386">
        <f t="shared" si="166"/>
        <v>0</v>
      </c>
      <c r="CR46" s="386" t="str">
        <f t="shared" si="138"/>
        <v/>
      </c>
      <c r="CS46" s="387" t="str">
        <f t="shared" si="139"/>
        <v/>
      </c>
      <c r="CT46" s="682" t="str">
        <f t="shared" si="140"/>
        <v/>
      </c>
      <c r="CU46" s="4" t="str">
        <f t="shared" si="141"/>
        <v/>
      </c>
      <c r="CV46" s="386" t="str">
        <f t="shared" si="142"/>
        <v/>
      </c>
      <c r="CW46" s="386">
        <f t="shared" si="167"/>
        <v>0</v>
      </c>
      <c r="CX46" s="386" t="str">
        <f t="shared" si="143"/>
        <v/>
      </c>
      <c r="CY46" s="387" t="str">
        <f t="shared" si="144"/>
        <v/>
      </c>
      <c r="CZ46" s="682" t="str">
        <f t="shared" si="145"/>
        <v/>
      </c>
      <c r="DA46" s="4" t="str">
        <f t="shared" si="146"/>
        <v/>
      </c>
      <c r="DB46" s="386" t="str">
        <f t="shared" si="147"/>
        <v/>
      </c>
      <c r="DC46" s="386">
        <f t="shared" si="168"/>
        <v>0</v>
      </c>
      <c r="DD46" s="386" t="str">
        <f t="shared" si="148"/>
        <v/>
      </c>
      <c r="DE46" s="387" t="str">
        <f t="shared" si="149"/>
        <v/>
      </c>
      <c r="DF46" s="682" t="str">
        <f t="shared" si="150"/>
        <v/>
      </c>
      <c r="DG46" s="4" t="str">
        <f t="shared" si="151"/>
        <v/>
      </c>
      <c r="DH46" s="386" t="str">
        <f t="shared" si="152"/>
        <v/>
      </c>
      <c r="DI46" s="386">
        <f t="shared" si="169"/>
        <v>0</v>
      </c>
      <c r="DJ46" s="386" t="str">
        <f t="shared" si="153"/>
        <v/>
      </c>
      <c r="DK46" s="387" t="str">
        <f t="shared" si="154"/>
        <v/>
      </c>
      <c r="DL46" s="682" t="str">
        <f t="shared" si="155"/>
        <v/>
      </c>
      <c r="DM46" s="4" t="str">
        <f t="shared" si="156"/>
        <v/>
      </c>
      <c r="DN46" s="386" t="str">
        <f t="shared" si="157"/>
        <v/>
      </c>
      <c r="DO46" s="386">
        <f t="shared" si="79"/>
        <v>0</v>
      </c>
      <c r="DP46" s="386" t="str">
        <f t="shared" si="158"/>
        <v/>
      </c>
      <c r="DQ46" s="387" t="str">
        <f t="shared" si="159"/>
        <v/>
      </c>
    </row>
    <row r="47" spans="1:121" customFormat="1" x14ac:dyDescent="0.25">
      <c r="A47" t="s">
        <v>169</v>
      </c>
      <c r="B47" t="s">
        <v>33</v>
      </c>
      <c r="C47" t="s">
        <v>34</v>
      </c>
      <c r="D47" t="s">
        <v>106</v>
      </c>
      <c r="E47" t="s">
        <v>107</v>
      </c>
      <c r="F47" t="s">
        <v>170</v>
      </c>
      <c r="G47" t="s">
        <v>171</v>
      </c>
      <c r="H47" s="3"/>
      <c r="I47" s="4"/>
      <c r="J47" s="4"/>
      <c r="K47" s="4"/>
      <c r="L47" s="4"/>
      <c r="M47" s="5"/>
      <c r="N47" s="3"/>
      <c r="O47" s="4"/>
      <c r="P47" s="4"/>
      <c r="Q47" s="4"/>
      <c r="R47" s="4"/>
      <c r="S47" s="5"/>
      <c r="T47" s="3"/>
      <c r="U47" s="4"/>
      <c r="V47" s="4"/>
      <c r="W47" s="4"/>
      <c r="X47" s="4"/>
      <c r="Y47" s="5"/>
      <c r="Z47" s="3"/>
      <c r="AA47" s="4"/>
      <c r="AB47" s="4"/>
      <c r="AC47" s="4"/>
      <c r="AD47" s="4"/>
      <c r="AE47" s="5"/>
      <c r="AF47" s="682">
        <f t="shared" si="91"/>
        <v>0</v>
      </c>
      <c r="AG47" s="4">
        <f t="shared" si="92"/>
        <v>55</v>
      </c>
      <c r="AH47" s="386">
        <f t="shared" si="93"/>
        <v>530</v>
      </c>
      <c r="AI47" s="386">
        <f t="shared" si="160"/>
        <v>585</v>
      </c>
      <c r="AJ47" s="386">
        <f t="shared" si="161"/>
        <v>1494.6399999999999</v>
      </c>
      <c r="AK47" s="387">
        <f t="shared" si="95"/>
        <v>29892800</v>
      </c>
      <c r="AL47" s="3"/>
      <c r="AM47" s="4"/>
      <c r="AN47" s="4"/>
      <c r="AO47" s="4"/>
      <c r="AP47" s="4"/>
      <c r="AQ47" s="5"/>
      <c r="AR47" s="682">
        <f t="shared" si="96"/>
        <v>80</v>
      </c>
      <c r="AS47" s="4">
        <f t="shared" si="97"/>
        <v>0</v>
      </c>
      <c r="AT47" s="386">
        <f t="shared" si="98"/>
        <v>75</v>
      </c>
      <c r="AU47" s="386">
        <f t="shared" si="162"/>
        <v>75</v>
      </c>
      <c r="AV47" s="386">
        <f t="shared" si="99"/>
        <v>98.1</v>
      </c>
      <c r="AW47" s="387">
        <f t="shared" si="100"/>
        <v>1667699.9999999998</v>
      </c>
      <c r="AX47" s="3"/>
      <c r="AY47" s="4"/>
      <c r="AZ47" s="4"/>
      <c r="BA47" s="4"/>
      <c r="BB47" s="4"/>
      <c r="BC47" s="5"/>
      <c r="BD47" s="682">
        <f t="shared" si="101"/>
        <v>0</v>
      </c>
      <c r="BE47" s="4">
        <f t="shared" si="102"/>
        <v>1</v>
      </c>
      <c r="BF47" s="386">
        <f t="shared" si="103"/>
        <v>0</v>
      </c>
      <c r="BG47" s="386">
        <f t="shared" si="163"/>
        <v>1</v>
      </c>
      <c r="BH47" s="386">
        <f t="shared" si="105"/>
        <v>0.21999999999999975</v>
      </c>
      <c r="BI47" s="387">
        <f t="shared" si="106"/>
        <v>3739.9999999999959</v>
      </c>
      <c r="BJ47" s="682" t="str">
        <f t="shared" si="107"/>
        <v/>
      </c>
      <c r="BK47" s="4" t="str">
        <f t="shared" si="108"/>
        <v/>
      </c>
      <c r="BL47" s="386" t="str">
        <f t="shared" si="109"/>
        <v/>
      </c>
      <c r="BM47" s="386">
        <f t="shared" si="25"/>
        <v>0</v>
      </c>
      <c r="BN47" s="386" t="str">
        <f t="shared" si="110"/>
        <v/>
      </c>
      <c r="BO47" s="387" t="str">
        <f t="shared" si="111"/>
        <v/>
      </c>
      <c r="BP47" s="682">
        <f t="shared" si="112"/>
        <v>0</v>
      </c>
      <c r="BQ47" s="4">
        <f t="shared" si="113"/>
        <v>0</v>
      </c>
      <c r="BR47" s="386">
        <f t="shared" si="114"/>
        <v>11</v>
      </c>
      <c r="BS47" s="386">
        <f t="shared" si="164"/>
        <v>11</v>
      </c>
      <c r="BT47" s="386">
        <f t="shared" si="116"/>
        <v>4.8180000000000005</v>
      </c>
      <c r="BU47" s="387">
        <f t="shared" si="117"/>
        <v>77088.000000000015</v>
      </c>
      <c r="BV47" s="682" t="str">
        <f t="shared" si="118"/>
        <v/>
      </c>
      <c r="BW47" s="4" t="str">
        <f t="shared" si="119"/>
        <v/>
      </c>
      <c r="BX47" s="386" t="str">
        <f t="shared" si="120"/>
        <v/>
      </c>
      <c r="BY47" s="386">
        <f t="shared" si="37"/>
        <v>0</v>
      </c>
      <c r="BZ47" s="386" t="str">
        <f t="shared" si="121"/>
        <v/>
      </c>
      <c r="CA47" s="387" t="str">
        <f t="shared" si="122"/>
        <v/>
      </c>
      <c r="CB47" s="682" t="str">
        <f t="shared" si="123"/>
        <v/>
      </c>
      <c r="CC47" s="4" t="str">
        <f t="shared" si="124"/>
        <v/>
      </c>
      <c r="CD47" s="386" t="str">
        <f t="shared" si="125"/>
        <v/>
      </c>
      <c r="CE47" s="386">
        <f t="shared" si="43"/>
        <v>0</v>
      </c>
      <c r="CF47" s="386" t="str">
        <f t="shared" si="126"/>
        <v/>
      </c>
      <c r="CG47" s="387" t="str">
        <f t="shared" si="127"/>
        <v/>
      </c>
      <c r="CH47" s="682">
        <f t="shared" si="128"/>
        <v>0</v>
      </c>
      <c r="CI47" s="4">
        <f t="shared" si="129"/>
        <v>0</v>
      </c>
      <c r="CJ47" s="386">
        <f t="shared" si="130"/>
        <v>43.5</v>
      </c>
      <c r="CK47" s="386">
        <f t="shared" si="165"/>
        <v>43.5</v>
      </c>
      <c r="CL47" s="386">
        <f t="shared" si="132"/>
        <v>27.666</v>
      </c>
      <c r="CM47" s="387">
        <f t="shared" si="133"/>
        <v>678093.66</v>
      </c>
      <c r="CN47" s="682">
        <f t="shared" si="134"/>
        <v>0</v>
      </c>
      <c r="CO47" s="4">
        <f t="shared" si="135"/>
        <v>0</v>
      </c>
      <c r="CP47" s="386">
        <f t="shared" si="136"/>
        <v>104.5</v>
      </c>
      <c r="CQ47" s="386">
        <f t="shared" si="166"/>
        <v>104.5</v>
      </c>
      <c r="CR47" s="386">
        <f t="shared" si="138"/>
        <v>69.08250000000001</v>
      </c>
      <c r="CS47" s="387">
        <f t="shared" si="139"/>
        <v>1200653.8499999999</v>
      </c>
      <c r="CT47" s="682" t="str">
        <f t="shared" si="140"/>
        <v/>
      </c>
      <c r="CU47" s="4" t="str">
        <f t="shared" si="141"/>
        <v/>
      </c>
      <c r="CV47" s="386" t="str">
        <f t="shared" si="142"/>
        <v/>
      </c>
      <c r="CW47" s="386">
        <f t="shared" si="167"/>
        <v>0</v>
      </c>
      <c r="CX47" s="386" t="str">
        <f t="shared" si="143"/>
        <v/>
      </c>
      <c r="CY47" s="387" t="str">
        <f t="shared" si="144"/>
        <v/>
      </c>
      <c r="CZ47" s="682" t="str">
        <f t="shared" si="145"/>
        <v/>
      </c>
      <c r="DA47" s="4" t="str">
        <f t="shared" si="146"/>
        <v/>
      </c>
      <c r="DB47" s="386" t="str">
        <f t="shared" si="147"/>
        <v/>
      </c>
      <c r="DC47" s="386">
        <f t="shared" si="168"/>
        <v>0</v>
      </c>
      <c r="DD47" s="386" t="str">
        <f t="shared" si="148"/>
        <v/>
      </c>
      <c r="DE47" s="387" t="str">
        <f t="shared" si="149"/>
        <v/>
      </c>
      <c r="DF47" s="682">
        <f t="shared" si="150"/>
        <v>0</v>
      </c>
      <c r="DG47" s="4">
        <f t="shared" si="151"/>
        <v>0</v>
      </c>
      <c r="DH47" s="386">
        <f t="shared" si="152"/>
        <v>0.2</v>
      </c>
      <c r="DI47" s="386">
        <f t="shared" si="169"/>
        <v>0.2</v>
      </c>
      <c r="DJ47" s="386">
        <f t="shared" si="153"/>
        <v>0.129</v>
      </c>
      <c r="DK47" s="387">
        <f t="shared" si="154"/>
        <v>2127.2099999999996</v>
      </c>
      <c r="DL47" s="682" t="str">
        <f t="shared" si="155"/>
        <v/>
      </c>
      <c r="DM47" s="4" t="str">
        <f t="shared" si="156"/>
        <v/>
      </c>
      <c r="DN47" s="386" t="str">
        <f t="shared" si="157"/>
        <v/>
      </c>
      <c r="DO47" s="386">
        <f t="shared" si="79"/>
        <v>0</v>
      </c>
      <c r="DP47" s="386" t="str">
        <f t="shared" si="158"/>
        <v/>
      </c>
      <c r="DQ47" s="387" t="str">
        <f t="shared" si="159"/>
        <v/>
      </c>
    </row>
    <row r="48" spans="1:121" customFormat="1" x14ac:dyDescent="0.25">
      <c r="A48" t="s">
        <v>172</v>
      </c>
      <c r="B48" t="s">
        <v>33</v>
      </c>
      <c r="C48" t="s">
        <v>34</v>
      </c>
      <c r="D48" t="s">
        <v>106</v>
      </c>
      <c r="E48" t="s">
        <v>107</v>
      </c>
      <c r="F48" t="s">
        <v>173</v>
      </c>
      <c r="G48" t="s">
        <v>174</v>
      </c>
      <c r="H48" s="3"/>
      <c r="I48" s="4"/>
      <c r="J48" s="4"/>
      <c r="K48" s="4"/>
      <c r="L48" s="4"/>
      <c r="M48" s="5"/>
      <c r="N48" s="3"/>
      <c r="O48" s="4"/>
      <c r="P48" s="4"/>
      <c r="Q48" s="4"/>
      <c r="R48" s="4"/>
      <c r="S48" s="5"/>
      <c r="T48" s="3"/>
      <c r="U48" s="4"/>
      <c r="V48" s="4"/>
      <c r="W48" s="4"/>
      <c r="X48" s="4"/>
      <c r="Y48" s="5"/>
      <c r="Z48" s="3"/>
      <c r="AA48" s="4"/>
      <c r="AB48" s="4"/>
      <c r="AC48" s="4"/>
      <c r="AD48" s="4"/>
      <c r="AE48" s="5"/>
      <c r="AF48" s="682">
        <f t="shared" si="91"/>
        <v>0</v>
      </c>
      <c r="AG48" s="4">
        <f t="shared" si="92"/>
        <v>285.5</v>
      </c>
      <c r="AH48" s="386">
        <f t="shared" si="93"/>
        <v>344.6</v>
      </c>
      <c r="AI48" s="386">
        <f t="shared" si="160"/>
        <v>630.1</v>
      </c>
      <c r="AJ48" s="386">
        <f t="shared" si="161"/>
        <v>2507.1872000000003</v>
      </c>
      <c r="AK48" s="387">
        <f t="shared" si="95"/>
        <v>50143744</v>
      </c>
      <c r="AL48" s="3"/>
      <c r="AM48" s="4"/>
      <c r="AN48" s="4"/>
      <c r="AO48" s="4"/>
      <c r="AP48" s="4"/>
      <c r="AQ48" s="5"/>
      <c r="AR48" s="682">
        <f t="shared" si="96"/>
        <v>338</v>
      </c>
      <c r="AS48" s="4">
        <f t="shared" si="97"/>
        <v>0</v>
      </c>
      <c r="AT48" s="386">
        <f t="shared" si="98"/>
        <v>171</v>
      </c>
      <c r="AU48" s="386">
        <f t="shared" si="162"/>
        <v>171</v>
      </c>
      <c r="AV48" s="386">
        <f t="shared" si="99"/>
        <v>223.66800000000001</v>
      </c>
      <c r="AW48" s="387">
        <f t="shared" si="100"/>
        <v>3802356</v>
      </c>
      <c r="AX48" s="3"/>
      <c r="AY48" s="4"/>
      <c r="AZ48" s="4"/>
      <c r="BA48" s="4"/>
      <c r="BB48" s="4"/>
      <c r="BC48" s="5"/>
      <c r="BD48" s="682">
        <f t="shared" si="101"/>
        <v>0</v>
      </c>
      <c r="BE48" s="4">
        <f t="shared" si="102"/>
        <v>142.75</v>
      </c>
      <c r="BF48" s="386">
        <f t="shared" si="103"/>
        <v>142.75</v>
      </c>
      <c r="BG48" s="386">
        <f t="shared" si="163"/>
        <v>285.5</v>
      </c>
      <c r="BH48" s="386">
        <f t="shared" si="105"/>
        <v>642.375</v>
      </c>
      <c r="BI48" s="387">
        <f t="shared" si="106"/>
        <v>10920375</v>
      </c>
      <c r="BJ48" s="682" t="str">
        <f t="shared" si="107"/>
        <v/>
      </c>
      <c r="BK48" s="4" t="str">
        <f t="shared" si="108"/>
        <v/>
      </c>
      <c r="BL48" s="386" t="str">
        <f t="shared" si="109"/>
        <v/>
      </c>
      <c r="BM48" s="386">
        <f t="shared" si="25"/>
        <v>0</v>
      </c>
      <c r="BN48" s="386" t="str">
        <f t="shared" si="110"/>
        <v/>
      </c>
      <c r="BO48" s="387" t="str">
        <f t="shared" si="111"/>
        <v/>
      </c>
      <c r="BP48" s="682">
        <f t="shared" si="112"/>
        <v>0</v>
      </c>
      <c r="BQ48" s="4">
        <f t="shared" si="113"/>
        <v>0</v>
      </c>
      <c r="BR48" s="386">
        <f t="shared" si="114"/>
        <v>363.5</v>
      </c>
      <c r="BS48" s="386">
        <f t="shared" si="164"/>
        <v>363.5</v>
      </c>
      <c r="BT48" s="386">
        <f t="shared" si="116"/>
        <v>159.21299999999999</v>
      </c>
      <c r="BU48" s="387">
        <f t="shared" si="117"/>
        <v>2547408</v>
      </c>
      <c r="BV48" s="682" t="str">
        <f t="shared" si="118"/>
        <v/>
      </c>
      <c r="BW48" s="4" t="str">
        <f t="shared" si="119"/>
        <v/>
      </c>
      <c r="BX48" s="386" t="str">
        <f t="shared" si="120"/>
        <v/>
      </c>
      <c r="BY48" s="386">
        <f t="shared" si="37"/>
        <v>0</v>
      </c>
      <c r="BZ48" s="386" t="str">
        <f t="shared" si="121"/>
        <v/>
      </c>
      <c r="CA48" s="387" t="str">
        <f t="shared" si="122"/>
        <v/>
      </c>
      <c r="CB48" s="682" t="str">
        <f t="shared" si="123"/>
        <v/>
      </c>
      <c r="CC48" s="4" t="str">
        <f t="shared" si="124"/>
        <v/>
      </c>
      <c r="CD48" s="386" t="str">
        <f t="shared" si="125"/>
        <v/>
      </c>
      <c r="CE48" s="386">
        <f t="shared" si="43"/>
        <v>0</v>
      </c>
      <c r="CF48" s="386" t="str">
        <f t="shared" si="126"/>
        <v/>
      </c>
      <c r="CG48" s="387" t="str">
        <f t="shared" si="127"/>
        <v/>
      </c>
      <c r="CH48" s="682">
        <f t="shared" si="128"/>
        <v>0</v>
      </c>
      <c r="CI48" s="4">
        <f t="shared" si="129"/>
        <v>0</v>
      </c>
      <c r="CJ48" s="386">
        <f t="shared" si="130"/>
        <v>127</v>
      </c>
      <c r="CK48" s="386">
        <f t="shared" si="165"/>
        <v>127</v>
      </c>
      <c r="CL48" s="386">
        <f t="shared" si="132"/>
        <v>5.3848000000000003</v>
      </c>
      <c r="CM48" s="387">
        <f t="shared" si="133"/>
        <v>131981.44800000003</v>
      </c>
      <c r="CN48" s="682">
        <f t="shared" si="134"/>
        <v>0</v>
      </c>
      <c r="CO48" s="4">
        <f t="shared" si="135"/>
        <v>0</v>
      </c>
      <c r="CP48" s="386">
        <f t="shared" si="136"/>
        <v>35.75</v>
      </c>
      <c r="CQ48" s="386">
        <f t="shared" si="166"/>
        <v>35.75</v>
      </c>
      <c r="CR48" s="386">
        <f t="shared" si="138"/>
        <v>16.121750000000002</v>
      </c>
      <c r="CS48" s="387">
        <f t="shared" si="139"/>
        <v>280196.01500000007</v>
      </c>
      <c r="CT48" s="682" t="str">
        <f t="shared" si="140"/>
        <v/>
      </c>
      <c r="CU48" s="4" t="str">
        <f t="shared" si="141"/>
        <v/>
      </c>
      <c r="CV48" s="386" t="str">
        <f t="shared" si="142"/>
        <v/>
      </c>
      <c r="CW48" s="386">
        <f t="shared" si="167"/>
        <v>0</v>
      </c>
      <c r="CX48" s="386" t="str">
        <f t="shared" si="143"/>
        <v/>
      </c>
      <c r="CY48" s="387" t="str">
        <f t="shared" si="144"/>
        <v/>
      </c>
      <c r="CZ48" s="682" t="str">
        <f t="shared" si="145"/>
        <v/>
      </c>
      <c r="DA48" s="4" t="str">
        <f t="shared" si="146"/>
        <v/>
      </c>
      <c r="DB48" s="386" t="str">
        <f t="shared" si="147"/>
        <v/>
      </c>
      <c r="DC48" s="386">
        <f t="shared" si="168"/>
        <v>0</v>
      </c>
      <c r="DD48" s="386" t="str">
        <f t="shared" si="148"/>
        <v/>
      </c>
      <c r="DE48" s="387" t="str">
        <f t="shared" si="149"/>
        <v/>
      </c>
      <c r="DF48" s="682" t="str">
        <f t="shared" si="150"/>
        <v/>
      </c>
      <c r="DG48" s="4" t="str">
        <f t="shared" si="151"/>
        <v/>
      </c>
      <c r="DH48" s="386" t="str">
        <f t="shared" si="152"/>
        <v/>
      </c>
      <c r="DI48" s="386">
        <f t="shared" si="169"/>
        <v>0</v>
      </c>
      <c r="DJ48" s="386" t="str">
        <f t="shared" si="153"/>
        <v/>
      </c>
      <c r="DK48" s="387" t="str">
        <f t="shared" si="154"/>
        <v/>
      </c>
      <c r="DL48" s="682" t="str">
        <f t="shared" si="155"/>
        <v/>
      </c>
      <c r="DM48" s="4" t="str">
        <f t="shared" si="156"/>
        <v/>
      </c>
      <c r="DN48" s="386" t="str">
        <f t="shared" si="157"/>
        <v/>
      </c>
      <c r="DO48" s="386">
        <f t="shared" si="79"/>
        <v>0</v>
      </c>
      <c r="DP48" s="386" t="str">
        <f t="shared" si="158"/>
        <v/>
      </c>
      <c r="DQ48" s="387" t="str">
        <f t="shared" si="159"/>
        <v/>
      </c>
    </row>
    <row r="49" spans="1:121" customFormat="1" x14ac:dyDescent="0.25">
      <c r="A49" t="s">
        <v>175</v>
      </c>
      <c r="B49" t="s">
        <v>33</v>
      </c>
      <c r="C49" t="s">
        <v>34</v>
      </c>
      <c r="D49" t="s">
        <v>106</v>
      </c>
      <c r="E49" t="s">
        <v>107</v>
      </c>
      <c r="F49" t="s">
        <v>176</v>
      </c>
      <c r="G49" t="s">
        <v>177</v>
      </c>
      <c r="H49" s="3"/>
      <c r="I49" s="4"/>
      <c r="J49" s="4"/>
      <c r="K49" s="4"/>
      <c r="L49" s="4"/>
      <c r="M49" s="5"/>
      <c r="N49" s="3"/>
      <c r="O49" s="4"/>
      <c r="P49" s="4"/>
      <c r="Q49" s="4"/>
      <c r="R49" s="4"/>
      <c r="S49" s="5"/>
      <c r="T49" s="3"/>
      <c r="U49" s="4"/>
      <c r="V49" s="4"/>
      <c r="W49" s="4"/>
      <c r="X49" s="4"/>
      <c r="Y49" s="5"/>
      <c r="Z49" s="3"/>
      <c r="AA49" s="4"/>
      <c r="AB49" s="4"/>
      <c r="AC49" s="4"/>
      <c r="AD49" s="4"/>
      <c r="AE49" s="5"/>
      <c r="AF49" s="682">
        <f t="shared" si="91"/>
        <v>0</v>
      </c>
      <c r="AG49" s="4">
        <f t="shared" si="92"/>
        <v>0</v>
      </c>
      <c r="AH49" s="386">
        <f t="shared" si="93"/>
        <v>228</v>
      </c>
      <c r="AI49" s="386">
        <f t="shared" si="160"/>
        <v>228</v>
      </c>
      <c r="AJ49" s="386">
        <f t="shared" si="161"/>
        <v>325.58399999999995</v>
      </c>
      <c r="AK49" s="387">
        <f t="shared" si="95"/>
        <v>6511680</v>
      </c>
      <c r="AL49" s="3"/>
      <c r="AM49" s="4"/>
      <c r="AN49" s="4"/>
      <c r="AO49" s="4"/>
      <c r="AP49" s="4"/>
      <c r="AQ49" s="5"/>
      <c r="AR49" s="682">
        <f t="shared" si="96"/>
        <v>28</v>
      </c>
      <c r="AS49" s="4">
        <f t="shared" si="97"/>
        <v>0</v>
      </c>
      <c r="AT49" s="386">
        <f t="shared" si="98"/>
        <v>14</v>
      </c>
      <c r="AU49" s="386">
        <f t="shared" si="162"/>
        <v>14</v>
      </c>
      <c r="AV49" s="386">
        <f t="shared" si="99"/>
        <v>12.208000000000002</v>
      </c>
      <c r="AW49" s="387">
        <f t="shared" si="100"/>
        <v>207536.00000000003</v>
      </c>
      <c r="AX49" s="3"/>
      <c r="AY49" s="4"/>
      <c r="AZ49" s="4"/>
      <c r="BA49" s="4"/>
      <c r="BB49" s="4"/>
      <c r="BC49" s="5"/>
      <c r="BD49" s="682" t="str">
        <f t="shared" si="101"/>
        <v/>
      </c>
      <c r="BE49" s="4" t="str">
        <f t="shared" si="102"/>
        <v/>
      </c>
      <c r="BF49" s="386" t="str">
        <f t="shared" si="103"/>
        <v/>
      </c>
      <c r="BG49" s="386">
        <f t="shared" si="163"/>
        <v>0</v>
      </c>
      <c r="BH49" s="386" t="str">
        <f t="shared" si="105"/>
        <v/>
      </c>
      <c r="BI49" s="387" t="str">
        <f t="shared" si="106"/>
        <v/>
      </c>
      <c r="BJ49" s="682" t="str">
        <f t="shared" si="107"/>
        <v/>
      </c>
      <c r="BK49" s="4" t="str">
        <f t="shared" si="108"/>
        <v/>
      </c>
      <c r="BL49" s="386" t="str">
        <f t="shared" si="109"/>
        <v/>
      </c>
      <c r="BM49" s="386">
        <f t="shared" si="25"/>
        <v>0</v>
      </c>
      <c r="BN49" s="386" t="str">
        <f t="shared" si="110"/>
        <v/>
      </c>
      <c r="BO49" s="387" t="str">
        <f t="shared" si="111"/>
        <v/>
      </c>
      <c r="BP49" s="682">
        <f t="shared" si="112"/>
        <v>0</v>
      </c>
      <c r="BQ49" s="4">
        <f t="shared" si="113"/>
        <v>0</v>
      </c>
      <c r="BR49" s="386">
        <f t="shared" si="114"/>
        <v>16</v>
      </c>
      <c r="BS49" s="386">
        <f t="shared" si="164"/>
        <v>16</v>
      </c>
      <c r="BT49" s="386">
        <f t="shared" si="116"/>
        <v>14.016</v>
      </c>
      <c r="BU49" s="387">
        <f t="shared" si="117"/>
        <v>224256</v>
      </c>
      <c r="BV49" s="682" t="str">
        <f t="shared" si="118"/>
        <v/>
      </c>
      <c r="BW49" s="4" t="str">
        <f t="shared" si="119"/>
        <v/>
      </c>
      <c r="BX49" s="386" t="str">
        <f t="shared" si="120"/>
        <v/>
      </c>
      <c r="BY49" s="386">
        <f t="shared" si="37"/>
        <v>0</v>
      </c>
      <c r="BZ49" s="386" t="str">
        <f t="shared" si="121"/>
        <v/>
      </c>
      <c r="CA49" s="387" t="str">
        <f t="shared" si="122"/>
        <v/>
      </c>
      <c r="CB49" s="682" t="str">
        <f t="shared" si="123"/>
        <v/>
      </c>
      <c r="CC49" s="4" t="str">
        <f t="shared" si="124"/>
        <v/>
      </c>
      <c r="CD49" s="386" t="str">
        <f t="shared" si="125"/>
        <v/>
      </c>
      <c r="CE49" s="386">
        <f t="shared" si="43"/>
        <v>0</v>
      </c>
      <c r="CF49" s="386" t="str">
        <f t="shared" si="126"/>
        <v/>
      </c>
      <c r="CG49" s="387" t="str">
        <f t="shared" si="127"/>
        <v/>
      </c>
      <c r="CH49" s="682" t="str">
        <f t="shared" si="128"/>
        <v/>
      </c>
      <c r="CI49" s="4" t="str">
        <f t="shared" si="129"/>
        <v/>
      </c>
      <c r="CJ49" s="386" t="str">
        <f t="shared" si="130"/>
        <v/>
      </c>
      <c r="CK49" s="386">
        <f t="shared" si="165"/>
        <v>0</v>
      </c>
      <c r="CL49" s="386" t="str">
        <f t="shared" si="132"/>
        <v/>
      </c>
      <c r="CM49" s="387" t="str">
        <f t="shared" si="133"/>
        <v/>
      </c>
      <c r="CN49" s="682">
        <f t="shared" si="134"/>
        <v>0</v>
      </c>
      <c r="CO49" s="4">
        <f t="shared" si="135"/>
        <v>0</v>
      </c>
      <c r="CP49" s="386">
        <f t="shared" si="136"/>
        <v>15</v>
      </c>
      <c r="CQ49" s="386">
        <f t="shared" si="166"/>
        <v>15</v>
      </c>
      <c r="CR49" s="386">
        <f t="shared" si="138"/>
        <v>3.2700000000000005</v>
      </c>
      <c r="CS49" s="387">
        <f t="shared" si="139"/>
        <v>56832.600000000006</v>
      </c>
      <c r="CT49" s="682" t="str">
        <f t="shared" si="140"/>
        <v/>
      </c>
      <c r="CU49" s="4" t="str">
        <f t="shared" si="141"/>
        <v/>
      </c>
      <c r="CV49" s="386" t="str">
        <f t="shared" si="142"/>
        <v/>
      </c>
      <c r="CW49" s="386">
        <f t="shared" si="167"/>
        <v>0</v>
      </c>
      <c r="CX49" s="386" t="str">
        <f t="shared" si="143"/>
        <v/>
      </c>
      <c r="CY49" s="387" t="str">
        <f t="shared" si="144"/>
        <v/>
      </c>
      <c r="CZ49" s="682" t="str">
        <f t="shared" si="145"/>
        <v/>
      </c>
      <c r="DA49" s="4" t="str">
        <f t="shared" si="146"/>
        <v/>
      </c>
      <c r="DB49" s="386" t="str">
        <f t="shared" si="147"/>
        <v/>
      </c>
      <c r="DC49" s="386">
        <f t="shared" si="168"/>
        <v>0</v>
      </c>
      <c r="DD49" s="386" t="str">
        <f t="shared" si="148"/>
        <v/>
      </c>
      <c r="DE49" s="387" t="str">
        <f t="shared" si="149"/>
        <v/>
      </c>
      <c r="DF49" s="682">
        <f t="shared" si="150"/>
        <v>0</v>
      </c>
      <c r="DG49" s="4">
        <f t="shared" si="151"/>
        <v>0</v>
      </c>
      <c r="DH49" s="386">
        <f t="shared" si="152"/>
        <v>25</v>
      </c>
      <c r="DI49" s="386">
        <f t="shared" si="169"/>
        <v>25</v>
      </c>
      <c r="DJ49" s="386">
        <f t="shared" si="153"/>
        <v>67.55</v>
      </c>
      <c r="DK49" s="387">
        <f t="shared" si="154"/>
        <v>1113899.5</v>
      </c>
      <c r="DL49" s="682" t="str">
        <f t="shared" si="155"/>
        <v/>
      </c>
      <c r="DM49" s="4" t="str">
        <f t="shared" si="156"/>
        <v/>
      </c>
      <c r="DN49" s="386" t="str">
        <f t="shared" si="157"/>
        <v/>
      </c>
      <c r="DO49" s="386">
        <f t="shared" si="79"/>
        <v>0</v>
      </c>
      <c r="DP49" s="386" t="str">
        <f t="shared" si="158"/>
        <v/>
      </c>
      <c r="DQ49" s="387" t="str">
        <f t="shared" si="159"/>
        <v/>
      </c>
    </row>
    <row r="50" spans="1:121" customFormat="1" x14ac:dyDescent="0.25">
      <c r="A50" t="s">
        <v>178</v>
      </c>
      <c r="B50" t="s">
        <v>33</v>
      </c>
      <c r="C50" t="s">
        <v>34</v>
      </c>
      <c r="D50" t="s">
        <v>106</v>
      </c>
      <c r="E50" t="s">
        <v>107</v>
      </c>
      <c r="F50" t="s">
        <v>179</v>
      </c>
      <c r="G50" t="s">
        <v>180</v>
      </c>
      <c r="H50" s="3"/>
      <c r="I50" s="4"/>
      <c r="J50" s="4"/>
      <c r="K50" s="4"/>
      <c r="L50" s="4"/>
      <c r="M50" s="5"/>
      <c r="N50" s="3"/>
      <c r="O50" s="4"/>
      <c r="P50" s="4"/>
      <c r="Q50" s="4"/>
      <c r="R50" s="4"/>
      <c r="S50" s="5"/>
      <c r="T50" s="3"/>
      <c r="U50" s="4"/>
      <c r="V50" s="4"/>
      <c r="W50" s="4"/>
      <c r="X50" s="4"/>
      <c r="Y50" s="5"/>
      <c r="Z50" s="3"/>
      <c r="AA50" s="4"/>
      <c r="AB50" s="4"/>
      <c r="AC50" s="4"/>
      <c r="AD50" s="4"/>
      <c r="AE50" s="5"/>
      <c r="AF50" s="682" t="str">
        <f t="shared" si="91"/>
        <v/>
      </c>
      <c r="AG50" s="4" t="str">
        <f t="shared" si="92"/>
        <v/>
      </c>
      <c r="AH50" s="386" t="str">
        <f t="shared" si="93"/>
        <v/>
      </c>
      <c r="AI50" s="386">
        <f t="shared" si="160"/>
        <v>0</v>
      </c>
      <c r="AJ50" s="386" t="str">
        <f t="shared" si="161"/>
        <v/>
      </c>
      <c r="AK50" s="387" t="str">
        <f t="shared" si="95"/>
        <v/>
      </c>
      <c r="AL50" s="3"/>
      <c r="AM50" s="4"/>
      <c r="AN50" s="4"/>
      <c r="AO50" s="4"/>
      <c r="AP50" s="4"/>
      <c r="AQ50" s="5"/>
      <c r="AR50" s="682">
        <f t="shared" si="96"/>
        <v>998</v>
      </c>
      <c r="AS50" s="4">
        <f t="shared" si="97"/>
        <v>20.100000000000001</v>
      </c>
      <c r="AT50" s="386">
        <f t="shared" si="98"/>
        <v>730.5</v>
      </c>
      <c r="AU50" s="386">
        <f t="shared" si="162"/>
        <v>750.6</v>
      </c>
      <c r="AV50" s="386">
        <f t="shared" si="99"/>
        <v>664.8</v>
      </c>
      <c r="AW50" s="387">
        <f t="shared" si="100"/>
        <v>11301600</v>
      </c>
      <c r="AX50" s="3"/>
      <c r="AY50" s="4"/>
      <c r="AZ50" s="4"/>
      <c r="BA50" s="4"/>
      <c r="BB50" s="4"/>
      <c r="BC50" s="5"/>
      <c r="BD50" s="682">
        <f t="shared" si="101"/>
        <v>0</v>
      </c>
      <c r="BE50" s="4">
        <f t="shared" si="102"/>
        <v>5.09</v>
      </c>
      <c r="BF50" s="386">
        <f t="shared" si="103"/>
        <v>5.09</v>
      </c>
      <c r="BG50" s="386">
        <f t="shared" si="163"/>
        <v>10.18</v>
      </c>
      <c r="BH50" s="386">
        <f t="shared" si="105"/>
        <v>0</v>
      </c>
      <c r="BI50" s="387">
        <f t="shared" si="106"/>
        <v>354563.8</v>
      </c>
      <c r="BJ50" s="682" t="str">
        <f t="shared" si="107"/>
        <v/>
      </c>
      <c r="BK50" s="4" t="str">
        <f t="shared" si="108"/>
        <v/>
      </c>
      <c r="BL50" s="386" t="str">
        <f t="shared" si="109"/>
        <v/>
      </c>
      <c r="BM50" s="386">
        <f t="shared" si="25"/>
        <v>0</v>
      </c>
      <c r="BN50" s="386" t="str">
        <f t="shared" si="110"/>
        <v/>
      </c>
      <c r="BO50" s="387" t="str">
        <f t="shared" si="111"/>
        <v/>
      </c>
      <c r="BP50" s="682" t="str">
        <f t="shared" si="112"/>
        <v/>
      </c>
      <c r="BQ50" s="4" t="str">
        <f t="shared" si="113"/>
        <v/>
      </c>
      <c r="BR50" s="386" t="str">
        <f t="shared" si="114"/>
        <v/>
      </c>
      <c r="BS50" s="386">
        <f t="shared" si="164"/>
        <v>0</v>
      </c>
      <c r="BT50" s="386" t="str">
        <f t="shared" si="116"/>
        <v/>
      </c>
      <c r="BU50" s="387" t="str">
        <f t="shared" si="117"/>
        <v/>
      </c>
      <c r="BV50" s="682" t="str">
        <f t="shared" si="118"/>
        <v/>
      </c>
      <c r="BW50" s="4" t="str">
        <f t="shared" si="119"/>
        <v/>
      </c>
      <c r="BX50" s="386" t="str">
        <f t="shared" si="120"/>
        <v/>
      </c>
      <c r="BY50" s="386">
        <f t="shared" si="37"/>
        <v>0</v>
      </c>
      <c r="BZ50" s="386" t="str">
        <f t="shared" si="121"/>
        <v/>
      </c>
      <c r="CA50" s="387" t="str">
        <f t="shared" si="122"/>
        <v/>
      </c>
      <c r="CB50" s="682" t="str">
        <f t="shared" si="123"/>
        <v/>
      </c>
      <c r="CC50" s="4" t="str">
        <f t="shared" si="124"/>
        <v/>
      </c>
      <c r="CD50" s="386" t="str">
        <f t="shared" si="125"/>
        <v/>
      </c>
      <c r="CE50" s="386">
        <f t="shared" si="43"/>
        <v>0</v>
      </c>
      <c r="CF50" s="386" t="str">
        <f t="shared" si="126"/>
        <v/>
      </c>
      <c r="CG50" s="387" t="str">
        <f t="shared" si="127"/>
        <v/>
      </c>
      <c r="CH50" s="682" t="str">
        <f t="shared" si="128"/>
        <v/>
      </c>
      <c r="CI50" s="4" t="str">
        <f t="shared" si="129"/>
        <v/>
      </c>
      <c r="CJ50" s="386" t="str">
        <f t="shared" si="130"/>
        <v/>
      </c>
      <c r="CK50" s="386">
        <f t="shared" si="165"/>
        <v>0</v>
      </c>
      <c r="CL50" s="386" t="str">
        <f t="shared" si="132"/>
        <v/>
      </c>
      <c r="CM50" s="387" t="str">
        <f t="shared" si="133"/>
        <v/>
      </c>
      <c r="CN50" s="682">
        <f t="shared" si="134"/>
        <v>0</v>
      </c>
      <c r="CO50" s="4">
        <f t="shared" si="135"/>
        <v>4.8</v>
      </c>
      <c r="CP50" s="386">
        <f t="shared" si="136"/>
        <v>0</v>
      </c>
      <c r="CQ50" s="386">
        <f t="shared" si="166"/>
        <v>4.8</v>
      </c>
      <c r="CR50" s="386">
        <f t="shared" si="138"/>
        <v>18.384</v>
      </c>
      <c r="CS50" s="387">
        <f t="shared" si="139"/>
        <v>319513.92</v>
      </c>
      <c r="CT50" s="682" t="str">
        <f t="shared" si="140"/>
        <v/>
      </c>
      <c r="CU50" s="4" t="str">
        <f t="shared" si="141"/>
        <v/>
      </c>
      <c r="CV50" s="386" t="str">
        <f t="shared" si="142"/>
        <v/>
      </c>
      <c r="CW50" s="386">
        <f t="shared" si="167"/>
        <v>0</v>
      </c>
      <c r="CX50" s="386" t="str">
        <f t="shared" si="143"/>
        <v/>
      </c>
      <c r="CY50" s="387" t="str">
        <f t="shared" si="144"/>
        <v/>
      </c>
      <c r="CZ50" s="682" t="str">
        <f t="shared" si="145"/>
        <v/>
      </c>
      <c r="DA50" s="4" t="str">
        <f t="shared" si="146"/>
        <v/>
      </c>
      <c r="DB50" s="386" t="str">
        <f t="shared" si="147"/>
        <v/>
      </c>
      <c r="DC50" s="386">
        <f t="shared" si="168"/>
        <v>0</v>
      </c>
      <c r="DD50" s="386" t="str">
        <f t="shared" si="148"/>
        <v/>
      </c>
      <c r="DE50" s="387" t="str">
        <f t="shared" si="149"/>
        <v/>
      </c>
      <c r="DF50" s="682" t="str">
        <f t="shared" si="150"/>
        <v/>
      </c>
      <c r="DG50" s="4" t="str">
        <f t="shared" si="151"/>
        <v/>
      </c>
      <c r="DH50" s="386" t="str">
        <f t="shared" si="152"/>
        <v/>
      </c>
      <c r="DI50" s="386">
        <f t="shared" si="169"/>
        <v>0</v>
      </c>
      <c r="DJ50" s="386" t="str">
        <f t="shared" si="153"/>
        <v/>
      </c>
      <c r="DK50" s="387" t="str">
        <f t="shared" si="154"/>
        <v/>
      </c>
      <c r="DL50" s="682" t="str">
        <f t="shared" si="155"/>
        <v/>
      </c>
      <c r="DM50" s="4" t="str">
        <f t="shared" si="156"/>
        <v/>
      </c>
      <c r="DN50" s="386" t="str">
        <f t="shared" si="157"/>
        <v/>
      </c>
      <c r="DO50" s="386">
        <f t="shared" si="79"/>
        <v>0</v>
      </c>
      <c r="DP50" s="386" t="str">
        <f t="shared" si="158"/>
        <v/>
      </c>
      <c r="DQ50" s="387" t="str">
        <f t="shared" si="159"/>
        <v/>
      </c>
    </row>
    <row r="51" spans="1:121" customFormat="1" x14ac:dyDescent="0.25">
      <c r="A51" t="s">
        <v>181</v>
      </c>
      <c r="B51" t="s">
        <v>33</v>
      </c>
      <c r="C51" t="s">
        <v>34</v>
      </c>
      <c r="D51" t="s">
        <v>106</v>
      </c>
      <c r="E51" t="s">
        <v>107</v>
      </c>
      <c r="F51" t="s">
        <v>182</v>
      </c>
      <c r="G51" t="s">
        <v>183</v>
      </c>
      <c r="H51" s="3"/>
      <c r="I51" s="4"/>
      <c r="J51" s="4"/>
      <c r="K51" s="4"/>
      <c r="L51" s="4"/>
      <c r="M51" s="5"/>
      <c r="N51" s="3"/>
      <c r="O51" s="4"/>
      <c r="P51" s="4"/>
      <c r="Q51" s="4"/>
      <c r="R51" s="4"/>
      <c r="S51" s="5"/>
      <c r="T51" s="3"/>
      <c r="U51" s="4"/>
      <c r="V51" s="4"/>
      <c r="W51" s="4"/>
      <c r="X51" s="4"/>
      <c r="Y51" s="5"/>
      <c r="Z51" s="3"/>
      <c r="AA51" s="4"/>
      <c r="AB51" s="4"/>
      <c r="AC51" s="4"/>
      <c r="AD51" s="4"/>
      <c r="AE51" s="5"/>
      <c r="AF51" s="682" t="str">
        <f t="shared" si="91"/>
        <v/>
      </c>
      <c r="AG51" s="4" t="str">
        <f t="shared" si="92"/>
        <v/>
      </c>
      <c r="AH51" s="386" t="str">
        <f t="shared" si="93"/>
        <v/>
      </c>
      <c r="AI51" s="386">
        <f t="shared" si="160"/>
        <v>0</v>
      </c>
      <c r="AJ51" s="386" t="str">
        <f t="shared" si="161"/>
        <v/>
      </c>
      <c r="AK51" s="387" t="str">
        <f t="shared" si="95"/>
        <v/>
      </c>
      <c r="AL51" s="3"/>
      <c r="AM51" s="4"/>
      <c r="AN51" s="4"/>
      <c r="AO51" s="4"/>
      <c r="AP51" s="4"/>
      <c r="AQ51" s="5"/>
      <c r="AR51" s="682">
        <f t="shared" si="96"/>
        <v>388</v>
      </c>
      <c r="AS51" s="4">
        <f t="shared" si="97"/>
        <v>0</v>
      </c>
      <c r="AT51" s="386">
        <f t="shared" si="98"/>
        <v>291</v>
      </c>
      <c r="AU51" s="386">
        <f t="shared" si="162"/>
        <v>291</v>
      </c>
      <c r="AV51" s="386">
        <f t="shared" si="99"/>
        <v>429.75</v>
      </c>
      <c r="AW51" s="387">
        <f t="shared" si="100"/>
        <v>7305750</v>
      </c>
      <c r="AX51" s="3"/>
      <c r="AY51" s="4"/>
      <c r="AZ51" s="4"/>
      <c r="BA51" s="4"/>
      <c r="BB51" s="4"/>
      <c r="BC51" s="5"/>
      <c r="BD51" s="682">
        <f t="shared" si="101"/>
        <v>0</v>
      </c>
      <c r="BE51" s="4">
        <f t="shared" si="102"/>
        <v>48.134999999999998</v>
      </c>
      <c r="BF51" s="386">
        <f t="shared" si="103"/>
        <v>48.134999999999998</v>
      </c>
      <c r="BG51" s="386">
        <f t="shared" si="163"/>
        <v>96.27</v>
      </c>
      <c r="BH51" s="386">
        <f t="shared" si="105"/>
        <v>0</v>
      </c>
      <c r="BI51" s="387">
        <f t="shared" si="106"/>
        <v>1037790.6</v>
      </c>
      <c r="BJ51" s="682" t="str">
        <f t="shared" si="107"/>
        <v/>
      </c>
      <c r="BK51" s="4" t="str">
        <f t="shared" si="108"/>
        <v/>
      </c>
      <c r="BL51" s="386" t="str">
        <f t="shared" si="109"/>
        <v/>
      </c>
      <c r="BM51" s="386">
        <f t="shared" si="25"/>
        <v>0</v>
      </c>
      <c r="BN51" s="386" t="str">
        <f t="shared" si="110"/>
        <v/>
      </c>
      <c r="BO51" s="387" t="str">
        <f t="shared" si="111"/>
        <v/>
      </c>
      <c r="BP51" s="682">
        <f t="shared" si="112"/>
        <v>0</v>
      </c>
      <c r="BQ51" s="4">
        <f t="shared" si="113"/>
        <v>0</v>
      </c>
      <c r="BR51" s="386">
        <f t="shared" si="114"/>
        <v>253.5</v>
      </c>
      <c r="BS51" s="386">
        <f t="shared" si="164"/>
        <v>253.5</v>
      </c>
      <c r="BT51" s="386">
        <f t="shared" si="116"/>
        <v>111.033</v>
      </c>
      <c r="BU51" s="387">
        <f t="shared" si="117"/>
        <v>1776528</v>
      </c>
      <c r="BV51" s="682" t="str">
        <f t="shared" si="118"/>
        <v/>
      </c>
      <c r="BW51" s="4" t="str">
        <f t="shared" si="119"/>
        <v/>
      </c>
      <c r="BX51" s="386" t="str">
        <f t="shared" si="120"/>
        <v/>
      </c>
      <c r="BY51" s="386">
        <f t="shared" si="37"/>
        <v>0</v>
      </c>
      <c r="BZ51" s="386" t="str">
        <f t="shared" si="121"/>
        <v/>
      </c>
      <c r="CA51" s="387" t="str">
        <f t="shared" si="122"/>
        <v/>
      </c>
      <c r="CB51" s="682" t="str">
        <f t="shared" si="123"/>
        <v/>
      </c>
      <c r="CC51" s="4" t="str">
        <f t="shared" si="124"/>
        <v/>
      </c>
      <c r="CD51" s="386" t="str">
        <f t="shared" si="125"/>
        <v/>
      </c>
      <c r="CE51" s="386">
        <f t="shared" si="43"/>
        <v>0</v>
      </c>
      <c r="CF51" s="386" t="str">
        <f t="shared" si="126"/>
        <v/>
      </c>
      <c r="CG51" s="387" t="str">
        <f t="shared" si="127"/>
        <v/>
      </c>
      <c r="CH51" s="682" t="str">
        <f t="shared" si="128"/>
        <v/>
      </c>
      <c r="CI51" s="4" t="str">
        <f t="shared" si="129"/>
        <v/>
      </c>
      <c r="CJ51" s="386" t="str">
        <f t="shared" si="130"/>
        <v/>
      </c>
      <c r="CK51" s="386">
        <f t="shared" si="165"/>
        <v>0</v>
      </c>
      <c r="CL51" s="386" t="str">
        <f t="shared" si="132"/>
        <v/>
      </c>
      <c r="CM51" s="387" t="str">
        <f t="shared" si="133"/>
        <v/>
      </c>
      <c r="CN51" s="682">
        <f t="shared" si="134"/>
        <v>0</v>
      </c>
      <c r="CO51" s="4">
        <f t="shared" si="135"/>
        <v>1.5</v>
      </c>
      <c r="CP51" s="386">
        <f t="shared" si="136"/>
        <v>8.09</v>
      </c>
      <c r="CQ51" s="386">
        <f t="shared" si="166"/>
        <v>9.59</v>
      </c>
      <c r="CR51" s="386">
        <f t="shared" si="138"/>
        <v>10.982840000000001</v>
      </c>
      <c r="CS51" s="387">
        <f t="shared" si="139"/>
        <v>190881.7592</v>
      </c>
      <c r="CT51" s="682" t="str">
        <f t="shared" si="140"/>
        <v/>
      </c>
      <c r="CU51" s="4" t="str">
        <f t="shared" si="141"/>
        <v/>
      </c>
      <c r="CV51" s="386" t="str">
        <f t="shared" si="142"/>
        <v/>
      </c>
      <c r="CW51" s="386">
        <f t="shared" si="167"/>
        <v>0</v>
      </c>
      <c r="CX51" s="386" t="str">
        <f t="shared" si="143"/>
        <v/>
      </c>
      <c r="CY51" s="387" t="str">
        <f t="shared" si="144"/>
        <v/>
      </c>
      <c r="CZ51" s="682" t="str">
        <f t="shared" si="145"/>
        <v/>
      </c>
      <c r="DA51" s="4" t="str">
        <f t="shared" si="146"/>
        <v/>
      </c>
      <c r="DB51" s="386" t="str">
        <f t="shared" si="147"/>
        <v/>
      </c>
      <c r="DC51" s="386">
        <f t="shared" si="168"/>
        <v>0</v>
      </c>
      <c r="DD51" s="386" t="str">
        <f t="shared" si="148"/>
        <v/>
      </c>
      <c r="DE51" s="387" t="str">
        <f t="shared" si="149"/>
        <v/>
      </c>
      <c r="DF51" s="682">
        <f t="shared" si="150"/>
        <v>0</v>
      </c>
      <c r="DG51" s="4">
        <f t="shared" si="151"/>
        <v>5.88</v>
      </c>
      <c r="DH51" s="386">
        <f t="shared" si="152"/>
        <v>0</v>
      </c>
      <c r="DI51" s="386">
        <f t="shared" si="169"/>
        <v>5.88</v>
      </c>
      <c r="DJ51" s="386">
        <f t="shared" si="153"/>
        <v>25.283999999999999</v>
      </c>
      <c r="DK51" s="387">
        <f t="shared" si="154"/>
        <v>416933.16</v>
      </c>
      <c r="DL51" s="682" t="str">
        <f t="shared" si="155"/>
        <v/>
      </c>
      <c r="DM51" s="4" t="str">
        <f t="shared" si="156"/>
        <v/>
      </c>
      <c r="DN51" s="386" t="str">
        <f t="shared" si="157"/>
        <v/>
      </c>
      <c r="DO51" s="386">
        <f t="shared" si="79"/>
        <v>0</v>
      </c>
      <c r="DP51" s="386" t="str">
        <f t="shared" si="158"/>
        <v/>
      </c>
      <c r="DQ51" s="387" t="str">
        <f t="shared" si="159"/>
        <v/>
      </c>
    </row>
    <row r="52" spans="1:121" customFormat="1" x14ac:dyDescent="0.25">
      <c r="A52" t="s">
        <v>184</v>
      </c>
      <c r="B52" t="s">
        <v>33</v>
      </c>
      <c r="C52" t="s">
        <v>34</v>
      </c>
      <c r="D52" t="s">
        <v>106</v>
      </c>
      <c r="E52" t="s">
        <v>107</v>
      </c>
      <c r="F52" t="s">
        <v>185</v>
      </c>
      <c r="G52" t="s">
        <v>186</v>
      </c>
      <c r="H52" s="3"/>
      <c r="I52" s="4"/>
      <c r="J52" s="4"/>
      <c r="K52" s="4"/>
      <c r="L52" s="4"/>
      <c r="M52" s="5"/>
      <c r="N52" s="3"/>
      <c r="O52" s="4"/>
      <c r="P52" s="4"/>
      <c r="Q52" s="4"/>
      <c r="R52" s="4"/>
      <c r="S52" s="5"/>
      <c r="T52" s="3"/>
      <c r="U52" s="4"/>
      <c r="V52" s="4"/>
      <c r="W52" s="4"/>
      <c r="X52" s="4"/>
      <c r="Y52" s="5"/>
      <c r="Z52" s="3"/>
      <c r="AA52" s="4"/>
      <c r="AB52" s="4"/>
      <c r="AC52" s="4"/>
      <c r="AD52" s="4"/>
      <c r="AE52" s="5"/>
      <c r="AF52" s="682">
        <f t="shared" si="91"/>
        <v>0</v>
      </c>
      <c r="AG52" s="4">
        <f t="shared" si="92"/>
        <v>10</v>
      </c>
      <c r="AH52" s="386">
        <f t="shared" si="93"/>
        <v>1616.08</v>
      </c>
      <c r="AI52" s="386">
        <f t="shared" si="160"/>
        <v>1626.08</v>
      </c>
      <c r="AJ52" s="386">
        <f t="shared" si="161"/>
        <v>5432.3785600000001</v>
      </c>
      <c r="AK52" s="387">
        <f t="shared" si="95"/>
        <v>108647571.19999999</v>
      </c>
      <c r="AL52" s="3"/>
      <c r="AM52" s="4"/>
      <c r="AN52" s="4"/>
      <c r="AO52" s="4"/>
      <c r="AP52" s="4"/>
      <c r="AQ52" s="5"/>
      <c r="AR52" s="682">
        <f t="shared" si="96"/>
        <v>0</v>
      </c>
      <c r="AS52" s="4">
        <f t="shared" si="97"/>
        <v>0</v>
      </c>
      <c r="AT52" s="386">
        <f t="shared" si="98"/>
        <v>1250</v>
      </c>
      <c r="AU52" s="386">
        <f t="shared" si="162"/>
        <v>1250</v>
      </c>
      <c r="AV52" s="386">
        <f t="shared" si="99"/>
        <v>1136.2160000000001</v>
      </c>
      <c r="AW52" s="387">
        <f t="shared" si="100"/>
        <v>19315672.000000004</v>
      </c>
      <c r="AX52" s="3"/>
      <c r="AY52" s="4"/>
      <c r="AZ52" s="4"/>
      <c r="BA52" s="4"/>
      <c r="BB52" s="4"/>
      <c r="BC52" s="5"/>
      <c r="BD52" s="682" t="str">
        <f t="shared" si="101"/>
        <v/>
      </c>
      <c r="BE52" s="4" t="str">
        <f t="shared" si="102"/>
        <v/>
      </c>
      <c r="BF52" s="386" t="str">
        <f t="shared" si="103"/>
        <v/>
      </c>
      <c r="BG52" s="386">
        <f t="shared" si="163"/>
        <v>0</v>
      </c>
      <c r="BH52" s="386" t="str">
        <f t="shared" si="105"/>
        <v/>
      </c>
      <c r="BI52" s="387" t="str">
        <f t="shared" si="106"/>
        <v/>
      </c>
      <c r="BJ52" s="682" t="str">
        <f t="shared" si="107"/>
        <v/>
      </c>
      <c r="BK52" s="4" t="str">
        <f t="shared" si="108"/>
        <v/>
      </c>
      <c r="BL52" s="386" t="str">
        <f t="shared" si="109"/>
        <v/>
      </c>
      <c r="BM52" s="386">
        <f t="shared" si="25"/>
        <v>0</v>
      </c>
      <c r="BN52" s="386" t="str">
        <f t="shared" si="110"/>
        <v/>
      </c>
      <c r="BO52" s="387" t="str">
        <f t="shared" si="111"/>
        <v/>
      </c>
      <c r="BP52" s="682" t="str">
        <f t="shared" si="112"/>
        <v/>
      </c>
      <c r="BQ52" s="4" t="str">
        <f t="shared" si="113"/>
        <v/>
      </c>
      <c r="BR52" s="386" t="str">
        <f t="shared" si="114"/>
        <v/>
      </c>
      <c r="BS52" s="386">
        <f t="shared" si="164"/>
        <v>0</v>
      </c>
      <c r="BT52" s="386" t="str">
        <f t="shared" si="116"/>
        <v/>
      </c>
      <c r="BU52" s="387" t="str">
        <f t="shared" si="117"/>
        <v/>
      </c>
      <c r="BV52" s="682" t="str">
        <f t="shared" si="118"/>
        <v/>
      </c>
      <c r="BW52" s="4" t="str">
        <f t="shared" si="119"/>
        <v/>
      </c>
      <c r="BX52" s="386" t="str">
        <f t="shared" si="120"/>
        <v/>
      </c>
      <c r="BY52" s="386">
        <f t="shared" si="37"/>
        <v>0</v>
      </c>
      <c r="BZ52" s="386" t="str">
        <f t="shared" si="121"/>
        <v/>
      </c>
      <c r="CA52" s="387" t="str">
        <f t="shared" si="122"/>
        <v/>
      </c>
      <c r="CB52" s="682" t="str">
        <f t="shared" si="123"/>
        <v/>
      </c>
      <c r="CC52" s="4" t="str">
        <f t="shared" si="124"/>
        <v/>
      </c>
      <c r="CD52" s="386" t="str">
        <f t="shared" si="125"/>
        <v/>
      </c>
      <c r="CE52" s="386">
        <f t="shared" si="43"/>
        <v>0</v>
      </c>
      <c r="CF52" s="386" t="str">
        <f t="shared" si="126"/>
        <v/>
      </c>
      <c r="CG52" s="387" t="str">
        <f t="shared" si="127"/>
        <v/>
      </c>
      <c r="CH52" s="682" t="str">
        <f t="shared" si="128"/>
        <v/>
      </c>
      <c r="CI52" s="4" t="str">
        <f t="shared" si="129"/>
        <v/>
      </c>
      <c r="CJ52" s="386" t="str">
        <f t="shared" si="130"/>
        <v/>
      </c>
      <c r="CK52" s="386">
        <f t="shared" si="165"/>
        <v>0</v>
      </c>
      <c r="CL52" s="386" t="str">
        <f t="shared" si="132"/>
        <v/>
      </c>
      <c r="CM52" s="387" t="str">
        <f t="shared" si="133"/>
        <v/>
      </c>
      <c r="CN52" s="682">
        <f t="shared" si="134"/>
        <v>0</v>
      </c>
      <c r="CO52" s="4">
        <f t="shared" si="135"/>
        <v>15</v>
      </c>
      <c r="CP52" s="386">
        <f t="shared" si="136"/>
        <v>87.65</v>
      </c>
      <c r="CQ52" s="386">
        <f t="shared" si="166"/>
        <v>102.65</v>
      </c>
      <c r="CR52" s="386">
        <f t="shared" si="138"/>
        <v>83.633200000000016</v>
      </c>
      <c r="CS52" s="387">
        <f t="shared" si="139"/>
        <v>1453545.0160000003</v>
      </c>
      <c r="CT52" s="682" t="str">
        <f t="shared" si="140"/>
        <v/>
      </c>
      <c r="CU52" s="4" t="str">
        <f t="shared" si="141"/>
        <v/>
      </c>
      <c r="CV52" s="386" t="str">
        <f t="shared" si="142"/>
        <v/>
      </c>
      <c r="CW52" s="386">
        <f t="shared" si="167"/>
        <v>0</v>
      </c>
      <c r="CX52" s="386" t="str">
        <f t="shared" si="143"/>
        <v/>
      </c>
      <c r="CY52" s="387" t="str">
        <f t="shared" si="144"/>
        <v/>
      </c>
      <c r="CZ52" s="682" t="str">
        <f t="shared" si="145"/>
        <v/>
      </c>
      <c r="DA52" s="4" t="str">
        <f t="shared" si="146"/>
        <v/>
      </c>
      <c r="DB52" s="386" t="str">
        <f t="shared" si="147"/>
        <v/>
      </c>
      <c r="DC52" s="386">
        <f t="shared" si="168"/>
        <v>0</v>
      </c>
      <c r="DD52" s="386" t="str">
        <f t="shared" si="148"/>
        <v/>
      </c>
      <c r="DE52" s="387" t="str">
        <f t="shared" si="149"/>
        <v/>
      </c>
      <c r="DF52" s="682" t="str">
        <f t="shared" si="150"/>
        <v/>
      </c>
      <c r="DG52" s="4" t="str">
        <f t="shared" si="151"/>
        <v/>
      </c>
      <c r="DH52" s="386" t="str">
        <f t="shared" si="152"/>
        <v/>
      </c>
      <c r="DI52" s="386">
        <f t="shared" si="169"/>
        <v>0</v>
      </c>
      <c r="DJ52" s="386" t="str">
        <f t="shared" si="153"/>
        <v/>
      </c>
      <c r="DK52" s="387" t="str">
        <f t="shared" si="154"/>
        <v/>
      </c>
      <c r="DL52" s="682" t="str">
        <f t="shared" si="155"/>
        <v/>
      </c>
      <c r="DM52" s="4" t="str">
        <f t="shared" si="156"/>
        <v/>
      </c>
      <c r="DN52" s="386" t="str">
        <f t="shared" si="157"/>
        <v/>
      </c>
      <c r="DO52" s="386">
        <f t="shared" si="79"/>
        <v>0</v>
      </c>
      <c r="DP52" s="386" t="str">
        <f t="shared" si="158"/>
        <v/>
      </c>
      <c r="DQ52" s="387" t="str">
        <f t="shared" si="159"/>
        <v/>
      </c>
    </row>
    <row r="53" spans="1:121" customFormat="1" x14ac:dyDescent="0.25">
      <c r="A53" t="s">
        <v>187</v>
      </c>
      <c r="B53" t="s">
        <v>33</v>
      </c>
      <c r="C53" t="s">
        <v>34</v>
      </c>
      <c r="D53" t="s">
        <v>106</v>
      </c>
      <c r="E53" t="s">
        <v>107</v>
      </c>
      <c r="F53" t="s">
        <v>188</v>
      </c>
      <c r="G53" t="s">
        <v>189</v>
      </c>
      <c r="H53" s="3"/>
      <c r="I53" s="4"/>
      <c r="J53" s="4"/>
      <c r="K53" s="4"/>
      <c r="L53" s="4"/>
      <c r="M53" s="5"/>
      <c r="N53" s="3"/>
      <c r="O53" s="4"/>
      <c r="P53" s="4"/>
      <c r="Q53" s="4"/>
      <c r="R53" s="4"/>
      <c r="S53" s="5"/>
      <c r="T53" s="3"/>
      <c r="U53" s="4"/>
      <c r="V53" s="4"/>
      <c r="W53" s="4"/>
      <c r="X53" s="4"/>
      <c r="Y53" s="5"/>
      <c r="Z53" s="3"/>
      <c r="AA53" s="4"/>
      <c r="AB53" s="4"/>
      <c r="AC53" s="4"/>
      <c r="AD53" s="4"/>
      <c r="AE53" s="5"/>
      <c r="AF53" s="682">
        <f t="shared" si="91"/>
        <v>0</v>
      </c>
      <c r="AG53" s="4">
        <f t="shared" si="92"/>
        <v>0</v>
      </c>
      <c r="AH53" s="386">
        <f t="shared" si="93"/>
        <v>207</v>
      </c>
      <c r="AI53" s="386">
        <f t="shared" si="160"/>
        <v>207</v>
      </c>
      <c r="AJ53" s="386">
        <f t="shared" si="161"/>
        <v>492.65999999999997</v>
      </c>
      <c r="AK53" s="387">
        <f t="shared" si="95"/>
        <v>9853199.9999999981</v>
      </c>
      <c r="AL53" s="3"/>
      <c r="AM53" s="4"/>
      <c r="AN53" s="4"/>
      <c r="AO53" s="4"/>
      <c r="AP53" s="4"/>
      <c r="AQ53" s="5"/>
      <c r="AR53" s="682">
        <f t="shared" si="96"/>
        <v>2174</v>
      </c>
      <c r="AS53" s="4">
        <f t="shared" si="97"/>
        <v>0</v>
      </c>
      <c r="AT53" s="386">
        <f t="shared" si="98"/>
        <v>1088</v>
      </c>
      <c r="AU53" s="386">
        <f t="shared" si="162"/>
        <v>1088</v>
      </c>
      <c r="AV53" s="386">
        <f t="shared" si="99"/>
        <v>1599.9360000000001</v>
      </c>
      <c r="AW53" s="387">
        <f t="shared" si="100"/>
        <v>27198912</v>
      </c>
      <c r="AX53" s="3"/>
      <c r="AY53" s="4"/>
      <c r="AZ53" s="4"/>
      <c r="BA53" s="4"/>
      <c r="BB53" s="4"/>
      <c r="BC53" s="5"/>
      <c r="BD53" s="682">
        <f t="shared" si="101"/>
        <v>0</v>
      </c>
      <c r="BE53" s="4">
        <f t="shared" si="102"/>
        <v>46.61</v>
      </c>
      <c r="BF53" s="386">
        <f t="shared" si="103"/>
        <v>42.26</v>
      </c>
      <c r="BG53" s="386">
        <f t="shared" si="163"/>
        <v>88.87</v>
      </c>
      <c r="BH53" s="386">
        <f t="shared" si="105"/>
        <v>0</v>
      </c>
      <c r="BI53" s="387">
        <f t="shared" si="106"/>
        <v>920504.2</v>
      </c>
      <c r="BJ53" s="682" t="str">
        <f t="shared" si="107"/>
        <v/>
      </c>
      <c r="BK53" s="4" t="str">
        <f t="shared" si="108"/>
        <v/>
      </c>
      <c r="BL53" s="386" t="str">
        <f t="shared" si="109"/>
        <v/>
      </c>
      <c r="BM53" s="386">
        <f t="shared" si="25"/>
        <v>0</v>
      </c>
      <c r="BN53" s="386" t="str">
        <f t="shared" si="110"/>
        <v/>
      </c>
      <c r="BO53" s="387" t="str">
        <f t="shared" si="111"/>
        <v/>
      </c>
      <c r="BP53" s="682">
        <f t="shared" si="112"/>
        <v>0</v>
      </c>
      <c r="BQ53" s="4">
        <f t="shared" si="113"/>
        <v>0</v>
      </c>
      <c r="BR53" s="386">
        <f t="shared" si="114"/>
        <v>85</v>
      </c>
      <c r="BS53" s="386">
        <f t="shared" si="164"/>
        <v>85</v>
      </c>
      <c r="BT53" s="386">
        <f t="shared" si="116"/>
        <v>37.230000000000004</v>
      </c>
      <c r="BU53" s="387">
        <f t="shared" si="117"/>
        <v>595680.00000000012</v>
      </c>
      <c r="BV53" s="682" t="str">
        <f t="shared" si="118"/>
        <v/>
      </c>
      <c r="BW53" s="4" t="str">
        <f t="shared" si="119"/>
        <v/>
      </c>
      <c r="BX53" s="386" t="str">
        <f t="shared" si="120"/>
        <v/>
      </c>
      <c r="BY53" s="386">
        <f t="shared" si="37"/>
        <v>0</v>
      </c>
      <c r="BZ53" s="386" t="str">
        <f t="shared" si="121"/>
        <v/>
      </c>
      <c r="CA53" s="387" t="str">
        <f t="shared" si="122"/>
        <v/>
      </c>
      <c r="CB53" s="682" t="str">
        <f t="shared" si="123"/>
        <v/>
      </c>
      <c r="CC53" s="4" t="str">
        <f t="shared" si="124"/>
        <v/>
      </c>
      <c r="CD53" s="386" t="str">
        <f t="shared" si="125"/>
        <v/>
      </c>
      <c r="CE53" s="386">
        <f t="shared" si="43"/>
        <v>0</v>
      </c>
      <c r="CF53" s="386" t="str">
        <f t="shared" si="126"/>
        <v/>
      </c>
      <c r="CG53" s="387" t="str">
        <f t="shared" si="127"/>
        <v/>
      </c>
      <c r="CH53" s="682" t="str">
        <f t="shared" si="128"/>
        <v/>
      </c>
      <c r="CI53" s="4" t="str">
        <f t="shared" si="129"/>
        <v/>
      </c>
      <c r="CJ53" s="386" t="str">
        <f t="shared" si="130"/>
        <v/>
      </c>
      <c r="CK53" s="386">
        <f t="shared" si="165"/>
        <v>0</v>
      </c>
      <c r="CL53" s="386" t="str">
        <f t="shared" si="132"/>
        <v/>
      </c>
      <c r="CM53" s="387" t="str">
        <f t="shared" si="133"/>
        <v/>
      </c>
      <c r="CN53" s="682" t="str">
        <f t="shared" si="134"/>
        <v/>
      </c>
      <c r="CO53" s="4" t="str">
        <f t="shared" si="135"/>
        <v/>
      </c>
      <c r="CP53" s="386" t="str">
        <f t="shared" si="136"/>
        <v/>
      </c>
      <c r="CQ53" s="386">
        <f t="shared" si="166"/>
        <v>0</v>
      </c>
      <c r="CR53" s="386" t="str">
        <f t="shared" si="138"/>
        <v/>
      </c>
      <c r="CS53" s="387" t="str">
        <f t="shared" si="139"/>
        <v/>
      </c>
      <c r="CT53" s="682" t="str">
        <f t="shared" si="140"/>
        <v/>
      </c>
      <c r="CU53" s="4" t="str">
        <f t="shared" si="141"/>
        <v/>
      </c>
      <c r="CV53" s="386" t="str">
        <f t="shared" si="142"/>
        <v/>
      </c>
      <c r="CW53" s="386">
        <f t="shared" si="167"/>
        <v>0</v>
      </c>
      <c r="CX53" s="386" t="str">
        <f t="shared" si="143"/>
        <v/>
      </c>
      <c r="CY53" s="387" t="str">
        <f t="shared" si="144"/>
        <v/>
      </c>
      <c r="CZ53" s="682" t="str">
        <f t="shared" si="145"/>
        <v/>
      </c>
      <c r="DA53" s="4" t="str">
        <f t="shared" si="146"/>
        <v/>
      </c>
      <c r="DB53" s="386" t="str">
        <f t="shared" si="147"/>
        <v/>
      </c>
      <c r="DC53" s="386">
        <f t="shared" si="168"/>
        <v>0</v>
      </c>
      <c r="DD53" s="386" t="str">
        <f t="shared" si="148"/>
        <v/>
      </c>
      <c r="DE53" s="387" t="str">
        <f t="shared" si="149"/>
        <v/>
      </c>
      <c r="DF53" s="682" t="str">
        <f t="shared" si="150"/>
        <v/>
      </c>
      <c r="DG53" s="4" t="str">
        <f t="shared" si="151"/>
        <v/>
      </c>
      <c r="DH53" s="386" t="str">
        <f t="shared" si="152"/>
        <v/>
      </c>
      <c r="DI53" s="386">
        <f t="shared" si="169"/>
        <v>0</v>
      </c>
      <c r="DJ53" s="386" t="str">
        <f t="shared" si="153"/>
        <v/>
      </c>
      <c r="DK53" s="387" t="str">
        <f t="shared" si="154"/>
        <v/>
      </c>
      <c r="DL53" s="682" t="str">
        <f t="shared" si="155"/>
        <v/>
      </c>
      <c r="DM53" s="4" t="str">
        <f t="shared" si="156"/>
        <v/>
      </c>
      <c r="DN53" s="386" t="str">
        <f t="shared" si="157"/>
        <v/>
      </c>
      <c r="DO53" s="386">
        <f t="shared" si="79"/>
        <v>0</v>
      </c>
      <c r="DP53" s="386" t="str">
        <f t="shared" si="158"/>
        <v/>
      </c>
      <c r="DQ53" s="387" t="str">
        <f t="shared" si="159"/>
        <v/>
      </c>
    </row>
    <row r="54" spans="1:121" customFormat="1" x14ac:dyDescent="0.25">
      <c r="A54" t="s">
        <v>190</v>
      </c>
      <c r="B54" t="s">
        <v>33</v>
      </c>
      <c r="C54" t="s">
        <v>34</v>
      </c>
      <c r="D54" t="s">
        <v>106</v>
      </c>
      <c r="E54" t="s">
        <v>107</v>
      </c>
      <c r="F54" t="s">
        <v>191</v>
      </c>
      <c r="G54" t="s">
        <v>192</v>
      </c>
      <c r="H54" s="3"/>
      <c r="I54" s="4"/>
      <c r="J54" s="4"/>
      <c r="K54" s="4"/>
      <c r="L54" s="4"/>
      <c r="M54" s="5"/>
      <c r="N54" s="3"/>
      <c r="O54" s="4"/>
      <c r="P54" s="4"/>
      <c r="Q54" s="4"/>
      <c r="R54" s="4"/>
      <c r="S54" s="5"/>
      <c r="T54" s="3"/>
      <c r="U54" s="4"/>
      <c r="V54" s="4"/>
      <c r="W54" s="4"/>
      <c r="X54" s="4"/>
      <c r="Y54" s="5"/>
      <c r="Z54" s="3"/>
      <c r="AA54" s="4"/>
      <c r="AB54" s="4"/>
      <c r="AC54" s="4"/>
      <c r="AD54" s="4"/>
      <c r="AE54" s="5"/>
      <c r="AF54" s="682" t="str">
        <f t="shared" si="91"/>
        <v/>
      </c>
      <c r="AG54" s="4" t="str">
        <f t="shared" si="92"/>
        <v/>
      </c>
      <c r="AH54" s="386" t="str">
        <f t="shared" si="93"/>
        <v/>
      </c>
      <c r="AI54" s="386">
        <f t="shared" si="160"/>
        <v>0</v>
      </c>
      <c r="AJ54" s="386" t="str">
        <f t="shared" si="161"/>
        <v/>
      </c>
      <c r="AK54" s="387" t="str">
        <f t="shared" si="95"/>
        <v/>
      </c>
      <c r="AL54" s="3"/>
      <c r="AM54" s="4"/>
      <c r="AN54" s="4"/>
      <c r="AO54" s="4"/>
      <c r="AP54" s="4"/>
      <c r="AQ54" s="5"/>
      <c r="AR54" s="682">
        <f t="shared" si="96"/>
        <v>603</v>
      </c>
      <c r="AS54" s="4">
        <f t="shared" si="97"/>
        <v>0</v>
      </c>
      <c r="AT54" s="386">
        <f t="shared" si="98"/>
        <v>453</v>
      </c>
      <c r="AU54" s="386">
        <f t="shared" si="162"/>
        <v>453</v>
      </c>
      <c r="AV54" s="386">
        <f t="shared" si="99"/>
        <v>497.70000000000005</v>
      </c>
      <c r="AW54" s="387">
        <f t="shared" si="100"/>
        <v>8460900</v>
      </c>
      <c r="AX54" s="3"/>
      <c r="AY54" s="4"/>
      <c r="AZ54" s="4"/>
      <c r="BA54" s="4"/>
      <c r="BB54" s="4"/>
      <c r="BC54" s="5"/>
      <c r="BD54" s="682">
        <f t="shared" si="101"/>
        <v>0</v>
      </c>
      <c r="BE54" s="4">
        <f t="shared" si="102"/>
        <v>23.3</v>
      </c>
      <c r="BF54" s="386">
        <f t="shared" si="103"/>
        <v>23.3</v>
      </c>
      <c r="BG54" s="386">
        <f t="shared" si="163"/>
        <v>46.6</v>
      </c>
      <c r="BH54" s="386">
        <f t="shared" si="105"/>
        <v>22.5</v>
      </c>
      <c r="BI54" s="387">
        <f t="shared" si="106"/>
        <v>506940</v>
      </c>
      <c r="BJ54" s="682" t="str">
        <f t="shared" si="107"/>
        <v/>
      </c>
      <c r="BK54" s="4" t="str">
        <f t="shared" si="108"/>
        <v/>
      </c>
      <c r="BL54" s="386" t="str">
        <f t="shared" si="109"/>
        <v/>
      </c>
      <c r="BM54" s="386">
        <f t="shared" si="25"/>
        <v>0</v>
      </c>
      <c r="BN54" s="386" t="str">
        <f t="shared" si="110"/>
        <v/>
      </c>
      <c r="BO54" s="387" t="str">
        <f t="shared" si="111"/>
        <v/>
      </c>
      <c r="BP54" s="682">
        <f t="shared" si="112"/>
        <v>0</v>
      </c>
      <c r="BQ54" s="4">
        <f t="shared" si="113"/>
        <v>0</v>
      </c>
      <c r="BR54" s="386">
        <f t="shared" si="114"/>
        <v>195</v>
      </c>
      <c r="BS54" s="386">
        <f t="shared" si="164"/>
        <v>195</v>
      </c>
      <c r="BT54" s="386">
        <f t="shared" si="116"/>
        <v>128.11500000000001</v>
      </c>
      <c r="BU54" s="387">
        <f t="shared" si="117"/>
        <v>2049840.0000000002</v>
      </c>
      <c r="BV54" s="682" t="str">
        <f t="shared" si="118"/>
        <v/>
      </c>
      <c r="BW54" s="4" t="str">
        <f t="shared" si="119"/>
        <v/>
      </c>
      <c r="BX54" s="386" t="str">
        <f t="shared" si="120"/>
        <v/>
      </c>
      <c r="BY54" s="386">
        <f t="shared" si="37"/>
        <v>0</v>
      </c>
      <c r="BZ54" s="386" t="str">
        <f t="shared" si="121"/>
        <v/>
      </c>
      <c r="CA54" s="387" t="str">
        <f t="shared" si="122"/>
        <v/>
      </c>
      <c r="CB54" s="682" t="str">
        <f t="shared" si="123"/>
        <v/>
      </c>
      <c r="CC54" s="4" t="str">
        <f t="shared" si="124"/>
        <v/>
      </c>
      <c r="CD54" s="386" t="str">
        <f t="shared" si="125"/>
        <v/>
      </c>
      <c r="CE54" s="386">
        <f t="shared" si="43"/>
        <v>0</v>
      </c>
      <c r="CF54" s="386" t="str">
        <f t="shared" si="126"/>
        <v/>
      </c>
      <c r="CG54" s="387" t="str">
        <f t="shared" si="127"/>
        <v/>
      </c>
      <c r="CH54" s="682" t="str">
        <f t="shared" si="128"/>
        <v/>
      </c>
      <c r="CI54" s="4" t="str">
        <f t="shared" si="129"/>
        <v/>
      </c>
      <c r="CJ54" s="386" t="str">
        <f t="shared" si="130"/>
        <v/>
      </c>
      <c r="CK54" s="386">
        <f t="shared" si="165"/>
        <v>0</v>
      </c>
      <c r="CL54" s="386" t="str">
        <f t="shared" si="132"/>
        <v/>
      </c>
      <c r="CM54" s="387" t="str">
        <f t="shared" si="133"/>
        <v/>
      </c>
      <c r="CN54" s="682">
        <f t="shared" si="134"/>
        <v>0</v>
      </c>
      <c r="CO54" s="4">
        <f t="shared" si="135"/>
        <v>0.06</v>
      </c>
      <c r="CP54" s="386">
        <f t="shared" si="136"/>
        <v>2.25</v>
      </c>
      <c r="CQ54" s="386">
        <f t="shared" si="166"/>
        <v>2.31</v>
      </c>
      <c r="CR54" s="386">
        <f t="shared" si="138"/>
        <v>4.1856</v>
      </c>
      <c r="CS54" s="387">
        <f t="shared" si="139"/>
        <v>72745.728000000003</v>
      </c>
      <c r="CT54" s="682" t="str">
        <f t="shared" si="140"/>
        <v/>
      </c>
      <c r="CU54" s="4" t="str">
        <f t="shared" si="141"/>
        <v/>
      </c>
      <c r="CV54" s="386" t="str">
        <f t="shared" si="142"/>
        <v/>
      </c>
      <c r="CW54" s="386">
        <f t="shared" si="167"/>
        <v>0</v>
      </c>
      <c r="CX54" s="386" t="str">
        <f t="shared" si="143"/>
        <v/>
      </c>
      <c r="CY54" s="387" t="str">
        <f t="shared" si="144"/>
        <v/>
      </c>
      <c r="CZ54" s="682" t="str">
        <f t="shared" si="145"/>
        <v/>
      </c>
      <c r="DA54" s="4" t="str">
        <f t="shared" si="146"/>
        <v/>
      </c>
      <c r="DB54" s="386" t="str">
        <f t="shared" si="147"/>
        <v/>
      </c>
      <c r="DC54" s="386">
        <f t="shared" si="168"/>
        <v>0</v>
      </c>
      <c r="DD54" s="386" t="str">
        <f t="shared" si="148"/>
        <v/>
      </c>
      <c r="DE54" s="387" t="str">
        <f t="shared" si="149"/>
        <v/>
      </c>
      <c r="DF54" s="682" t="str">
        <f t="shared" si="150"/>
        <v/>
      </c>
      <c r="DG54" s="4" t="str">
        <f t="shared" si="151"/>
        <v/>
      </c>
      <c r="DH54" s="386" t="str">
        <f t="shared" si="152"/>
        <v/>
      </c>
      <c r="DI54" s="386">
        <f t="shared" si="169"/>
        <v>0</v>
      </c>
      <c r="DJ54" s="386" t="str">
        <f t="shared" si="153"/>
        <v/>
      </c>
      <c r="DK54" s="387" t="str">
        <f t="shared" si="154"/>
        <v/>
      </c>
      <c r="DL54" s="682" t="str">
        <f t="shared" si="155"/>
        <v/>
      </c>
      <c r="DM54" s="4" t="str">
        <f t="shared" si="156"/>
        <v/>
      </c>
      <c r="DN54" s="386" t="str">
        <f t="shared" si="157"/>
        <v/>
      </c>
      <c r="DO54" s="386">
        <f t="shared" si="79"/>
        <v>0</v>
      </c>
      <c r="DP54" s="386" t="str">
        <f t="shared" si="158"/>
        <v/>
      </c>
      <c r="DQ54" s="387" t="str">
        <f t="shared" si="159"/>
        <v/>
      </c>
    </row>
    <row r="55" spans="1:121" customFormat="1" x14ac:dyDescent="0.25">
      <c r="A55" t="s">
        <v>193</v>
      </c>
      <c r="B55" t="s">
        <v>33</v>
      </c>
      <c r="C55" t="s">
        <v>34</v>
      </c>
      <c r="D55" t="s">
        <v>106</v>
      </c>
      <c r="E55" t="s">
        <v>107</v>
      </c>
      <c r="F55" t="s">
        <v>194</v>
      </c>
      <c r="G55" t="s">
        <v>195</v>
      </c>
      <c r="H55" s="3"/>
      <c r="I55" s="4"/>
      <c r="J55" s="4"/>
      <c r="K55" s="4"/>
      <c r="L55" s="4"/>
      <c r="M55" s="5"/>
      <c r="N55" s="3"/>
      <c r="O55" s="4"/>
      <c r="P55" s="4"/>
      <c r="Q55" s="4"/>
      <c r="R55" s="4"/>
      <c r="S55" s="5"/>
      <c r="T55" s="3"/>
      <c r="U55" s="4"/>
      <c r="V55" s="4"/>
      <c r="W55" s="4"/>
      <c r="X55" s="4"/>
      <c r="Y55" s="5"/>
      <c r="Z55" s="3"/>
      <c r="AA55" s="4"/>
      <c r="AB55" s="4"/>
      <c r="AC55" s="4"/>
      <c r="AD55" s="4"/>
      <c r="AE55" s="5"/>
      <c r="AF55" s="682">
        <f t="shared" si="91"/>
        <v>0</v>
      </c>
      <c r="AG55" s="4">
        <f t="shared" si="92"/>
        <v>1.5</v>
      </c>
      <c r="AH55" s="386">
        <f t="shared" si="93"/>
        <v>98</v>
      </c>
      <c r="AI55" s="386">
        <f t="shared" si="160"/>
        <v>99.5</v>
      </c>
      <c r="AJ55" s="386">
        <f t="shared" si="161"/>
        <v>123.75999999999999</v>
      </c>
      <c r="AK55" s="387">
        <f t="shared" si="95"/>
        <v>2475199.9999999995</v>
      </c>
      <c r="AL55" s="3"/>
      <c r="AM55" s="4"/>
      <c r="AN55" s="4"/>
      <c r="AO55" s="4"/>
      <c r="AP55" s="4"/>
      <c r="AQ55" s="5"/>
      <c r="AR55" s="682">
        <f t="shared" si="96"/>
        <v>205</v>
      </c>
      <c r="AS55" s="4">
        <f t="shared" si="97"/>
        <v>0</v>
      </c>
      <c r="AT55" s="386">
        <f t="shared" si="98"/>
        <v>103</v>
      </c>
      <c r="AU55" s="386">
        <f t="shared" si="162"/>
        <v>103</v>
      </c>
      <c r="AV55" s="386">
        <f t="shared" si="99"/>
        <v>85.238</v>
      </c>
      <c r="AW55" s="387">
        <f t="shared" si="100"/>
        <v>1449046</v>
      </c>
      <c r="AX55" s="3"/>
      <c r="AY55" s="4"/>
      <c r="AZ55" s="4"/>
      <c r="BA55" s="4"/>
      <c r="BB55" s="4"/>
      <c r="BC55" s="5"/>
      <c r="BD55" s="682">
        <f t="shared" si="101"/>
        <v>0</v>
      </c>
      <c r="BE55" s="4">
        <f t="shared" si="102"/>
        <v>2.5</v>
      </c>
      <c r="BF55" s="386">
        <f t="shared" si="103"/>
        <v>2.5</v>
      </c>
      <c r="BG55" s="386">
        <f t="shared" si="163"/>
        <v>5</v>
      </c>
      <c r="BH55" s="386">
        <f t="shared" si="105"/>
        <v>0</v>
      </c>
      <c r="BI55" s="387">
        <f t="shared" si="106"/>
        <v>53900</v>
      </c>
      <c r="BJ55" s="682" t="str">
        <f t="shared" si="107"/>
        <v/>
      </c>
      <c r="BK55" s="4" t="str">
        <f t="shared" si="108"/>
        <v/>
      </c>
      <c r="BL55" s="386" t="str">
        <f t="shared" si="109"/>
        <v/>
      </c>
      <c r="BM55" s="386">
        <f t="shared" si="25"/>
        <v>0</v>
      </c>
      <c r="BN55" s="386" t="str">
        <f t="shared" si="110"/>
        <v/>
      </c>
      <c r="BO55" s="387" t="str">
        <f t="shared" si="111"/>
        <v/>
      </c>
      <c r="BP55" s="682">
        <f t="shared" si="112"/>
        <v>0</v>
      </c>
      <c r="BQ55" s="4">
        <f t="shared" si="113"/>
        <v>0</v>
      </c>
      <c r="BR55" s="386">
        <f t="shared" si="114"/>
        <v>10</v>
      </c>
      <c r="BS55" s="386">
        <f t="shared" si="164"/>
        <v>10</v>
      </c>
      <c r="BT55" s="386">
        <f t="shared" si="116"/>
        <v>8.76</v>
      </c>
      <c r="BU55" s="387">
        <f t="shared" si="117"/>
        <v>140160</v>
      </c>
      <c r="BV55" s="682" t="str">
        <f t="shared" si="118"/>
        <v/>
      </c>
      <c r="BW55" s="4" t="str">
        <f t="shared" si="119"/>
        <v/>
      </c>
      <c r="BX55" s="386" t="str">
        <f t="shared" si="120"/>
        <v/>
      </c>
      <c r="BY55" s="386">
        <f t="shared" si="37"/>
        <v>0</v>
      </c>
      <c r="BZ55" s="386" t="str">
        <f t="shared" si="121"/>
        <v/>
      </c>
      <c r="CA55" s="387" t="str">
        <f t="shared" si="122"/>
        <v/>
      </c>
      <c r="CB55" s="682" t="str">
        <f t="shared" si="123"/>
        <v/>
      </c>
      <c r="CC55" s="4" t="str">
        <f t="shared" si="124"/>
        <v/>
      </c>
      <c r="CD55" s="386" t="str">
        <f t="shared" si="125"/>
        <v/>
      </c>
      <c r="CE55" s="386">
        <f t="shared" si="43"/>
        <v>0</v>
      </c>
      <c r="CF55" s="386" t="str">
        <f t="shared" si="126"/>
        <v/>
      </c>
      <c r="CG55" s="387" t="str">
        <f t="shared" si="127"/>
        <v/>
      </c>
      <c r="CH55" s="682" t="str">
        <f t="shared" si="128"/>
        <v/>
      </c>
      <c r="CI55" s="4" t="str">
        <f t="shared" si="129"/>
        <v/>
      </c>
      <c r="CJ55" s="386" t="str">
        <f t="shared" si="130"/>
        <v/>
      </c>
      <c r="CK55" s="386">
        <f t="shared" si="165"/>
        <v>0</v>
      </c>
      <c r="CL55" s="386" t="str">
        <f t="shared" si="132"/>
        <v/>
      </c>
      <c r="CM55" s="387" t="str">
        <f t="shared" si="133"/>
        <v/>
      </c>
      <c r="CN55" s="682" t="str">
        <f t="shared" si="134"/>
        <v/>
      </c>
      <c r="CO55" s="4" t="str">
        <f t="shared" si="135"/>
        <v/>
      </c>
      <c r="CP55" s="386" t="str">
        <f t="shared" si="136"/>
        <v/>
      </c>
      <c r="CQ55" s="386">
        <f t="shared" si="166"/>
        <v>0</v>
      </c>
      <c r="CR55" s="386" t="str">
        <f t="shared" si="138"/>
        <v/>
      </c>
      <c r="CS55" s="387" t="str">
        <f t="shared" si="139"/>
        <v/>
      </c>
      <c r="CT55" s="682" t="str">
        <f t="shared" si="140"/>
        <v/>
      </c>
      <c r="CU55" s="4" t="str">
        <f t="shared" si="141"/>
        <v/>
      </c>
      <c r="CV55" s="386" t="str">
        <f t="shared" si="142"/>
        <v/>
      </c>
      <c r="CW55" s="386">
        <f t="shared" si="167"/>
        <v>0</v>
      </c>
      <c r="CX55" s="386" t="str">
        <f t="shared" si="143"/>
        <v/>
      </c>
      <c r="CY55" s="387" t="str">
        <f t="shared" si="144"/>
        <v/>
      </c>
      <c r="CZ55" s="682" t="str">
        <f t="shared" si="145"/>
        <v/>
      </c>
      <c r="DA55" s="4" t="str">
        <f t="shared" si="146"/>
        <v/>
      </c>
      <c r="DB55" s="386" t="str">
        <f t="shared" si="147"/>
        <v/>
      </c>
      <c r="DC55" s="386">
        <f t="shared" si="168"/>
        <v>0</v>
      </c>
      <c r="DD55" s="386" t="str">
        <f t="shared" si="148"/>
        <v/>
      </c>
      <c r="DE55" s="387" t="str">
        <f t="shared" si="149"/>
        <v/>
      </c>
      <c r="DF55" s="682" t="str">
        <f t="shared" si="150"/>
        <v/>
      </c>
      <c r="DG55" s="4" t="str">
        <f t="shared" si="151"/>
        <v/>
      </c>
      <c r="DH55" s="386" t="str">
        <f t="shared" si="152"/>
        <v/>
      </c>
      <c r="DI55" s="386">
        <f t="shared" si="169"/>
        <v>0</v>
      </c>
      <c r="DJ55" s="386" t="str">
        <f t="shared" si="153"/>
        <v/>
      </c>
      <c r="DK55" s="387" t="str">
        <f t="shared" si="154"/>
        <v/>
      </c>
      <c r="DL55" s="682" t="str">
        <f t="shared" si="155"/>
        <v/>
      </c>
      <c r="DM55" s="4" t="str">
        <f t="shared" si="156"/>
        <v/>
      </c>
      <c r="DN55" s="386" t="str">
        <f t="shared" si="157"/>
        <v/>
      </c>
      <c r="DO55" s="386">
        <f t="shared" si="79"/>
        <v>0</v>
      </c>
      <c r="DP55" s="386" t="str">
        <f t="shared" si="158"/>
        <v/>
      </c>
      <c r="DQ55" s="387" t="str">
        <f t="shared" si="159"/>
        <v/>
      </c>
    </row>
    <row r="56" spans="1:121" customFormat="1" x14ac:dyDescent="0.25">
      <c r="A56" t="s">
        <v>196</v>
      </c>
      <c r="B56" t="s">
        <v>33</v>
      </c>
      <c r="C56" t="s">
        <v>34</v>
      </c>
      <c r="D56" t="s">
        <v>106</v>
      </c>
      <c r="E56" t="s">
        <v>107</v>
      </c>
      <c r="F56" t="s">
        <v>197</v>
      </c>
      <c r="G56" t="s">
        <v>198</v>
      </c>
      <c r="H56" s="3"/>
      <c r="I56" s="4"/>
      <c r="J56" s="4"/>
      <c r="K56" s="4"/>
      <c r="L56" s="4"/>
      <c r="M56" s="5"/>
      <c r="N56" s="3"/>
      <c r="O56" s="4"/>
      <c r="P56" s="4"/>
      <c r="Q56" s="4"/>
      <c r="R56" s="4"/>
      <c r="S56" s="5"/>
      <c r="T56" s="3"/>
      <c r="U56" s="4"/>
      <c r="V56" s="4"/>
      <c r="W56" s="4"/>
      <c r="X56" s="4"/>
      <c r="Y56" s="5"/>
      <c r="Z56" s="3"/>
      <c r="AA56" s="4"/>
      <c r="AB56" s="4"/>
      <c r="AC56" s="4"/>
      <c r="AD56" s="4"/>
      <c r="AE56" s="5"/>
      <c r="AF56" s="682">
        <f t="shared" si="91"/>
        <v>0</v>
      </c>
      <c r="AG56" s="4">
        <f t="shared" si="92"/>
        <v>791</v>
      </c>
      <c r="AH56" s="386">
        <f t="shared" si="93"/>
        <v>589.79999999999995</v>
      </c>
      <c r="AI56" s="386">
        <f t="shared" si="160"/>
        <v>1380.8</v>
      </c>
      <c r="AJ56" s="386">
        <f t="shared" si="161"/>
        <v>4766.9019999999991</v>
      </c>
      <c r="AK56" s="387">
        <f t="shared" si="95"/>
        <v>95338040</v>
      </c>
      <c r="AL56" s="3"/>
      <c r="AM56" s="4"/>
      <c r="AN56" s="4"/>
      <c r="AO56" s="4"/>
      <c r="AP56" s="4"/>
      <c r="AQ56" s="5"/>
      <c r="AR56" s="682">
        <f t="shared" si="96"/>
        <v>1987</v>
      </c>
      <c r="AS56" s="4">
        <f t="shared" si="97"/>
        <v>0</v>
      </c>
      <c r="AT56" s="386">
        <f t="shared" si="98"/>
        <v>994</v>
      </c>
      <c r="AU56" s="386">
        <f t="shared" si="162"/>
        <v>994</v>
      </c>
      <c r="AV56" s="386">
        <f t="shared" si="99"/>
        <v>919.08800000000019</v>
      </c>
      <c r="AW56" s="387">
        <f t="shared" si="100"/>
        <v>15624496.000000002</v>
      </c>
      <c r="AX56" s="3"/>
      <c r="AY56" s="4"/>
      <c r="AZ56" s="4"/>
      <c r="BA56" s="4"/>
      <c r="BB56" s="4"/>
      <c r="BC56" s="5"/>
      <c r="BD56" s="682" t="str">
        <f t="shared" si="101"/>
        <v/>
      </c>
      <c r="BE56" s="4" t="str">
        <f t="shared" si="102"/>
        <v/>
      </c>
      <c r="BF56" s="386" t="str">
        <f t="shared" si="103"/>
        <v/>
      </c>
      <c r="BG56" s="386">
        <f t="shared" si="163"/>
        <v>0</v>
      </c>
      <c r="BH56" s="386" t="str">
        <f t="shared" si="105"/>
        <v/>
      </c>
      <c r="BI56" s="387" t="str">
        <f t="shared" si="106"/>
        <v/>
      </c>
      <c r="BJ56" s="682" t="str">
        <f t="shared" si="107"/>
        <v/>
      </c>
      <c r="BK56" s="4" t="str">
        <f t="shared" si="108"/>
        <v/>
      </c>
      <c r="BL56" s="386" t="str">
        <f t="shared" si="109"/>
        <v/>
      </c>
      <c r="BM56" s="386">
        <f t="shared" si="25"/>
        <v>0</v>
      </c>
      <c r="BN56" s="386" t="str">
        <f t="shared" si="110"/>
        <v/>
      </c>
      <c r="BO56" s="387" t="str">
        <f t="shared" si="111"/>
        <v/>
      </c>
      <c r="BP56" s="682">
        <f t="shared" si="112"/>
        <v>0</v>
      </c>
      <c r="BQ56" s="4">
        <f t="shared" si="113"/>
        <v>0</v>
      </c>
      <c r="BR56" s="386">
        <f t="shared" si="114"/>
        <v>90</v>
      </c>
      <c r="BS56" s="386">
        <f t="shared" si="164"/>
        <v>90</v>
      </c>
      <c r="BT56" s="386">
        <f t="shared" si="116"/>
        <v>39.42</v>
      </c>
      <c r="BU56" s="387">
        <f t="shared" si="117"/>
        <v>630720</v>
      </c>
      <c r="BV56" s="682" t="str">
        <f t="shared" si="118"/>
        <v/>
      </c>
      <c r="BW56" s="4" t="str">
        <f t="shared" si="119"/>
        <v/>
      </c>
      <c r="BX56" s="386" t="str">
        <f t="shared" si="120"/>
        <v/>
      </c>
      <c r="BY56" s="386">
        <f t="shared" si="37"/>
        <v>0</v>
      </c>
      <c r="BZ56" s="386" t="str">
        <f t="shared" si="121"/>
        <v/>
      </c>
      <c r="CA56" s="387" t="str">
        <f t="shared" si="122"/>
        <v/>
      </c>
      <c r="CB56" s="682" t="str">
        <f t="shared" si="123"/>
        <v/>
      </c>
      <c r="CC56" s="4" t="str">
        <f t="shared" si="124"/>
        <v/>
      </c>
      <c r="CD56" s="386" t="str">
        <f t="shared" si="125"/>
        <v/>
      </c>
      <c r="CE56" s="386">
        <f t="shared" si="43"/>
        <v>0</v>
      </c>
      <c r="CF56" s="386" t="str">
        <f t="shared" si="126"/>
        <v/>
      </c>
      <c r="CG56" s="387" t="str">
        <f t="shared" si="127"/>
        <v/>
      </c>
      <c r="CH56" s="682">
        <f t="shared" si="128"/>
        <v>0</v>
      </c>
      <c r="CI56" s="4">
        <f t="shared" si="129"/>
        <v>0</v>
      </c>
      <c r="CJ56" s="386">
        <f t="shared" si="130"/>
        <v>50.94</v>
      </c>
      <c r="CK56" s="386">
        <f t="shared" si="165"/>
        <v>50.94</v>
      </c>
      <c r="CL56" s="386">
        <f t="shared" si="132"/>
        <v>31.919568000000002</v>
      </c>
      <c r="CM56" s="387">
        <f t="shared" si="133"/>
        <v>782348.61168000009</v>
      </c>
      <c r="CN56" s="682" t="str">
        <f t="shared" si="134"/>
        <v/>
      </c>
      <c r="CO56" s="4" t="str">
        <f t="shared" si="135"/>
        <v/>
      </c>
      <c r="CP56" s="386" t="str">
        <f t="shared" si="136"/>
        <v/>
      </c>
      <c r="CQ56" s="386">
        <f t="shared" si="166"/>
        <v>0</v>
      </c>
      <c r="CR56" s="386" t="str">
        <f t="shared" si="138"/>
        <v/>
      </c>
      <c r="CS56" s="387" t="str">
        <f t="shared" si="139"/>
        <v/>
      </c>
      <c r="CT56" s="682" t="str">
        <f t="shared" si="140"/>
        <v/>
      </c>
      <c r="CU56" s="4" t="str">
        <f t="shared" si="141"/>
        <v/>
      </c>
      <c r="CV56" s="386" t="str">
        <f t="shared" si="142"/>
        <v/>
      </c>
      <c r="CW56" s="386">
        <f t="shared" si="167"/>
        <v>0</v>
      </c>
      <c r="CX56" s="386" t="str">
        <f t="shared" si="143"/>
        <v/>
      </c>
      <c r="CY56" s="387" t="str">
        <f t="shared" si="144"/>
        <v/>
      </c>
      <c r="CZ56" s="682" t="str">
        <f t="shared" si="145"/>
        <v/>
      </c>
      <c r="DA56" s="4" t="str">
        <f t="shared" si="146"/>
        <v/>
      </c>
      <c r="DB56" s="386" t="str">
        <f t="shared" si="147"/>
        <v/>
      </c>
      <c r="DC56" s="386">
        <f t="shared" si="168"/>
        <v>0</v>
      </c>
      <c r="DD56" s="386" t="str">
        <f t="shared" si="148"/>
        <v/>
      </c>
      <c r="DE56" s="387" t="str">
        <f t="shared" si="149"/>
        <v/>
      </c>
      <c r="DF56" s="682" t="str">
        <f t="shared" si="150"/>
        <v/>
      </c>
      <c r="DG56" s="4" t="str">
        <f t="shared" si="151"/>
        <v/>
      </c>
      <c r="DH56" s="386" t="str">
        <f t="shared" si="152"/>
        <v/>
      </c>
      <c r="DI56" s="386">
        <f t="shared" si="169"/>
        <v>0</v>
      </c>
      <c r="DJ56" s="386" t="str">
        <f t="shared" si="153"/>
        <v/>
      </c>
      <c r="DK56" s="387" t="str">
        <f t="shared" si="154"/>
        <v/>
      </c>
      <c r="DL56" s="682" t="str">
        <f t="shared" si="155"/>
        <v/>
      </c>
      <c r="DM56" s="4" t="str">
        <f t="shared" si="156"/>
        <v/>
      </c>
      <c r="DN56" s="386" t="str">
        <f t="shared" si="157"/>
        <v/>
      </c>
      <c r="DO56" s="386">
        <f t="shared" si="79"/>
        <v>0</v>
      </c>
      <c r="DP56" s="386" t="str">
        <f t="shared" si="158"/>
        <v/>
      </c>
      <c r="DQ56" s="387" t="str">
        <f t="shared" si="159"/>
        <v/>
      </c>
    </row>
    <row r="57" spans="1:121" customFormat="1" x14ac:dyDescent="0.25">
      <c r="A57" t="s">
        <v>199</v>
      </c>
      <c r="B57" t="s">
        <v>33</v>
      </c>
      <c r="C57" t="s">
        <v>34</v>
      </c>
      <c r="D57" t="s">
        <v>106</v>
      </c>
      <c r="E57" t="s">
        <v>107</v>
      </c>
      <c r="F57" t="s">
        <v>200</v>
      </c>
      <c r="G57" t="s">
        <v>201</v>
      </c>
      <c r="H57" s="3"/>
      <c r="I57" s="4"/>
      <c r="J57" s="4"/>
      <c r="K57" s="4"/>
      <c r="L57" s="4"/>
      <c r="M57" s="5"/>
      <c r="N57" s="3"/>
      <c r="O57" s="4"/>
      <c r="P57" s="4"/>
      <c r="Q57" s="4"/>
      <c r="R57" s="4"/>
      <c r="S57" s="5"/>
      <c r="T57" s="3"/>
      <c r="U57" s="4"/>
      <c r="V57" s="4"/>
      <c r="W57" s="4"/>
      <c r="X57" s="4"/>
      <c r="Y57" s="5"/>
      <c r="Z57" s="3"/>
      <c r="AA57" s="4"/>
      <c r="AB57" s="4"/>
      <c r="AC57" s="4"/>
      <c r="AD57" s="4"/>
      <c r="AE57" s="5"/>
      <c r="AF57" s="682">
        <f t="shared" si="91"/>
        <v>0</v>
      </c>
      <c r="AG57" s="4">
        <f t="shared" si="92"/>
        <v>0</v>
      </c>
      <c r="AH57" s="386">
        <f t="shared" si="93"/>
        <v>150</v>
      </c>
      <c r="AI57" s="386">
        <f t="shared" si="160"/>
        <v>150</v>
      </c>
      <c r="AJ57" s="386">
        <f t="shared" si="161"/>
        <v>249.89999999999998</v>
      </c>
      <c r="AK57" s="387">
        <f t="shared" si="95"/>
        <v>4998000</v>
      </c>
      <c r="AL57" s="3"/>
      <c r="AM57" s="4"/>
      <c r="AN57" s="4"/>
      <c r="AO57" s="4"/>
      <c r="AP57" s="4"/>
      <c r="AQ57" s="5"/>
      <c r="AR57" s="682">
        <f t="shared" si="96"/>
        <v>233</v>
      </c>
      <c r="AS57" s="4">
        <f t="shared" si="97"/>
        <v>2.81</v>
      </c>
      <c r="AT57" s="386">
        <f t="shared" si="98"/>
        <v>115.81</v>
      </c>
      <c r="AU57" s="386">
        <f t="shared" si="162"/>
        <v>118.62</v>
      </c>
      <c r="AV57" s="386">
        <f t="shared" si="99"/>
        <v>113.23792000000002</v>
      </c>
      <c r="AW57" s="387">
        <f t="shared" si="100"/>
        <v>1925044.6400000004</v>
      </c>
      <c r="AX57" s="3"/>
      <c r="AY57" s="4"/>
      <c r="AZ57" s="4"/>
      <c r="BA57" s="4"/>
      <c r="BB57" s="4"/>
      <c r="BC57" s="5"/>
      <c r="BD57" s="682" t="str">
        <f t="shared" si="101"/>
        <v/>
      </c>
      <c r="BE57" s="4" t="str">
        <f t="shared" si="102"/>
        <v/>
      </c>
      <c r="BF57" s="386" t="str">
        <f t="shared" si="103"/>
        <v/>
      </c>
      <c r="BG57" s="386">
        <f t="shared" si="163"/>
        <v>0</v>
      </c>
      <c r="BH57" s="386" t="str">
        <f t="shared" si="105"/>
        <v/>
      </c>
      <c r="BI57" s="387" t="str">
        <f t="shared" si="106"/>
        <v/>
      </c>
      <c r="BJ57" s="682" t="str">
        <f t="shared" si="107"/>
        <v/>
      </c>
      <c r="BK57" s="4" t="str">
        <f t="shared" si="108"/>
        <v/>
      </c>
      <c r="BL57" s="386" t="str">
        <f t="shared" si="109"/>
        <v/>
      </c>
      <c r="BM57" s="386">
        <f t="shared" si="25"/>
        <v>0</v>
      </c>
      <c r="BN57" s="386" t="str">
        <f t="shared" si="110"/>
        <v/>
      </c>
      <c r="BO57" s="387" t="str">
        <f t="shared" si="111"/>
        <v/>
      </c>
      <c r="BP57" s="682">
        <f t="shared" si="112"/>
        <v>0</v>
      </c>
      <c r="BQ57" s="4">
        <f t="shared" si="113"/>
        <v>21.1</v>
      </c>
      <c r="BR57" s="386">
        <f t="shared" si="114"/>
        <v>110</v>
      </c>
      <c r="BS57" s="386">
        <f t="shared" si="164"/>
        <v>131.1</v>
      </c>
      <c r="BT57" s="386">
        <f t="shared" si="116"/>
        <v>163.37399999999997</v>
      </c>
      <c r="BU57" s="387">
        <f t="shared" si="117"/>
        <v>2613984</v>
      </c>
      <c r="BV57" s="682" t="str">
        <f t="shared" si="118"/>
        <v/>
      </c>
      <c r="BW57" s="4" t="str">
        <f t="shared" si="119"/>
        <v/>
      </c>
      <c r="BX57" s="386" t="str">
        <f t="shared" si="120"/>
        <v/>
      </c>
      <c r="BY57" s="386">
        <f t="shared" si="37"/>
        <v>0</v>
      </c>
      <c r="BZ57" s="386" t="str">
        <f t="shared" si="121"/>
        <v/>
      </c>
      <c r="CA57" s="387" t="str">
        <f t="shared" si="122"/>
        <v/>
      </c>
      <c r="CB57" s="682" t="str">
        <f t="shared" si="123"/>
        <v/>
      </c>
      <c r="CC57" s="4" t="str">
        <f t="shared" si="124"/>
        <v/>
      </c>
      <c r="CD57" s="386" t="str">
        <f t="shared" si="125"/>
        <v/>
      </c>
      <c r="CE57" s="386">
        <f t="shared" si="43"/>
        <v>0</v>
      </c>
      <c r="CF57" s="386" t="str">
        <f t="shared" si="126"/>
        <v/>
      </c>
      <c r="CG57" s="387" t="str">
        <f t="shared" si="127"/>
        <v/>
      </c>
      <c r="CH57" s="682">
        <f t="shared" si="128"/>
        <v>0</v>
      </c>
      <c r="CI57" s="4">
        <f t="shared" si="129"/>
        <v>0</v>
      </c>
      <c r="CJ57" s="386">
        <f t="shared" si="130"/>
        <v>15</v>
      </c>
      <c r="CK57" s="386">
        <f t="shared" si="165"/>
        <v>15</v>
      </c>
      <c r="CL57" s="386">
        <f t="shared" si="132"/>
        <v>17.172000000000001</v>
      </c>
      <c r="CM57" s="387">
        <f t="shared" si="133"/>
        <v>420885.72</v>
      </c>
      <c r="CN57" s="682">
        <f t="shared" si="134"/>
        <v>0</v>
      </c>
      <c r="CO57" s="4">
        <f t="shared" si="135"/>
        <v>1</v>
      </c>
      <c r="CP57" s="386">
        <f t="shared" si="136"/>
        <v>2.5</v>
      </c>
      <c r="CQ57" s="386">
        <f t="shared" si="166"/>
        <v>3.5</v>
      </c>
      <c r="CR57" s="386">
        <f t="shared" si="138"/>
        <v>5.45</v>
      </c>
      <c r="CS57" s="387">
        <f t="shared" si="139"/>
        <v>94720.999999999985</v>
      </c>
      <c r="CT57" s="682" t="str">
        <f t="shared" si="140"/>
        <v/>
      </c>
      <c r="CU57" s="4" t="str">
        <f t="shared" si="141"/>
        <v/>
      </c>
      <c r="CV57" s="386" t="str">
        <f t="shared" si="142"/>
        <v/>
      </c>
      <c r="CW57" s="386">
        <f t="shared" si="167"/>
        <v>0</v>
      </c>
      <c r="CX57" s="386" t="str">
        <f t="shared" si="143"/>
        <v/>
      </c>
      <c r="CY57" s="387" t="str">
        <f t="shared" si="144"/>
        <v/>
      </c>
      <c r="CZ57" s="682" t="str">
        <f t="shared" si="145"/>
        <v/>
      </c>
      <c r="DA57" s="4" t="str">
        <f t="shared" si="146"/>
        <v/>
      </c>
      <c r="DB57" s="386" t="str">
        <f t="shared" si="147"/>
        <v/>
      </c>
      <c r="DC57" s="386">
        <f t="shared" si="168"/>
        <v>0</v>
      </c>
      <c r="DD57" s="386" t="str">
        <f t="shared" si="148"/>
        <v/>
      </c>
      <c r="DE57" s="387" t="str">
        <f t="shared" si="149"/>
        <v/>
      </c>
      <c r="DF57" s="682" t="str">
        <f t="shared" si="150"/>
        <v/>
      </c>
      <c r="DG57" s="4" t="str">
        <f t="shared" si="151"/>
        <v/>
      </c>
      <c r="DH57" s="386" t="str">
        <f t="shared" si="152"/>
        <v/>
      </c>
      <c r="DI57" s="386">
        <f t="shared" si="169"/>
        <v>0</v>
      </c>
      <c r="DJ57" s="386" t="str">
        <f t="shared" si="153"/>
        <v/>
      </c>
      <c r="DK57" s="387" t="str">
        <f t="shared" si="154"/>
        <v/>
      </c>
      <c r="DL57" s="682" t="str">
        <f t="shared" si="155"/>
        <v/>
      </c>
      <c r="DM57" s="4" t="str">
        <f t="shared" si="156"/>
        <v/>
      </c>
      <c r="DN57" s="386" t="str">
        <f t="shared" si="157"/>
        <v/>
      </c>
      <c r="DO57" s="386">
        <f t="shared" si="79"/>
        <v>0</v>
      </c>
      <c r="DP57" s="386" t="str">
        <f t="shared" si="158"/>
        <v/>
      </c>
      <c r="DQ57" s="387" t="str">
        <f t="shared" si="159"/>
        <v/>
      </c>
    </row>
    <row r="58" spans="1:121" customFormat="1" x14ac:dyDescent="0.25">
      <c r="A58" t="s">
        <v>202</v>
      </c>
      <c r="B58" t="s">
        <v>33</v>
      </c>
      <c r="C58" t="s">
        <v>34</v>
      </c>
      <c r="D58" t="s">
        <v>106</v>
      </c>
      <c r="E58" t="s">
        <v>107</v>
      </c>
      <c r="F58" t="s">
        <v>203</v>
      </c>
      <c r="G58" t="s">
        <v>204</v>
      </c>
      <c r="H58" s="3"/>
      <c r="I58" s="4"/>
      <c r="J58" s="4"/>
      <c r="K58" s="4"/>
      <c r="L58" s="4"/>
      <c r="M58" s="5"/>
      <c r="N58" s="3"/>
      <c r="O58" s="4"/>
      <c r="P58" s="4"/>
      <c r="Q58" s="4"/>
      <c r="R58" s="4"/>
      <c r="S58" s="5"/>
      <c r="T58" s="3"/>
      <c r="U58" s="4"/>
      <c r="V58" s="4"/>
      <c r="W58" s="4"/>
      <c r="X58" s="4"/>
      <c r="Y58" s="5"/>
      <c r="Z58" s="3"/>
      <c r="AA58" s="4"/>
      <c r="AB58" s="4"/>
      <c r="AC58" s="4"/>
      <c r="AD58" s="4"/>
      <c r="AE58" s="5"/>
      <c r="AF58" s="682">
        <f t="shared" si="91"/>
        <v>0</v>
      </c>
      <c r="AG58" s="4">
        <f t="shared" si="92"/>
        <v>0</v>
      </c>
      <c r="AH58" s="386">
        <f t="shared" si="93"/>
        <v>42.4</v>
      </c>
      <c r="AI58" s="386">
        <f t="shared" si="160"/>
        <v>42.4</v>
      </c>
      <c r="AJ58" s="386">
        <f t="shared" si="161"/>
        <v>100.91199999999999</v>
      </c>
      <c r="AK58" s="387">
        <f t="shared" si="95"/>
        <v>2018239.9999999998</v>
      </c>
      <c r="AL58" s="3"/>
      <c r="AM58" s="4"/>
      <c r="AN58" s="4"/>
      <c r="AO58" s="4"/>
      <c r="AP58" s="4"/>
      <c r="AQ58" s="5"/>
      <c r="AR58" s="682">
        <f t="shared" si="96"/>
        <v>150</v>
      </c>
      <c r="AS58" s="4">
        <f t="shared" si="97"/>
        <v>0</v>
      </c>
      <c r="AT58" s="386">
        <f t="shared" si="98"/>
        <v>78.81</v>
      </c>
      <c r="AU58" s="386">
        <f t="shared" si="162"/>
        <v>78.81</v>
      </c>
      <c r="AV58" s="386">
        <f t="shared" si="99"/>
        <v>171.8058</v>
      </c>
      <c r="AW58" s="387">
        <f t="shared" si="100"/>
        <v>2920698.6</v>
      </c>
      <c r="AX58" s="3"/>
      <c r="AY58" s="4"/>
      <c r="AZ58" s="4"/>
      <c r="BA58" s="4"/>
      <c r="BB58" s="4"/>
      <c r="BC58" s="5"/>
      <c r="BD58" s="682">
        <f t="shared" si="101"/>
        <v>0</v>
      </c>
      <c r="BE58" s="4">
        <f t="shared" si="102"/>
        <v>4.3</v>
      </c>
      <c r="BF58" s="386">
        <f t="shared" si="103"/>
        <v>4.3</v>
      </c>
      <c r="BG58" s="386">
        <f t="shared" si="163"/>
        <v>8.6</v>
      </c>
      <c r="BH58" s="386">
        <f t="shared" si="105"/>
        <v>0</v>
      </c>
      <c r="BI58" s="387" t="str">
        <f t="shared" ref="BI58:BI79" si="170">IFERROR(VLOOKUP(G58,INENG_LU,19,FALSE),"")</f>
        <v/>
      </c>
      <c r="BJ58" s="682" t="str">
        <f t="shared" si="107"/>
        <v/>
      </c>
      <c r="BK58" s="4" t="str">
        <f t="shared" si="108"/>
        <v/>
      </c>
      <c r="BL58" s="386" t="str">
        <f t="shared" si="109"/>
        <v/>
      </c>
      <c r="BM58" s="386">
        <f t="shared" si="25"/>
        <v>0</v>
      </c>
      <c r="BN58" s="386" t="str">
        <f t="shared" si="110"/>
        <v/>
      </c>
      <c r="BO58" s="387" t="str">
        <f t="shared" ref="BO58:BO79" si="171">IFERROR(VLOOKUP(M58,INENG_LU,19,FALSE),"")</f>
        <v/>
      </c>
      <c r="BP58" s="682">
        <f t="shared" si="112"/>
        <v>0</v>
      </c>
      <c r="BQ58" s="4">
        <f t="shared" si="113"/>
        <v>0</v>
      </c>
      <c r="BR58" s="386">
        <f t="shared" si="114"/>
        <v>32</v>
      </c>
      <c r="BS58" s="386">
        <f t="shared" si="164"/>
        <v>32</v>
      </c>
      <c r="BT58" s="386">
        <f t="shared" si="116"/>
        <v>28.032</v>
      </c>
      <c r="BU58" s="387">
        <f t="shared" si="117"/>
        <v>448512</v>
      </c>
      <c r="BV58" s="682" t="str">
        <f t="shared" si="118"/>
        <v/>
      </c>
      <c r="BW58" s="4" t="str">
        <f t="shared" si="119"/>
        <v/>
      </c>
      <c r="BX58" s="386" t="str">
        <f t="shared" si="120"/>
        <v/>
      </c>
      <c r="BY58" s="386">
        <f t="shared" si="37"/>
        <v>0</v>
      </c>
      <c r="BZ58" s="386" t="str">
        <f t="shared" si="121"/>
        <v/>
      </c>
      <c r="CA58" s="387" t="str">
        <f t="shared" ref="CA58:CA79" si="172">IFERROR(VLOOKUP(Y58,INENG_LU,19,FALSE),"")</f>
        <v/>
      </c>
      <c r="CB58" s="682" t="str">
        <f t="shared" si="123"/>
        <v/>
      </c>
      <c r="CC58" s="4" t="str">
        <f t="shared" si="124"/>
        <v/>
      </c>
      <c r="CD58" s="386" t="str">
        <f t="shared" si="125"/>
        <v/>
      </c>
      <c r="CE58" s="386">
        <f t="shared" si="43"/>
        <v>0</v>
      </c>
      <c r="CF58" s="386" t="str">
        <f t="shared" si="126"/>
        <v/>
      </c>
      <c r="CG58" s="387" t="str">
        <f t="shared" ref="CG58:CG79" si="173">IFERROR(VLOOKUP(AE58,INENG_LU,19,FALSE),"")</f>
        <v/>
      </c>
      <c r="CH58" s="682" t="str">
        <f t="shared" si="128"/>
        <v/>
      </c>
      <c r="CI58" s="4" t="str">
        <f t="shared" si="129"/>
        <v/>
      </c>
      <c r="CJ58" s="386" t="str">
        <f t="shared" si="130"/>
        <v/>
      </c>
      <c r="CK58" s="386">
        <f t="shared" si="165"/>
        <v>0</v>
      </c>
      <c r="CL58" s="386" t="str">
        <f t="shared" si="132"/>
        <v/>
      </c>
      <c r="CM58" s="387" t="str">
        <f t="shared" si="133"/>
        <v/>
      </c>
      <c r="CN58" s="682" t="str">
        <f t="shared" si="134"/>
        <v/>
      </c>
      <c r="CO58" s="4" t="str">
        <f t="shared" si="135"/>
        <v/>
      </c>
      <c r="CP58" s="386" t="str">
        <f t="shared" si="136"/>
        <v/>
      </c>
      <c r="CQ58" s="386">
        <f t="shared" si="166"/>
        <v>0</v>
      </c>
      <c r="CR58" s="386" t="str">
        <f t="shared" si="138"/>
        <v/>
      </c>
      <c r="CS58" s="387" t="str">
        <f t="shared" si="139"/>
        <v/>
      </c>
      <c r="CT58" s="682" t="str">
        <f t="shared" si="140"/>
        <v/>
      </c>
      <c r="CU58" s="4" t="str">
        <f t="shared" si="141"/>
        <v/>
      </c>
      <c r="CV58" s="386" t="str">
        <f t="shared" si="142"/>
        <v/>
      </c>
      <c r="CW58" s="386">
        <f t="shared" si="167"/>
        <v>0</v>
      </c>
      <c r="CX58" s="386" t="str">
        <f t="shared" si="143"/>
        <v/>
      </c>
      <c r="CY58" s="387" t="str">
        <f t="shared" si="144"/>
        <v/>
      </c>
      <c r="CZ58" s="682" t="str">
        <f t="shared" si="145"/>
        <v/>
      </c>
      <c r="DA58" s="4" t="str">
        <f t="shared" si="146"/>
        <v/>
      </c>
      <c r="DB58" s="386" t="str">
        <f t="shared" si="147"/>
        <v/>
      </c>
      <c r="DC58" s="386">
        <f t="shared" si="168"/>
        <v>0</v>
      </c>
      <c r="DD58" s="386" t="str">
        <f t="shared" si="148"/>
        <v/>
      </c>
      <c r="DE58" s="387" t="str">
        <f t="shared" si="149"/>
        <v/>
      </c>
      <c r="DF58" s="682">
        <f t="shared" si="150"/>
        <v>0</v>
      </c>
      <c r="DG58" s="4">
        <f t="shared" si="151"/>
        <v>0</v>
      </c>
      <c r="DH58" s="386">
        <f t="shared" si="152"/>
        <v>0.5</v>
      </c>
      <c r="DI58" s="386">
        <f t="shared" si="169"/>
        <v>0.5</v>
      </c>
      <c r="DJ58" s="386">
        <f t="shared" si="153"/>
        <v>0.32249999999999995</v>
      </c>
      <c r="DK58" s="387">
        <f t="shared" si="154"/>
        <v>5318.0249999999987</v>
      </c>
      <c r="DL58" s="682" t="str">
        <f t="shared" si="155"/>
        <v/>
      </c>
      <c r="DM58" s="4" t="str">
        <f t="shared" si="156"/>
        <v/>
      </c>
      <c r="DN58" s="386" t="str">
        <f t="shared" si="157"/>
        <v/>
      </c>
      <c r="DO58" s="386">
        <f t="shared" si="79"/>
        <v>0</v>
      </c>
      <c r="DP58" s="386" t="str">
        <f t="shared" si="158"/>
        <v/>
      </c>
      <c r="DQ58" s="387" t="str">
        <f>IFERROR(VLOOKUP(BO58,INENG_LU,19,FALSE),"")</f>
        <v/>
      </c>
    </row>
    <row r="59" spans="1:121" customFormat="1" x14ac:dyDescent="0.25">
      <c r="A59" t="s">
        <v>205</v>
      </c>
      <c r="B59" t="s">
        <v>33</v>
      </c>
      <c r="C59" t="s">
        <v>34</v>
      </c>
      <c r="D59" t="s">
        <v>106</v>
      </c>
      <c r="E59" t="s">
        <v>107</v>
      </c>
      <c r="F59" t="s">
        <v>206</v>
      </c>
      <c r="G59" t="s">
        <v>207</v>
      </c>
      <c r="H59" s="3"/>
      <c r="I59" s="4"/>
      <c r="J59" s="4"/>
      <c r="K59" s="4"/>
      <c r="L59" s="4"/>
      <c r="M59" s="5"/>
      <c r="N59" s="3"/>
      <c r="O59" s="4"/>
      <c r="P59" s="4"/>
      <c r="Q59" s="4"/>
      <c r="R59" s="4"/>
      <c r="S59" s="5"/>
      <c r="T59" s="3"/>
      <c r="U59" s="4"/>
      <c r="V59" s="4"/>
      <c r="W59" s="4"/>
      <c r="X59" s="4"/>
      <c r="Y59" s="5"/>
      <c r="Z59" s="3"/>
      <c r="AA59" s="4"/>
      <c r="AB59" s="4"/>
      <c r="AC59" s="4"/>
      <c r="AD59" s="4"/>
      <c r="AE59" s="5"/>
      <c r="AF59" s="682">
        <f t="shared" si="91"/>
        <v>0</v>
      </c>
      <c r="AG59" s="4">
        <f t="shared" si="92"/>
        <v>196</v>
      </c>
      <c r="AH59" s="386">
        <f t="shared" si="93"/>
        <v>0</v>
      </c>
      <c r="AI59" s="386">
        <f t="shared" si="160"/>
        <v>196</v>
      </c>
      <c r="AJ59" s="386">
        <f t="shared" si="161"/>
        <v>932.95999999999992</v>
      </c>
      <c r="AK59" s="387">
        <f t="shared" si="95"/>
        <v>18659200</v>
      </c>
      <c r="AL59" s="3"/>
      <c r="AM59" s="4"/>
      <c r="AN59" s="4"/>
      <c r="AO59" s="4"/>
      <c r="AP59" s="4"/>
      <c r="AQ59" s="5"/>
      <c r="AR59" s="682">
        <f t="shared" si="96"/>
        <v>1552</v>
      </c>
      <c r="AS59" s="4">
        <f t="shared" si="97"/>
        <v>0</v>
      </c>
      <c r="AT59" s="386">
        <f t="shared" si="98"/>
        <v>831</v>
      </c>
      <c r="AU59" s="386">
        <f t="shared" si="162"/>
        <v>831</v>
      </c>
      <c r="AV59" s="386">
        <f t="shared" si="99"/>
        <v>724.63200000000006</v>
      </c>
      <c r="AW59" s="387">
        <f t="shared" si="100"/>
        <v>12318744</v>
      </c>
      <c r="AX59" s="3"/>
      <c r="AY59" s="4"/>
      <c r="AZ59" s="4"/>
      <c r="BA59" s="4"/>
      <c r="BB59" s="4"/>
      <c r="BC59" s="5"/>
      <c r="BD59" s="682" t="str">
        <f t="shared" si="101"/>
        <v/>
      </c>
      <c r="BE59" s="4" t="str">
        <f t="shared" si="102"/>
        <v/>
      </c>
      <c r="BF59" s="386" t="str">
        <f t="shared" si="103"/>
        <v/>
      </c>
      <c r="BG59" s="386">
        <f t="shared" si="163"/>
        <v>0</v>
      </c>
      <c r="BH59" s="386" t="str">
        <f t="shared" si="105"/>
        <v/>
      </c>
      <c r="BI59" s="387" t="str">
        <f t="shared" si="170"/>
        <v/>
      </c>
      <c r="BJ59" s="682" t="str">
        <f t="shared" si="107"/>
        <v/>
      </c>
      <c r="BK59" s="4" t="str">
        <f t="shared" si="108"/>
        <v/>
      </c>
      <c r="BL59" s="386" t="str">
        <f t="shared" si="109"/>
        <v/>
      </c>
      <c r="BM59" s="386">
        <f t="shared" si="25"/>
        <v>0</v>
      </c>
      <c r="BN59" s="386" t="str">
        <f t="shared" si="110"/>
        <v/>
      </c>
      <c r="BO59" s="387" t="str">
        <f t="shared" si="171"/>
        <v/>
      </c>
      <c r="BP59" s="682">
        <f t="shared" si="112"/>
        <v>0</v>
      </c>
      <c r="BQ59" s="4">
        <f t="shared" si="113"/>
        <v>0</v>
      </c>
      <c r="BR59" s="386">
        <f t="shared" si="114"/>
        <v>77</v>
      </c>
      <c r="BS59" s="386">
        <f t="shared" si="164"/>
        <v>77</v>
      </c>
      <c r="BT59" s="386">
        <f t="shared" si="116"/>
        <v>33.725999999999999</v>
      </c>
      <c r="BU59" s="387">
        <f t="shared" si="117"/>
        <v>539616</v>
      </c>
      <c r="BV59" s="682" t="str">
        <f t="shared" si="118"/>
        <v/>
      </c>
      <c r="BW59" s="4" t="str">
        <f t="shared" si="119"/>
        <v/>
      </c>
      <c r="BX59" s="386" t="str">
        <f t="shared" si="120"/>
        <v/>
      </c>
      <c r="BY59" s="386">
        <f t="shared" si="37"/>
        <v>0</v>
      </c>
      <c r="BZ59" s="386" t="str">
        <f t="shared" si="121"/>
        <v/>
      </c>
      <c r="CA59" s="387" t="str">
        <f t="shared" si="172"/>
        <v/>
      </c>
      <c r="CB59" s="682" t="str">
        <f t="shared" si="123"/>
        <v/>
      </c>
      <c r="CC59" s="4" t="str">
        <f t="shared" si="124"/>
        <v/>
      </c>
      <c r="CD59" s="386" t="str">
        <f t="shared" si="125"/>
        <v/>
      </c>
      <c r="CE59" s="386">
        <f t="shared" si="43"/>
        <v>0</v>
      </c>
      <c r="CF59" s="386" t="str">
        <f t="shared" si="126"/>
        <v/>
      </c>
      <c r="CG59" s="387" t="str">
        <f t="shared" si="173"/>
        <v/>
      </c>
      <c r="CH59" s="682">
        <f t="shared" si="128"/>
        <v>0</v>
      </c>
      <c r="CI59" s="4">
        <f t="shared" si="129"/>
        <v>0</v>
      </c>
      <c r="CJ59" s="386">
        <f t="shared" si="130"/>
        <v>765</v>
      </c>
      <c r="CK59" s="386">
        <f t="shared" si="165"/>
        <v>765</v>
      </c>
      <c r="CL59" s="386">
        <f t="shared" si="132"/>
        <v>324.36</v>
      </c>
      <c r="CM59" s="387">
        <f t="shared" si="133"/>
        <v>7950063.6000000006</v>
      </c>
      <c r="CN59" s="682">
        <f t="shared" si="134"/>
        <v>0</v>
      </c>
      <c r="CO59" s="4">
        <f t="shared" si="135"/>
        <v>8.8000000000000007</v>
      </c>
      <c r="CP59" s="386">
        <f t="shared" si="136"/>
        <v>0</v>
      </c>
      <c r="CQ59" s="386">
        <f t="shared" si="166"/>
        <v>8.8000000000000007</v>
      </c>
      <c r="CR59" s="386">
        <f t="shared" si="138"/>
        <v>38.368000000000002</v>
      </c>
      <c r="CS59" s="387">
        <f t="shared" si="139"/>
        <v>666835.84000000008</v>
      </c>
      <c r="CT59" s="682" t="str">
        <f t="shared" si="140"/>
        <v/>
      </c>
      <c r="CU59" s="4" t="str">
        <f t="shared" si="141"/>
        <v/>
      </c>
      <c r="CV59" s="386" t="str">
        <f t="shared" si="142"/>
        <v/>
      </c>
      <c r="CW59" s="386">
        <f t="shared" si="167"/>
        <v>0</v>
      </c>
      <c r="CX59" s="386" t="str">
        <f t="shared" si="143"/>
        <v/>
      </c>
      <c r="CY59" s="387" t="str">
        <f t="shared" si="144"/>
        <v/>
      </c>
      <c r="CZ59" s="682" t="str">
        <f t="shared" si="145"/>
        <v/>
      </c>
      <c r="DA59" s="4" t="str">
        <f t="shared" si="146"/>
        <v/>
      </c>
      <c r="DB59" s="386" t="str">
        <f t="shared" si="147"/>
        <v/>
      </c>
      <c r="DC59" s="386">
        <f t="shared" si="168"/>
        <v>0</v>
      </c>
      <c r="DD59" s="386" t="str">
        <f t="shared" si="148"/>
        <v/>
      </c>
      <c r="DE59" s="387" t="str">
        <f t="shared" si="149"/>
        <v/>
      </c>
      <c r="DF59" s="682">
        <f t="shared" si="150"/>
        <v>0</v>
      </c>
      <c r="DG59" s="4">
        <f t="shared" si="151"/>
        <v>0</v>
      </c>
      <c r="DH59" s="386">
        <f t="shared" si="152"/>
        <v>112</v>
      </c>
      <c r="DI59" s="386">
        <f t="shared" si="169"/>
        <v>112</v>
      </c>
      <c r="DJ59" s="386">
        <f t="shared" si="153"/>
        <v>47.28</v>
      </c>
      <c r="DK59" s="387">
        <f t="shared" si="154"/>
        <v>779647.2</v>
      </c>
      <c r="DL59" s="682" t="str">
        <f t="shared" si="155"/>
        <v/>
      </c>
      <c r="DM59" s="4" t="str">
        <f t="shared" si="156"/>
        <v/>
      </c>
      <c r="DN59" s="386" t="str">
        <f t="shared" si="157"/>
        <v/>
      </c>
      <c r="DO59" s="386">
        <f t="shared" si="79"/>
        <v>0</v>
      </c>
      <c r="DP59" s="386" t="str">
        <f t="shared" si="158"/>
        <v/>
      </c>
      <c r="DQ59" s="387" t="str">
        <f>IFERROR(VLOOKUP(BO59,INENG_LU,19,FALSE),"")</f>
        <v/>
      </c>
    </row>
    <row r="60" spans="1:121" customFormat="1" x14ac:dyDescent="0.25">
      <c r="A60" t="s">
        <v>208</v>
      </c>
      <c r="B60" t="s">
        <v>33</v>
      </c>
      <c r="C60" t="s">
        <v>34</v>
      </c>
      <c r="D60" t="s">
        <v>209</v>
      </c>
      <c r="E60" t="s">
        <v>210</v>
      </c>
      <c r="F60" t="s">
        <v>211</v>
      </c>
      <c r="G60" t="s">
        <v>212</v>
      </c>
      <c r="H60" s="3"/>
      <c r="I60" s="4"/>
      <c r="J60" s="4"/>
      <c r="K60" s="4"/>
      <c r="L60" s="4"/>
      <c r="M60" s="5"/>
      <c r="N60" s="3"/>
      <c r="O60" s="4"/>
      <c r="P60" s="4"/>
      <c r="Q60" s="4"/>
      <c r="R60" s="4"/>
      <c r="S60" s="5"/>
      <c r="T60" s="3"/>
      <c r="U60" s="4"/>
      <c r="V60" s="4"/>
      <c r="W60" s="4"/>
      <c r="X60" s="4"/>
      <c r="Y60" s="5"/>
      <c r="Z60" s="3" t="str">
        <f t="shared" ref="Z60:Z79" si="174">IFERROR(VLOOKUP(G60,Rosita_LU,4,FALSE),"")</f>
        <v/>
      </c>
      <c r="AA60" s="4" t="str">
        <f t="shared" ref="AA60:AA79" si="175">IFERROR(VLOOKUP(G60,Rosita_LU,7,FALSE),"")</f>
        <v/>
      </c>
      <c r="AB60" s="386" t="str">
        <f t="shared" ref="AB60:AB79" si="176">IFERROR(VLOOKUP(G60,Rosita_LU,8,FALSE),"")</f>
        <v/>
      </c>
      <c r="AC60" s="386">
        <f>SUM(AA60:AB60)</f>
        <v>0</v>
      </c>
      <c r="AD60" s="386" t="str">
        <f t="shared" ref="AD60:AD79" si="177">IFERROR(VLOOKUP(G60,Rosita_LU,19,FALSE),"")</f>
        <v/>
      </c>
      <c r="AE60" s="387" t="str">
        <f t="shared" ref="AE60:AE71" si="178">IFERROR(VLOOKUP(G60,Rosita_LU,23,FALSE),"")</f>
        <v/>
      </c>
      <c r="AF60" s="682">
        <f t="shared" ref="AF60:AF79" si="179">IFERROR(VLOOKUP(G60,Ompong_LU,3,FALSE),"")</f>
        <v>1652</v>
      </c>
      <c r="AG60" s="4">
        <f t="shared" ref="AG60:AG79" si="180">IFERROR(VLOOKUP(G60,Ompong_LU,7,FALSE),"")</f>
        <v>0</v>
      </c>
      <c r="AH60" s="386">
        <f t="shared" ref="AH60:AH79" si="181">IFERROR(VLOOKUP(G60,Ompong_LU,8,FALSE),"")</f>
        <v>1487</v>
      </c>
      <c r="AI60" s="386">
        <f t="shared" ref="AI60" si="182">SUM(AG60:AH60)</f>
        <v>1487</v>
      </c>
      <c r="AJ60" s="386">
        <f t="shared" ref="AJ60:AJ79" si="183">IFERROR(VLOOKUP(G60,Ompong_LU,15,FALSE),"")</f>
        <v>3583.67</v>
      </c>
      <c r="AK60" s="387">
        <f t="shared" ref="AK60:AK79" si="184">IFERROR(VLOOKUP(G60,Ompong_LU,17,FALSE),"")</f>
        <v>71673400</v>
      </c>
      <c r="AL60" s="3"/>
      <c r="AM60" s="4"/>
      <c r="AN60" s="4"/>
      <c r="AO60" s="4"/>
      <c r="AP60" s="4"/>
      <c r="AQ60" s="5"/>
      <c r="AR60" s="682" t="str">
        <f t="shared" si="96"/>
        <v/>
      </c>
      <c r="AS60" s="4" t="str">
        <f t="shared" si="97"/>
        <v/>
      </c>
      <c r="AT60" s="386" t="str">
        <f t="shared" si="98"/>
        <v/>
      </c>
      <c r="AU60" s="386">
        <f t="shared" ref="AU60" si="185">SUM(AS60:AT60)</f>
        <v>0</v>
      </c>
      <c r="AV60" s="386" t="str">
        <f t="shared" si="99"/>
        <v/>
      </c>
      <c r="AW60" s="387" t="str">
        <f t="shared" si="100"/>
        <v/>
      </c>
      <c r="AX60" s="682">
        <f t="shared" ref="AX60:AX79" si="186">IFERROR(VLOOKUP(G60,EGAY_LU,3,FALSE),"")</f>
        <v>0</v>
      </c>
      <c r="AY60" s="4">
        <f t="shared" ref="AY60:AY79" si="187">IFERROR(VLOOKUP(G60,EGAY_LU,7,FALSE),"")</f>
        <v>23.5</v>
      </c>
      <c r="AZ60" s="386">
        <f t="shared" ref="AZ60:AZ79" si="188">IFERROR(VLOOKUP(G60,EGAY_LU,8,FALSE),"")</f>
        <v>0</v>
      </c>
      <c r="BA60" s="386">
        <f t="shared" ref="BA60" si="189">SUM(AY60:AZ60)</f>
        <v>23.5</v>
      </c>
      <c r="BB60" s="386"/>
      <c r="BC60" s="387">
        <f t="shared" ref="BC60:BC79" si="190">IFERROR(VLOOKUP(G60,EGAY_LU,15,FALSE),"")</f>
        <v>64168.5</v>
      </c>
      <c r="BD60" s="682" t="str">
        <f t="shared" ref="BD60:BD79" si="191">IFERROR(VLOOKUP(G60,INENG_LU,3,FALSE),"")</f>
        <v/>
      </c>
      <c r="BE60" s="4" t="str">
        <f t="shared" ref="BE60:BE79" si="192">IFERROR(VLOOKUP(G60,INENG_LU,7,FALSE),"")</f>
        <v/>
      </c>
      <c r="BF60" s="386" t="str">
        <f t="shared" ref="BF60:BF79" si="193">IFERROR(VLOOKUP(G60,INENG_LU,8,FALSE),"")</f>
        <v/>
      </c>
      <c r="BG60" s="386">
        <f t="shared" si="163"/>
        <v>0</v>
      </c>
      <c r="BH60" s="386" t="str">
        <f t="shared" ref="BH60:BH79" si="194">IFERROR(VLOOKUP(G60,INENG_LU,16,FALSE),"")</f>
        <v/>
      </c>
      <c r="BI60" s="387" t="str">
        <f t="shared" si="170"/>
        <v/>
      </c>
      <c r="BJ60" s="682" t="str">
        <f t="shared" ref="BJ60:BJ79" si="195">IFERROR(VLOOKUP(M60,INENG_LU,3,FALSE),"")</f>
        <v/>
      </c>
      <c r="BK60" s="4" t="str">
        <f t="shared" ref="BK60:BK79" si="196">IFERROR(VLOOKUP(M60,INENG_LU,7,FALSE),"")</f>
        <v/>
      </c>
      <c r="BL60" s="386" t="str">
        <f t="shared" ref="BL60:BL79" si="197">IFERROR(VLOOKUP(M60,INENG_LU,8,FALSE),"")</f>
        <v/>
      </c>
      <c r="BM60" s="386">
        <f t="shared" si="25"/>
        <v>0</v>
      </c>
      <c r="BN60" s="386" t="str">
        <f t="shared" ref="BN60:BN79" si="198">IFERROR(VLOOKUP(M60,INENG_LU,16,FALSE),"")</f>
        <v/>
      </c>
      <c r="BO60" s="387" t="str">
        <f t="shared" si="171"/>
        <v/>
      </c>
      <c r="BP60" s="682">
        <f t="shared" ref="BP60:BP79" si="199">IFERROR(VLOOKUP(G60,Lando_LU,3,FALSE),"")</f>
        <v>0</v>
      </c>
      <c r="BQ60" s="4">
        <f t="shared" ref="BQ60:BQ79" si="200">IFERROR(VLOOKUP(G60,Lando_LU,7,FALSE),"")</f>
        <v>0</v>
      </c>
      <c r="BR60" s="386">
        <f t="shared" ref="BR60:BR79" si="201">IFERROR(VLOOKUP(G60,Lando_LU,8,FALSE),"")</f>
        <v>894.3</v>
      </c>
      <c r="BS60" s="386">
        <f t="shared" ref="BS60" si="202">SUM(BQ60:BR60)</f>
        <v>894.3</v>
      </c>
      <c r="BT60" s="386">
        <f t="shared" ref="BT60:BT79" si="203">IFERROR(VLOOKUP(G60,Lando_LU,15,FALSE),"")</f>
        <v>414.06089999999995</v>
      </c>
      <c r="BU60" s="387">
        <f t="shared" ref="BU60:BU79" si="204">IFERROR(VLOOKUP(G60,Lando_LU,17,FALSE),"")</f>
        <v>7039035.2999999998</v>
      </c>
      <c r="BV60" s="682" t="str">
        <f t="shared" ref="BV60:BV79" si="205">IFERROR(VLOOKUP(Y60,INENG_LU,3,FALSE),"")</f>
        <v/>
      </c>
      <c r="BW60" s="4" t="str">
        <f t="shared" ref="BW60:BW79" si="206">IFERROR(VLOOKUP(Y60,INENG_LU,7,FALSE),"")</f>
        <v/>
      </c>
      <c r="BX60" s="386" t="str">
        <f t="shared" ref="BX60:BX79" si="207">IFERROR(VLOOKUP(Y60,INENG_LU,8,FALSE),"")</f>
        <v/>
      </c>
      <c r="BY60" s="386">
        <f t="shared" si="37"/>
        <v>0</v>
      </c>
      <c r="BZ60" s="386" t="str">
        <f t="shared" ref="BZ60:BZ79" si="208">IFERROR(VLOOKUP(Y60,INENG_LU,16,FALSE),"")</f>
        <v/>
      </c>
      <c r="CA60" s="387" t="str">
        <f t="shared" si="172"/>
        <v/>
      </c>
      <c r="CB60" s="682" t="str">
        <f t="shared" ref="CB60:CB79" si="209">IFERROR(VLOOKUP(AE60,INENG_LU,3,FALSE),"")</f>
        <v/>
      </c>
      <c r="CC60" s="4" t="str">
        <f t="shared" ref="CC60:CC79" si="210">IFERROR(VLOOKUP(AE60,INENG_LU,7,FALSE),"")</f>
        <v/>
      </c>
      <c r="CD60" s="386" t="str">
        <f t="shared" ref="CD60:CD79" si="211">IFERROR(VLOOKUP(AE60,INENG_LU,8,FALSE),"")</f>
        <v/>
      </c>
      <c r="CE60" s="386">
        <f t="shared" si="43"/>
        <v>0</v>
      </c>
      <c r="CF60" s="386" t="str">
        <f t="shared" ref="CF60:CF79" si="212">IFERROR(VLOOKUP(AE60,INENG_LU,16,FALSE),"")</f>
        <v/>
      </c>
      <c r="CG60" s="387" t="str">
        <f t="shared" si="173"/>
        <v/>
      </c>
      <c r="CH60" s="682">
        <f t="shared" ref="CH60:CH79" si="213">IFERROR(VLOOKUP(G60,LUIS_LU,3,FALSE),"")</f>
        <v>0</v>
      </c>
      <c r="CI60" s="4">
        <f t="shared" ref="CI60:CI79" si="214">IFERROR(VLOOKUP(G60,LUIS_LU,7,FALSE),"")</f>
        <v>0</v>
      </c>
      <c r="CJ60" s="386">
        <f t="shared" ref="CJ60:CJ79" si="215">IFERROR(VLOOKUP(G60,LUIS_LU,8,FALSE),"")</f>
        <v>154</v>
      </c>
      <c r="CK60" s="386">
        <f t="shared" ref="CK60" si="216">SUM(CI60:CJ60)</f>
        <v>154</v>
      </c>
      <c r="CL60" s="386">
        <f t="shared" ref="CL60:CL79" si="217">IFERROR(VLOOKUP(G60,LUIS_LU,13,FALSE),"")</f>
        <v>69.762</v>
      </c>
      <c r="CM60" s="387">
        <f t="shared" ref="CM60:CM79" si="218">IFERROR(VLOOKUP(G60,LUIS_LU,15,FALSE),"")</f>
        <v>1462909.1400000001</v>
      </c>
      <c r="CN60" s="682" t="str">
        <f t="shared" ref="CN60:CN79" si="219">IFERROR(VLOOKUP(G60,MARING_LU,3,FALSE),"")</f>
        <v/>
      </c>
      <c r="CO60" s="4" t="str">
        <f t="shared" ref="CO60:CO79" si="220">IFERROR(VLOOKUP(G60,MARING_LU,7,FALSE),"")</f>
        <v/>
      </c>
      <c r="CP60" s="386" t="str">
        <f t="shared" ref="CP60:CP79" si="221">IFERROR(VLOOKUP(G60,MARING_LU,8,FALSE),"")</f>
        <v/>
      </c>
      <c r="CQ60" s="386">
        <f t="shared" ref="CQ60" si="222">SUM(CO60:CP60)</f>
        <v>0</v>
      </c>
      <c r="CR60" s="386" t="str">
        <f t="shared" ref="CR60:CR79" si="223">IFERROR(VLOOKUP(G60,MARING_LU,13,FALSE),"")</f>
        <v/>
      </c>
      <c r="CS60" s="387" t="str">
        <f t="shared" ref="CS60:CS79" si="224">IFERROR(VLOOKUP(G60,MARING_LU,16,FALSE),"")</f>
        <v/>
      </c>
      <c r="CT60" s="682" t="str">
        <f t="shared" ref="CT60:CT79" si="225">IFERROR(VLOOKUP(AW60,INENG_LU,3,FALSE),"")</f>
        <v/>
      </c>
      <c r="CU60" s="4" t="str">
        <f t="shared" ref="CU60:CU79" si="226">IFERROR(VLOOKUP(AW60,INENG_LU,7,FALSE),"")</f>
        <v/>
      </c>
      <c r="CV60" s="386" t="str">
        <f t="shared" ref="CV60:CV79" si="227">IFERROR(VLOOKUP(AW60,INENG_LU,8,FALSE),"")</f>
        <v/>
      </c>
      <c r="CW60" s="386">
        <f t="shared" ref="CW60:CW66" si="228">SUM(CU60:CV60)</f>
        <v>0</v>
      </c>
      <c r="CX60" s="386" t="str">
        <f t="shared" ref="CX60:CX79" si="229">IFERROR(VLOOKUP(AW60,INENG_LU,16,FALSE),"")</f>
        <v/>
      </c>
      <c r="CY60" s="387" t="str">
        <f t="shared" ref="CY60:CY79" si="230">IFERROR(VLOOKUP(AW60,INENG_LU,19,FALSE),"")</f>
        <v/>
      </c>
      <c r="CZ60" s="682" t="str">
        <f t="shared" ref="CZ60:CZ79" si="231">IFERROR(VLOOKUP(BC60,INENG_LU,3,FALSE),"")</f>
        <v/>
      </c>
      <c r="DA60" s="4" t="str">
        <f t="shared" ref="DA60:DA79" si="232">IFERROR(VLOOKUP(BC60,INENG_LU,7,FALSE),"")</f>
        <v/>
      </c>
      <c r="DB60" s="386" t="str">
        <f t="shared" ref="DB60:DB79" si="233">IFERROR(VLOOKUP(BC60,INENG_LU,8,FALSE),"")</f>
        <v/>
      </c>
      <c r="DC60" s="386">
        <f t="shared" ref="DC60:DC66" si="234">SUM(DA60:DB60)</f>
        <v>0</v>
      </c>
      <c r="DD60" s="386" t="str">
        <f t="shared" ref="DD60:DD79" si="235">IFERROR(VLOOKUP(BC60,INENG_LU,16,FALSE),"")</f>
        <v/>
      </c>
      <c r="DE60" s="387" t="str">
        <f t="shared" ref="DE60:DE79" si="236">IFERROR(VLOOKUP(BC60,INENG_LU,19,FALSE),"")</f>
        <v/>
      </c>
      <c r="DF60" s="682">
        <f t="shared" ref="DF60:DF79" si="237">IFERROR(VLOOKUP(G60,PEDRING_LU,3,FALSE),"")</f>
        <v>0</v>
      </c>
      <c r="DG60" s="4">
        <f t="shared" ref="DG60:DG79" si="238">IFERROR(VLOOKUP(G60,PEDRING_LU,7,FALSE),"")</f>
        <v>0</v>
      </c>
      <c r="DH60" s="386">
        <f t="shared" ref="DH60:DH79" si="239">IFERROR(VLOOKUP(G60,PEDRING_LU,8,FALSE),"")</f>
        <v>142</v>
      </c>
      <c r="DI60" s="386">
        <f t="shared" ref="DI60" si="240">SUM(DG60:DH60)</f>
        <v>142</v>
      </c>
      <c r="DJ60" s="386">
        <f t="shared" ref="DJ60:DJ79" si="241">IFERROR(VLOOKUP(G60,PEDRING_LU,13,FALSE),"")</f>
        <v>95.424000000000007</v>
      </c>
      <c r="DK60" s="387">
        <f t="shared" ref="DK60:DK79" si="242">IFERROR(VLOOKUP(G60,PEDRING_LU,16,FALSE),"")</f>
        <v>1573541.7599999998</v>
      </c>
      <c r="DL60" s="682" t="str">
        <f t="shared" ref="DL60:DL79" si="243">IFERROR(VLOOKUP(G60,ONDOY_LU,3,FALSE),"")</f>
        <v/>
      </c>
      <c r="DM60" s="4" t="str">
        <f t="shared" ref="DM60:DM79" si="244">IFERROR(VLOOKUP(G60,ONDOY_LU,4,FALSE),"")</f>
        <v/>
      </c>
      <c r="DN60" s="386" t="str">
        <f t="shared" ref="DN60:DN79" si="245">IFERROR(VLOOKUP(G60,ONDOY_LU,5,FALSE),"")</f>
        <v/>
      </c>
      <c r="DO60" s="386">
        <f t="shared" si="79"/>
        <v>0</v>
      </c>
      <c r="DP60" s="386" t="str">
        <f t="shared" ref="DP60:DP79" si="246">IFERROR(VLOOKUP(G60,ONDOY_LU,9,FALSE),"")</f>
        <v/>
      </c>
      <c r="DQ60" s="387" t="str">
        <f t="shared" ref="DQ60:DQ79" si="247">IFERROR(VLOOKUP(G60,ONDOY_LU,10,FALSE),"")</f>
        <v/>
      </c>
    </row>
    <row r="61" spans="1:121" customFormat="1" x14ac:dyDescent="0.25">
      <c r="A61" t="s">
        <v>213</v>
      </c>
      <c r="B61" t="s">
        <v>33</v>
      </c>
      <c r="C61" t="s">
        <v>34</v>
      </c>
      <c r="D61" t="s">
        <v>209</v>
      </c>
      <c r="E61" t="s">
        <v>210</v>
      </c>
      <c r="F61" t="s">
        <v>214</v>
      </c>
      <c r="G61" t="s">
        <v>215</v>
      </c>
      <c r="H61" s="3"/>
      <c r="I61" s="4"/>
      <c r="J61" s="4"/>
      <c r="K61" s="4"/>
      <c r="L61" s="4"/>
      <c r="M61" s="5"/>
      <c r="N61" s="3"/>
      <c r="O61" s="4"/>
      <c r="P61" s="4"/>
      <c r="Q61" s="4"/>
      <c r="R61" s="4"/>
      <c r="S61" s="5"/>
      <c r="T61" s="3"/>
      <c r="U61" s="4"/>
      <c r="V61" s="4"/>
      <c r="W61" s="4"/>
      <c r="X61" s="4"/>
      <c r="Y61" s="5"/>
      <c r="Z61" s="3" t="str">
        <f t="shared" si="174"/>
        <v/>
      </c>
      <c r="AA61" s="4" t="str">
        <f t="shared" si="175"/>
        <v/>
      </c>
      <c r="AB61" s="386" t="str">
        <f t="shared" si="176"/>
        <v/>
      </c>
      <c r="AC61" s="386">
        <f t="shared" ref="AC61:AC79" si="248">SUM(AA61:AB61)</f>
        <v>0</v>
      </c>
      <c r="AD61" s="386" t="str">
        <f t="shared" si="177"/>
        <v/>
      </c>
      <c r="AE61" s="387" t="str">
        <f t="shared" si="178"/>
        <v/>
      </c>
      <c r="AF61" s="682">
        <f t="shared" si="179"/>
        <v>0</v>
      </c>
      <c r="AG61" s="4">
        <f t="shared" si="180"/>
        <v>10</v>
      </c>
      <c r="AH61" s="386">
        <f t="shared" si="181"/>
        <v>975</v>
      </c>
      <c r="AI61" s="386">
        <f t="shared" ref="AI61:AI79" si="249">SUM(AG61:AH61)</f>
        <v>985</v>
      </c>
      <c r="AJ61" s="386">
        <f t="shared" si="183"/>
        <v>2156.9499999999998</v>
      </c>
      <c r="AK61" s="387">
        <f t="shared" si="184"/>
        <v>48838650</v>
      </c>
      <c r="AL61" s="3"/>
      <c r="AM61" s="4"/>
      <c r="AN61" s="4"/>
      <c r="AO61" s="4"/>
      <c r="AP61" s="4"/>
      <c r="AQ61" s="5"/>
      <c r="AR61" s="3"/>
      <c r="AS61" s="4"/>
      <c r="AT61" s="4"/>
      <c r="AU61" s="4"/>
      <c r="AV61" s="4"/>
      <c r="AW61" s="5"/>
      <c r="AX61" s="682" t="str">
        <f t="shared" si="186"/>
        <v/>
      </c>
      <c r="AY61" s="4" t="str">
        <f t="shared" si="187"/>
        <v/>
      </c>
      <c r="AZ61" s="386" t="str">
        <f t="shared" si="188"/>
        <v/>
      </c>
      <c r="BA61" s="386">
        <f t="shared" ref="BA61:BA79" si="250">SUM(AY61:AZ61)</f>
        <v>0</v>
      </c>
      <c r="BB61" s="386"/>
      <c r="BC61" s="387" t="str">
        <f t="shared" si="190"/>
        <v/>
      </c>
      <c r="BD61" s="682" t="str">
        <f t="shared" si="191"/>
        <v/>
      </c>
      <c r="BE61" s="4" t="str">
        <f t="shared" si="192"/>
        <v/>
      </c>
      <c r="BF61" s="386" t="str">
        <f t="shared" si="193"/>
        <v/>
      </c>
      <c r="BG61" s="386">
        <f t="shared" ref="BG61:BG78" si="251">SUM(BE61:BF61)</f>
        <v>0</v>
      </c>
      <c r="BH61" s="386" t="str">
        <f t="shared" si="194"/>
        <v/>
      </c>
      <c r="BI61" s="387" t="str">
        <f t="shared" si="170"/>
        <v/>
      </c>
      <c r="BJ61" s="682" t="str">
        <f t="shared" si="195"/>
        <v/>
      </c>
      <c r="BK61" s="4" t="str">
        <f t="shared" si="196"/>
        <v/>
      </c>
      <c r="BL61" s="386" t="str">
        <f t="shared" si="197"/>
        <v/>
      </c>
      <c r="BM61" s="386">
        <f t="shared" si="25"/>
        <v>0</v>
      </c>
      <c r="BN61" s="386" t="str">
        <f t="shared" si="198"/>
        <v/>
      </c>
      <c r="BO61" s="387" t="str">
        <f t="shared" si="171"/>
        <v/>
      </c>
      <c r="BP61" s="682">
        <f t="shared" si="199"/>
        <v>0</v>
      </c>
      <c r="BQ61" s="4">
        <f t="shared" si="200"/>
        <v>0</v>
      </c>
      <c r="BR61" s="386">
        <f t="shared" si="201"/>
        <v>275</v>
      </c>
      <c r="BS61" s="386">
        <f t="shared" ref="BS61:BS79" si="252">SUM(BQ61:BR61)</f>
        <v>275</v>
      </c>
      <c r="BT61" s="386">
        <f t="shared" si="203"/>
        <v>127.325</v>
      </c>
      <c r="BU61" s="387">
        <f t="shared" si="204"/>
        <v>2164525</v>
      </c>
      <c r="BV61" s="682" t="str">
        <f t="shared" si="205"/>
        <v/>
      </c>
      <c r="BW61" s="4" t="str">
        <f t="shared" si="206"/>
        <v/>
      </c>
      <c r="BX61" s="386" t="str">
        <f t="shared" si="207"/>
        <v/>
      </c>
      <c r="BY61" s="386">
        <f t="shared" si="37"/>
        <v>0</v>
      </c>
      <c r="BZ61" s="386" t="str">
        <f t="shared" si="208"/>
        <v/>
      </c>
      <c r="CA61" s="387" t="str">
        <f t="shared" si="172"/>
        <v/>
      </c>
      <c r="CB61" s="682" t="str">
        <f t="shared" si="209"/>
        <v/>
      </c>
      <c r="CC61" s="4" t="str">
        <f t="shared" si="210"/>
        <v/>
      </c>
      <c r="CD61" s="386" t="str">
        <f t="shared" si="211"/>
        <v/>
      </c>
      <c r="CE61" s="386">
        <f t="shared" si="43"/>
        <v>0</v>
      </c>
      <c r="CF61" s="386" t="str">
        <f t="shared" si="212"/>
        <v/>
      </c>
      <c r="CG61" s="387" t="str">
        <f t="shared" si="173"/>
        <v/>
      </c>
      <c r="CH61" s="682" t="str">
        <f t="shared" si="213"/>
        <v/>
      </c>
      <c r="CI61" s="4" t="str">
        <f t="shared" si="214"/>
        <v/>
      </c>
      <c r="CJ61" s="386" t="str">
        <f t="shared" si="215"/>
        <v/>
      </c>
      <c r="CK61" s="386">
        <f t="shared" ref="CK61:CK79" si="253">SUM(CI61:CJ61)</f>
        <v>0</v>
      </c>
      <c r="CL61" s="386" t="str">
        <f t="shared" si="217"/>
        <v/>
      </c>
      <c r="CM61" s="387" t="str">
        <f t="shared" si="218"/>
        <v/>
      </c>
      <c r="CN61" s="682" t="str">
        <f t="shared" si="219"/>
        <v/>
      </c>
      <c r="CO61" s="4" t="str">
        <f t="shared" si="220"/>
        <v/>
      </c>
      <c r="CP61" s="386" t="str">
        <f t="shared" si="221"/>
        <v/>
      </c>
      <c r="CQ61" s="386">
        <f t="shared" ref="CQ61:CQ79" si="254">SUM(CO61:CP61)</f>
        <v>0</v>
      </c>
      <c r="CR61" s="386" t="str">
        <f t="shared" si="223"/>
        <v/>
      </c>
      <c r="CS61" s="387" t="str">
        <f t="shared" si="224"/>
        <v/>
      </c>
      <c r="CT61" s="682" t="str">
        <f t="shared" si="225"/>
        <v/>
      </c>
      <c r="CU61" s="4" t="str">
        <f t="shared" si="226"/>
        <v/>
      </c>
      <c r="CV61" s="386" t="str">
        <f t="shared" si="227"/>
        <v/>
      </c>
      <c r="CW61" s="386">
        <f t="shared" si="228"/>
        <v>0</v>
      </c>
      <c r="CX61" s="386" t="str">
        <f t="shared" si="229"/>
        <v/>
      </c>
      <c r="CY61" s="387" t="str">
        <f t="shared" si="230"/>
        <v/>
      </c>
      <c r="CZ61" s="682" t="str">
        <f t="shared" si="231"/>
        <v/>
      </c>
      <c r="DA61" s="4" t="str">
        <f t="shared" si="232"/>
        <v/>
      </c>
      <c r="DB61" s="386" t="str">
        <f t="shared" si="233"/>
        <v/>
      </c>
      <c r="DC61" s="386">
        <f t="shared" si="234"/>
        <v>0</v>
      </c>
      <c r="DD61" s="386" t="str">
        <f t="shared" si="235"/>
        <v/>
      </c>
      <c r="DE61" s="387" t="str">
        <f t="shared" si="236"/>
        <v/>
      </c>
      <c r="DF61" s="682" t="str">
        <f t="shared" si="237"/>
        <v/>
      </c>
      <c r="DG61" s="4" t="str">
        <f t="shared" si="238"/>
        <v/>
      </c>
      <c r="DH61" s="386" t="str">
        <f t="shared" si="239"/>
        <v/>
      </c>
      <c r="DI61" s="386">
        <f t="shared" ref="DI61:DI79" si="255">SUM(DG61:DH61)</f>
        <v>0</v>
      </c>
      <c r="DJ61" s="386" t="str">
        <f t="shared" si="241"/>
        <v/>
      </c>
      <c r="DK61" s="387" t="str">
        <f t="shared" si="242"/>
        <v/>
      </c>
      <c r="DL61" s="682" t="str">
        <f t="shared" si="243"/>
        <v/>
      </c>
      <c r="DM61" s="4" t="str">
        <f t="shared" si="244"/>
        <v/>
      </c>
      <c r="DN61" s="386" t="str">
        <f t="shared" si="245"/>
        <v/>
      </c>
      <c r="DO61" s="386">
        <f t="shared" ref="DO61:DO79" si="256">SUM(DM61:DN61)</f>
        <v>0</v>
      </c>
      <c r="DP61" s="386" t="str">
        <f t="shared" si="246"/>
        <v/>
      </c>
      <c r="DQ61" s="387" t="str">
        <f t="shared" si="247"/>
        <v/>
      </c>
    </row>
    <row r="62" spans="1:121" customFormat="1" x14ac:dyDescent="0.25">
      <c r="A62" t="s">
        <v>216</v>
      </c>
      <c r="B62" t="s">
        <v>33</v>
      </c>
      <c r="C62" t="s">
        <v>34</v>
      </c>
      <c r="D62" t="s">
        <v>209</v>
      </c>
      <c r="E62" t="s">
        <v>210</v>
      </c>
      <c r="F62" t="s">
        <v>217</v>
      </c>
      <c r="G62" t="s">
        <v>218</v>
      </c>
      <c r="H62" s="3"/>
      <c r="I62" s="4"/>
      <c r="J62" s="4"/>
      <c r="K62" s="4"/>
      <c r="L62" s="4"/>
      <c r="M62" s="5"/>
      <c r="N62" s="3"/>
      <c r="O62" s="4"/>
      <c r="P62" s="4"/>
      <c r="Q62" s="4"/>
      <c r="R62" s="4"/>
      <c r="S62" s="5"/>
      <c r="T62" s="3"/>
      <c r="U62" s="4"/>
      <c r="V62" s="4"/>
      <c r="W62" s="4"/>
      <c r="X62" s="4"/>
      <c r="Y62" s="5"/>
      <c r="Z62" s="3" t="str">
        <f t="shared" si="174"/>
        <v/>
      </c>
      <c r="AA62" s="4" t="str">
        <f t="shared" si="175"/>
        <v/>
      </c>
      <c r="AB62" s="386" t="str">
        <f t="shared" si="176"/>
        <v/>
      </c>
      <c r="AC62" s="386">
        <f t="shared" si="248"/>
        <v>0</v>
      </c>
      <c r="AD62" s="386" t="str">
        <f t="shared" si="177"/>
        <v/>
      </c>
      <c r="AE62" s="387" t="str">
        <f t="shared" si="178"/>
        <v/>
      </c>
      <c r="AF62" s="682">
        <f t="shared" si="179"/>
        <v>80</v>
      </c>
      <c r="AG62" s="4">
        <f t="shared" si="180"/>
        <v>630</v>
      </c>
      <c r="AH62" s="386">
        <f t="shared" si="181"/>
        <v>438.16</v>
      </c>
      <c r="AI62" s="386">
        <f t="shared" si="249"/>
        <v>1068.1600000000001</v>
      </c>
      <c r="AJ62" s="386">
        <f t="shared" si="183"/>
        <v>4034.7256000000007</v>
      </c>
      <c r="AK62" s="387">
        <f t="shared" si="184"/>
        <v>80694512</v>
      </c>
      <c r="AL62" s="3"/>
      <c r="AM62" s="4"/>
      <c r="AN62" s="4"/>
      <c r="AO62" s="4"/>
      <c r="AP62" s="4"/>
      <c r="AQ62" s="5"/>
      <c r="AR62" s="3"/>
      <c r="AS62" s="4"/>
      <c r="AT62" s="4"/>
      <c r="AU62" s="4"/>
      <c r="AV62" s="4"/>
      <c r="AW62" s="5"/>
      <c r="AX62" s="682">
        <f t="shared" si="186"/>
        <v>0</v>
      </c>
      <c r="AY62" s="4">
        <f t="shared" si="187"/>
        <v>10.5</v>
      </c>
      <c r="AZ62" s="386">
        <f t="shared" si="188"/>
        <v>2.4</v>
      </c>
      <c r="BA62" s="386">
        <f t="shared" si="250"/>
        <v>12.9</v>
      </c>
      <c r="BB62" s="386"/>
      <c r="BC62" s="387">
        <f t="shared" si="190"/>
        <v>555955.1</v>
      </c>
      <c r="BD62" s="682" t="str">
        <f t="shared" si="191"/>
        <v/>
      </c>
      <c r="BE62" s="4" t="str">
        <f t="shared" si="192"/>
        <v/>
      </c>
      <c r="BF62" s="386" t="str">
        <f t="shared" si="193"/>
        <v/>
      </c>
      <c r="BG62" s="386">
        <f t="shared" si="251"/>
        <v>0</v>
      </c>
      <c r="BH62" s="386" t="str">
        <f t="shared" si="194"/>
        <v/>
      </c>
      <c r="BI62" s="387" t="str">
        <f t="shared" si="170"/>
        <v/>
      </c>
      <c r="BJ62" s="682" t="str">
        <f t="shared" si="195"/>
        <v/>
      </c>
      <c r="BK62" s="4" t="str">
        <f t="shared" si="196"/>
        <v/>
      </c>
      <c r="BL62" s="386" t="str">
        <f t="shared" si="197"/>
        <v/>
      </c>
      <c r="BM62" s="386">
        <f t="shared" si="25"/>
        <v>0</v>
      </c>
      <c r="BN62" s="386" t="str">
        <f t="shared" si="198"/>
        <v/>
      </c>
      <c r="BO62" s="387" t="str">
        <f t="shared" si="171"/>
        <v/>
      </c>
      <c r="BP62" s="682">
        <f t="shared" si="199"/>
        <v>0</v>
      </c>
      <c r="BQ62" s="4">
        <f t="shared" si="200"/>
        <v>0.5</v>
      </c>
      <c r="BR62" s="386">
        <f t="shared" si="201"/>
        <v>649.5</v>
      </c>
      <c r="BS62" s="386">
        <f t="shared" si="252"/>
        <v>650</v>
      </c>
      <c r="BT62" s="386">
        <f t="shared" si="203"/>
        <v>303.0335</v>
      </c>
      <c r="BU62" s="387">
        <f t="shared" si="204"/>
        <v>5151569.5</v>
      </c>
      <c r="BV62" s="682" t="str">
        <f t="shared" si="205"/>
        <v/>
      </c>
      <c r="BW62" s="4" t="str">
        <f t="shared" si="206"/>
        <v/>
      </c>
      <c r="BX62" s="386" t="str">
        <f t="shared" si="207"/>
        <v/>
      </c>
      <c r="BY62" s="386">
        <f t="shared" si="37"/>
        <v>0</v>
      </c>
      <c r="BZ62" s="386" t="str">
        <f t="shared" si="208"/>
        <v/>
      </c>
      <c r="CA62" s="387" t="str">
        <f t="shared" si="172"/>
        <v/>
      </c>
      <c r="CB62" s="682" t="str">
        <f t="shared" si="209"/>
        <v/>
      </c>
      <c r="CC62" s="4" t="str">
        <f t="shared" si="210"/>
        <v/>
      </c>
      <c r="CD62" s="386" t="str">
        <f t="shared" si="211"/>
        <v/>
      </c>
      <c r="CE62" s="386">
        <f t="shared" si="43"/>
        <v>0</v>
      </c>
      <c r="CF62" s="386" t="str">
        <f t="shared" si="212"/>
        <v/>
      </c>
      <c r="CG62" s="387" t="str">
        <f t="shared" si="173"/>
        <v/>
      </c>
      <c r="CH62" s="682" t="str">
        <f t="shared" si="213"/>
        <v/>
      </c>
      <c r="CI62" s="4" t="str">
        <f t="shared" si="214"/>
        <v/>
      </c>
      <c r="CJ62" s="386" t="str">
        <f t="shared" si="215"/>
        <v/>
      </c>
      <c r="CK62" s="386">
        <f t="shared" si="253"/>
        <v>0</v>
      </c>
      <c r="CL62" s="386" t="str">
        <f t="shared" si="217"/>
        <v/>
      </c>
      <c r="CM62" s="387" t="str">
        <f t="shared" si="218"/>
        <v/>
      </c>
      <c r="CN62" s="682" t="str">
        <f t="shared" si="219"/>
        <v/>
      </c>
      <c r="CO62" s="4" t="str">
        <f t="shared" si="220"/>
        <v/>
      </c>
      <c r="CP62" s="386" t="str">
        <f t="shared" si="221"/>
        <v/>
      </c>
      <c r="CQ62" s="386">
        <f t="shared" si="254"/>
        <v>0</v>
      </c>
      <c r="CR62" s="386" t="str">
        <f t="shared" si="223"/>
        <v/>
      </c>
      <c r="CS62" s="387" t="str">
        <f t="shared" si="224"/>
        <v/>
      </c>
      <c r="CT62" s="682" t="str">
        <f t="shared" si="225"/>
        <v/>
      </c>
      <c r="CU62" s="4" t="str">
        <f t="shared" si="226"/>
        <v/>
      </c>
      <c r="CV62" s="386" t="str">
        <f t="shared" si="227"/>
        <v/>
      </c>
      <c r="CW62" s="386">
        <f t="shared" si="228"/>
        <v>0</v>
      </c>
      <c r="CX62" s="386" t="str">
        <f t="shared" si="229"/>
        <v/>
      </c>
      <c r="CY62" s="387" t="str">
        <f t="shared" si="230"/>
        <v/>
      </c>
      <c r="CZ62" s="682" t="str">
        <f t="shared" si="231"/>
        <v/>
      </c>
      <c r="DA62" s="4" t="str">
        <f t="shared" si="232"/>
        <v/>
      </c>
      <c r="DB62" s="386" t="str">
        <f t="shared" si="233"/>
        <v/>
      </c>
      <c r="DC62" s="386">
        <f t="shared" si="234"/>
        <v>0</v>
      </c>
      <c r="DD62" s="386" t="str">
        <f t="shared" si="235"/>
        <v/>
      </c>
      <c r="DE62" s="387" t="str">
        <f t="shared" si="236"/>
        <v/>
      </c>
      <c r="DF62" s="682">
        <f t="shared" si="237"/>
        <v>0</v>
      </c>
      <c r="DG62" s="4">
        <f t="shared" si="238"/>
        <v>10</v>
      </c>
      <c r="DH62" s="386">
        <f t="shared" si="239"/>
        <v>405</v>
      </c>
      <c r="DI62" s="386">
        <f t="shared" si="255"/>
        <v>415</v>
      </c>
      <c r="DJ62" s="386">
        <f t="shared" si="241"/>
        <v>156.96900000000002</v>
      </c>
      <c r="DK62" s="387">
        <f t="shared" si="242"/>
        <v>2588418.81</v>
      </c>
      <c r="DL62" s="682" t="str">
        <f t="shared" si="243"/>
        <v/>
      </c>
      <c r="DM62" s="4" t="str">
        <f t="shared" si="244"/>
        <v/>
      </c>
      <c r="DN62" s="386" t="str">
        <f t="shared" si="245"/>
        <v/>
      </c>
      <c r="DO62" s="386">
        <f t="shared" si="256"/>
        <v>0</v>
      </c>
      <c r="DP62" s="386" t="str">
        <f t="shared" si="246"/>
        <v/>
      </c>
      <c r="DQ62" s="387" t="str">
        <f t="shared" si="247"/>
        <v/>
      </c>
    </row>
    <row r="63" spans="1:121" customFormat="1" x14ac:dyDescent="0.25">
      <c r="A63" t="s">
        <v>219</v>
      </c>
      <c r="B63" t="s">
        <v>33</v>
      </c>
      <c r="C63" t="s">
        <v>34</v>
      </c>
      <c r="D63" t="s">
        <v>209</v>
      </c>
      <c r="E63" t="s">
        <v>210</v>
      </c>
      <c r="F63" t="s">
        <v>220</v>
      </c>
      <c r="G63" t="s">
        <v>221</v>
      </c>
      <c r="H63" s="3"/>
      <c r="I63" s="4"/>
      <c r="J63" s="4"/>
      <c r="K63" s="4"/>
      <c r="L63" s="4"/>
      <c r="M63" s="5"/>
      <c r="N63" s="3"/>
      <c r="O63" s="4"/>
      <c r="P63" s="4"/>
      <c r="Q63" s="4"/>
      <c r="R63" s="4"/>
      <c r="S63" s="5"/>
      <c r="T63" s="3"/>
      <c r="U63" s="4"/>
      <c r="V63" s="4"/>
      <c r="W63" s="4"/>
      <c r="X63" s="4"/>
      <c r="Y63" s="5"/>
      <c r="Z63" s="3" t="str">
        <f t="shared" si="174"/>
        <v/>
      </c>
      <c r="AA63" s="4" t="str">
        <f t="shared" si="175"/>
        <v/>
      </c>
      <c r="AB63" s="386" t="str">
        <f t="shared" si="176"/>
        <v/>
      </c>
      <c r="AC63" s="386">
        <f t="shared" si="248"/>
        <v>0</v>
      </c>
      <c r="AD63" s="386" t="str">
        <f t="shared" si="177"/>
        <v/>
      </c>
      <c r="AE63" s="387" t="str">
        <f t="shared" si="178"/>
        <v/>
      </c>
      <c r="AF63" s="682">
        <f t="shared" si="179"/>
        <v>746.66666666666663</v>
      </c>
      <c r="AG63" s="4">
        <f t="shared" si="180"/>
        <v>0</v>
      </c>
      <c r="AH63" s="386">
        <f t="shared" si="181"/>
        <v>560</v>
      </c>
      <c r="AI63" s="386">
        <f t="shared" si="249"/>
        <v>560</v>
      </c>
      <c r="AJ63" s="386">
        <f t="shared" si="183"/>
        <v>1349.6000000000001</v>
      </c>
      <c r="AK63" s="387">
        <f t="shared" si="184"/>
        <v>26992000.000000004</v>
      </c>
      <c r="AL63" s="3"/>
      <c r="AM63" s="4"/>
      <c r="AN63" s="4"/>
      <c r="AO63" s="4"/>
      <c r="AP63" s="4"/>
      <c r="AQ63" s="5"/>
      <c r="AR63" s="3"/>
      <c r="AS63" s="4"/>
      <c r="AT63" s="4"/>
      <c r="AU63" s="4"/>
      <c r="AV63" s="4"/>
      <c r="AW63" s="5"/>
      <c r="AX63" s="682" t="str">
        <f t="shared" si="186"/>
        <v/>
      </c>
      <c r="AY63" s="4" t="str">
        <f t="shared" si="187"/>
        <v/>
      </c>
      <c r="AZ63" s="386" t="str">
        <f t="shared" si="188"/>
        <v/>
      </c>
      <c r="BA63" s="386">
        <f t="shared" si="250"/>
        <v>0</v>
      </c>
      <c r="BB63" s="386"/>
      <c r="BC63" s="387" t="str">
        <f t="shared" si="190"/>
        <v/>
      </c>
      <c r="BD63" s="682">
        <f t="shared" si="191"/>
        <v>0</v>
      </c>
      <c r="BE63" s="4">
        <f t="shared" si="192"/>
        <v>0.5</v>
      </c>
      <c r="BF63" s="386">
        <f t="shared" si="193"/>
        <v>0.5</v>
      </c>
      <c r="BG63" s="386">
        <f t="shared" si="251"/>
        <v>1</v>
      </c>
      <c r="BH63" s="386">
        <f t="shared" si="194"/>
        <v>0</v>
      </c>
      <c r="BI63" s="387">
        <f t="shared" si="170"/>
        <v>5250</v>
      </c>
      <c r="BJ63" s="682" t="str">
        <f t="shared" si="195"/>
        <v/>
      </c>
      <c r="BK63" s="4" t="str">
        <f t="shared" si="196"/>
        <v/>
      </c>
      <c r="BL63" s="386" t="str">
        <f t="shared" si="197"/>
        <v/>
      </c>
      <c r="BM63" s="386">
        <f t="shared" si="25"/>
        <v>0</v>
      </c>
      <c r="BN63" s="386" t="str">
        <f t="shared" si="198"/>
        <v/>
      </c>
      <c r="BO63" s="387" t="str">
        <f t="shared" si="171"/>
        <v/>
      </c>
      <c r="BP63" s="682">
        <f t="shared" si="199"/>
        <v>0</v>
      </c>
      <c r="BQ63" s="4">
        <f t="shared" si="200"/>
        <v>0</v>
      </c>
      <c r="BR63" s="386">
        <f t="shared" si="201"/>
        <v>588</v>
      </c>
      <c r="BS63" s="386">
        <f t="shared" si="252"/>
        <v>588</v>
      </c>
      <c r="BT63" s="386">
        <f t="shared" si="203"/>
        <v>272.24399999999997</v>
      </c>
      <c r="BU63" s="387">
        <f t="shared" si="204"/>
        <v>4628147.9999999991</v>
      </c>
      <c r="BV63" s="682" t="str">
        <f t="shared" si="205"/>
        <v/>
      </c>
      <c r="BW63" s="4" t="str">
        <f t="shared" si="206"/>
        <v/>
      </c>
      <c r="BX63" s="386" t="str">
        <f t="shared" si="207"/>
        <v/>
      </c>
      <c r="BY63" s="386">
        <f t="shared" si="37"/>
        <v>0</v>
      </c>
      <c r="BZ63" s="386" t="str">
        <f t="shared" si="208"/>
        <v/>
      </c>
      <c r="CA63" s="387" t="str">
        <f t="shared" si="172"/>
        <v/>
      </c>
      <c r="CB63" s="682" t="str">
        <f t="shared" si="209"/>
        <v/>
      </c>
      <c r="CC63" s="4" t="str">
        <f t="shared" si="210"/>
        <v/>
      </c>
      <c r="CD63" s="386" t="str">
        <f t="shared" si="211"/>
        <v/>
      </c>
      <c r="CE63" s="386">
        <f t="shared" si="43"/>
        <v>0</v>
      </c>
      <c r="CF63" s="386" t="str">
        <f t="shared" si="212"/>
        <v/>
      </c>
      <c r="CG63" s="387" t="str">
        <f t="shared" si="173"/>
        <v/>
      </c>
      <c r="CH63" s="682" t="str">
        <f t="shared" si="213"/>
        <v/>
      </c>
      <c r="CI63" s="4" t="str">
        <f t="shared" si="214"/>
        <v/>
      </c>
      <c r="CJ63" s="386" t="str">
        <f t="shared" si="215"/>
        <v/>
      </c>
      <c r="CK63" s="386">
        <f t="shared" si="253"/>
        <v>0</v>
      </c>
      <c r="CL63" s="386" t="str">
        <f t="shared" si="217"/>
        <v/>
      </c>
      <c r="CM63" s="387" t="str">
        <f t="shared" si="218"/>
        <v/>
      </c>
      <c r="CN63" s="682" t="str">
        <f t="shared" si="219"/>
        <v/>
      </c>
      <c r="CO63" s="4" t="str">
        <f t="shared" si="220"/>
        <v/>
      </c>
      <c r="CP63" s="386" t="str">
        <f t="shared" si="221"/>
        <v/>
      </c>
      <c r="CQ63" s="386">
        <f t="shared" si="254"/>
        <v>0</v>
      </c>
      <c r="CR63" s="386" t="str">
        <f t="shared" si="223"/>
        <v/>
      </c>
      <c r="CS63" s="387" t="str">
        <f t="shared" si="224"/>
        <v/>
      </c>
      <c r="CT63" s="682" t="str">
        <f t="shared" si="225"/>
        <v/>
      </c>
      <c r="CU63" s="4" t="str">
        <f t="shared" si="226"/>
        <v/>
      </c>
      <c r="CV63" s="386" t="str">
        <f t="shared" si="227"/>
        <v/>
      </c>
      <c r="CW63" s="386">
        <f t="shared" si="228"/>
        <v>0</v>
      </c>
      <c r="CX63" s="386" t="str">
        <f t="shared" si="229"/>
        <v/>
      </c>
      <c r="CY63" s="387" t="str">
        <f t="shared" si="230"/>
        <v/>
      </c>
      <c r="CZ63" s="682" t="str">
        <f t="shared" si="231"/>
        <v/>
      </c>
      <c r="DA63" s="4" t="str">
        <f t="shared" si="232"/>
        <v/>
      </c>
      <c r="DB63" s="386" t="str">
        <f t="shared" si="233"/>
        <v/>
      </c>
      <c r="DC63" s="386">
        <f t="shared" si="234"/>
        <v>0</v>
      </c>
      <c r="DD63" s="386" t="str">
        <f t="shared" si="235"/>
        <v/>
      </c>
      <c r="DE63" s="387" t="str">
        <f t="shared" si="236"/>
        <v/>
      </c>
      <c r="DF63" s="682">
        <f t="shared" si="237"/>
        <v>0</v>
      </c>
      <c r="DG63" s="4">
        <f t="shared" si="238"/>
        <v>0</v>
      </c>
      <c r="DH63" s="386">
        <f t="shared" si="239"/>
        <v>160</v>
      </c>
      <c r="DI63" s="386">
        <f t="shared" si="255"/>
        <v>160</v>
      </c>
      <c r="DJ63" s="386">
        <f t="shared" si="241"/>
        <v>68.140000000000015</v>
      </c>
      <c r="DK63" s="387">
        <f t="shared" si="242"/>
        <v>1123628.6000000001</v>
      </c>
      <c r="DL63" s="682" t="str">
        <f t="shared" si="243"/>
        <v/>
      </c>
      <c r="DM63" s="4" t="str">
        <f t="shared" si="244"/>
        <v/>
      </c>
      <c r="DN63" s="386" t="str">
        <f t="shared" si="245"/>
        <v/>
      </c>
      <c r="DO63" s="386">
        <f t="shared" si="256"/>
        <v>0</v>
      </c>
      <c r="DP63" s="386" t="str">
        <f t="shared" si="246"/>
        <v/>
      </c>
      <c r="DQ63" s="387" t="str">
        <f t="shared" si="247"/>
        <v/>
      </c>
    </row>
    <row r="64" spans="1:121" customFormat="1" x14ac:dyDescent="0.25">
      <c r="A64" t="s">
        <v>222</v>
      </c>
      <c r="B64" t="s">
        <v>33</v>
      </c>
      <c r="C64" t="s">
        <v>34</v>
      </c>
      <c r="D64" t="s">
        <v>209</v>
      </c>
      <c r="E64" t="s">
        <v>210</v>
      </c>
      <c r="F64" t="s">
        <v>223</v>
      </c>
      <c r="G64" t="s">
        <v>224</v>
      </c>
      <c r="H64" s="3"/>
      <c r="I64" s="4"/>
      <c r="J64" s="4"/>
      <c r="K64" s="4"/>
      <c r="L64" s="4"/>
      <c r="M64" s="5"/>
      <c r="N64" s="3"/>
      <c r="O64" s="4"/>
      <c r="P64" s="4"/>
      <c r="Q64" s="4"/>
      <c r="R64" s="4"/>
      <c r="S64" s="5"/>
      <c r="T64" s="3"/>
      <c r="U64" s="4"/>
      <c r="V64" s="4"/>
      <c r="W64" s="4"/>
      <c r="X64" s="4"/>
      <c r="Y64" s="5"/>
      <c r="Z64" s="3" t="str">
        <f t="shared" si="174"/>
        <v/>
      </c>
      <c r="AA64" s="4" t="str">
        <f t="shared" si="175"/>
        <v/>
      </c>
      <c r="AB64" s="386" t="str">
        <f t="shared" si="176"/>
        <v/>
      </c>
      <c r="AC64" s="386">
        <f t="shared" si="248"/>
        <v>0</v>
      </c>
      <c r="AD64" s="386" t="str">
        <f t="shared" si="177"/>
        <v/>
      </c>
      <c r="AE64" s="387" t="str">
        <f t="shared" si="178"/>
        <v/>
      </c>
      <c r="AF64" s="682">
        <f t="shared" si="179"/>
        <v>200</v>
      </c>
      <c r="AG64" s="4">
        <f t="shared" si="180"/>
        <v>0</v>
      </c>
      <c r="AH64" s="386">
        <f t="shared" si="181"/>
        <v>1200</v>
      </c>
      <c r="AI64" s="386">
        <f t="shared" si="249"/>
        <v>1200</v>
      </c>
      <c r="AJ64" s="386">
        <f t="shared" si="183"/>
        <v>2699.2</v>
      </c>
      <c r="AK64" s="387">
        <f t="shared" si="184"/>
        <v>53984000</v>
      </c>
      <c r="AL64" s="3"/>
      <c r="AM64" s="4"/>
      <c r="AN64" s="4"/>
      <c r="AO64" s="4"/>
      <c r="AP64" s="4"/>
      <c r="AQ64" s="5"/>
      <c r="AR64" s="3"/>
      <c r="AS64" s="4"/>
      <c r="AT64" s="4"/>
      <c r="AU64" s="4"/>
      <c r="AV64" s="4"/>
      <c r="AW64" s="5"/>
      <c r="AX64" s="682">
        <f t="shared" si="186"/>
        <v>0</v>
      </c>
      <c r="AY64" s="4">
        <f t="shared" si="187"/>
        <v>0</v>
      </c>
      <c r="AZ64" s="386">
        <f t="shared" si="188"/>
        <v>0</v>
      </c>
      <c r="BA64" s="386">
        <f t="shared" si="250"/>
        <v>0</v>
      </c>
      <c r="BB64" s="386"/>
      <c r="BC64" s="387">
        <f t="shared" si="190"/>
        <v>1355600</v>
      </c>
      <c r="BD64" s="682" t="str">
        <f t="shared" si="191"/>
        <v/>
      </c>
      <c r="BE64" s="4" t="str">
        <f t="shared" si="192"/>
        <v/>
      </c>
      <c r="BF64" s="386" t="str">
        <f t="shared" si="193"/>
        <v/>
      </c>
      <c r="BG64" s="386">
        <f t="shared" si="251"/>
        <v>0</v>
      </c>
      <c r="BH64" s="386" t="str">
        <f t="shared" si="194"/>
        <v/>
      </c>
      <c r="BI64" s="387" t="str">
        <f t="shared" si="170"/>
        <v/>
      </c>
      <c r="BJ64" s="682" t="str">
        <f t="shared" si="195"/>
        <v/>
      </c>
      <c r="BK64" s="4" t="str">
        <f t="shared" si="196"/>
        <v/>
      </c>
      <c r="BL64" s="386" t="str">
        <f t="shared" si="197"/>
        <v/>
      </c>
      <c r="BM64" s="386">
        <f t="shared" si="25"/>
        <v>0</v>
      </c>
      <c r="BN64" s="386" t="str">
        <f t="shared" si="198"/>
        <v/>
      </c>
      <c r="BO64" s="387" t="str">
        <f t="shared" si="171"/>
        <v/>
      </c>
      <c r="BP64" s="682">
        <f t="shared" si="199"/>
        <v>0</v>
      </c>
      <c r="BQ64" s="4">
        <f t="shared" si="200"/>
        <v>0</v>
      </c>
      <c r="BR64" s="386">
        <f t="shared" si="201"/>
        <v>733</v>
      </c>
      <c r="BS64" s="386">
        <f t="shared" si="252"/>
        <v>733</v>
      </c>
      <c r="BT64" s="386">
        <f t="shared" si="203"/>
        <v>339.37900000000002</v>
      </c>
      <c r="BU64" s="387">
        <f t="shared" si="204"/>
        <v>5769443</v>
      </c>
      <c r="BV64" s="682" t="str">
        <f t="shared" si="205"/>
        <v/>
      </c>
      <c r="BW64" s="4" t="str">
        <f t="shared" si="206"/>
        <v/>
      </c>
      <c r="BX64" s="386" t="str">
        <f t="shared" si="207"/>
        <v/>
      </c>
      <c r="BY64" s="386">
        <f t="shared" si="37"/>
        <v>0</v>
      </c>
      <c r="BZ64" s="386" t="str">
        <f t="shared" si="208"/>
        <v/>
      </c>
      <c r="CA64" s="387" t="str">
        <f t="shared" si="172"/>
        <v/>
      </c>
      <c r="CB64" s="682" t="str">
        <f t="shared" si="209"/>
        <v/>
      </c>
      <c r="CC64" s="4" t="str">
        <f t="shared" si="210"/>
        <v/>
      </c>
      <c r="CD64" s="386" t="str">
        <f t="shared" si="211"/>
        <v/>
      </c>
      <c r="CE64" s="386">
        <f t="shared" si="43"/>
        <v>0</v>
      </c>
      <c r="CF64" s="386" t="str">
        <f t="shared" si="212"/>
        <v/>
      </c>
      <c r="CG64" s="387" t="str">
        <f t="shared" si="173"/>
        <v/>
      </c>
      <c r="CH64" s="682">
        <f t="shared" si="213"/>
        <v>0</v>
      </c>
      <c r="CI64" s="4">
        <f t="shared" si="214"/>
        <v>0</v>
      </c>
      <c r="CJ64" s="386">
        <f t="shared" si="215"/>
        <v>125</v>
      </c>
      <c r="CK64" s="386">
        <f t="shared" si="253"/>
        <v>125</v>
      </c>
      <c r="CL64" s="386">
        <f t="shared" si="217"/>
        <v>56.625000000000007</v>
      </c>
      <c r="CM64" s="387">
        <f t="shared" si="218"/>
        <v>1187426.25</v>
      </c>
      <c r="CN64" s="682" t="str">
        <f t="shared" si="219"/>
        <v/>
      </c>
      <c r="CO64" s="4" t="str">
        <f t="shared" si="220"/>
        <v/>
      </c>
      <c r="CP64" s="386" t="str">
        <f t="shared" si="221"/>
        <v/>
      </c>
      <c r="CQ64" s="386">
        <f t="shared" si="254"/>
        <v>0</v>
      </c>
      <c r="CR64" s="386" t="str">
        <f t="shared" si="223"/>
        <v/>
      </c>
      <c r="CS64" s="387" t="str">
        <f t="shared" si="224"/>
        <v/>
      </c>
      <c r="CT64" s="682" t="str">
        <f t="shared" si="225"/>
        <v/>
      </c>
      <c r="CU64" s="4" t="str">
        <f t="shared" si="226"/>
        <v/>
      </c>
      <c r="CV64" s="386" t="str">
        <f t="shared" si="227"/>
        <v/>
      </c>
      <c r="CW64" s="386">
        <f t="shared" si="228"/>
        <v>0</v>
      </c>
      <c r="CX64" s="386" t="str">
        <f t="shared" si="229"/>
        <v/>
      </c>
      <c r="CY64" s="387" t="str">
        <f t="shared" si="230"/>
        <v/>
      </c>
      <c r="CZ64" s="682" t="str">
        <f t="shared" si="231"/>
        <v/>
      </c>
      <c r="DA64" s="4" t="str">
        <f t="shared" si="232"/>
        <v/>
      </c>
      <c r="DB64" s="386" t="str">
        <f t="shared" si="233"/>
        <v/>
      </c>
      <c r="DC64" s="386">
        <f t="shared" si="234"/>
        <v>0</v>
      </c>
      <c r="DD64" s="386" t="str">
        <f t="shared" si="235"/>
        <v/>
      </c>
      <c r="DE64" s="387" t="str">
        <f t="shared" si="236"/>
        <v/>
      </c>
      <c r="DF64" s="682">
        <f t="shared" si="237"/>
        <v>0</v>
      </c>
      <c r="DG64" s="4">
        <f t="shared" si="238"/>
        <v>0</v>
      </c>
      <c r="DH64" s="386">
        <f t="shared" si="239"/>
        <v>301</v>
      </c>
      <c r="DI64" s="386">
        <f t="shared" si="255"/>
        <v>301</v>
      </c>
      <c r="DJ64" s="386">
        <f t="shared" si="241"/>
        <v>106.90300000000002</v>
      </c>
      <c r="DK64" s="387">
        <f t="shared" si="242"/>
        <v>1762830.4700000002</v>
      </c>
      <c r="DL64" s="682" t="str">
        <f t="shared" si="243"/>
        <v/>
      </c>
      <c r="DM64" s="4" t="str">
        <f t="shared" si="244"/>
        <v/>
      </c>
      <c r="DN64" s="386" t="str">
        <f t="shared" si="245"/>
        <v/>
      </c>
      <c r="DO64" s="386">
        <f t="shared" si="256"/>
        <v>0</v>
      </c>
      <c r="DP64" s="386" t="str">
        <f t="shared" si="246"/>
        <v/>
      </c>
      <c r="DQ64" s="387" t="str">
        <f t="shared" si="247"/>
        <v/>
      </c>
    </row>
    <row r="65" spans="1:121" customFormat="1" x14ac:dyDescent="0.25">
      <c r="A65" t="s">
        <v>225</v>
      </c>
      <c r="B65" t="s">
        <v>33</v>
      </c>
      <c r="C65" t="s">
        <v>34</v>
      </c>
      <c r="D65" t="s">
        <v>209</v>
      </c>
      <c r="E65" t="s">
        <v>210</v>
      </c>
      <c r="F65" t="s">
        <v>226</v>
      </c>
      <c r="G65" t="s">
        <v>227</v>
      </c>
      <c r="H65" s="3"/>
      <c r="I65" s="4"/>
      <c r="J65" s="4"/>
      <c r="K65" s="4"/>
      <c r="L65" s="4"/>
      <c r="M65" s="5"/>
      <c r="N65" s="3"/>
      <c r="O65" s="4"/>
      <c r="P65" s="4"/>
      <c r="Q65" s="4"/>
      <c r="R65" s="4"/>
      <c r="S65" s="5"/>
      <c r="T65" s="3"/>
      <c r="U65" s="4"/>
      <c r="V65" s="4"/>
      <c r="W65" s="4"/>
      <c r="X65" s="4"/>
      <c r="Y65" s="5"/>
      <c r="Z65" s="3" t="str">
        <f t="shared" si="174"/>
        <v/>
      </c>
      <c r="AA65" s="4" t="str">
        <f t="shared" si="175"/>
        <v/>
      </c>
      <c r="AB65" s="386" t="str">
        <f t="shared" si="176"/>
        <v/>
      </c>
      <c r="AC65" s="386">
        <f t="shared" si="248"/>
        <v>0</v>
      </c>
      <c r="AD65" s="386" t="str">
        <f t="shared" si="177"/>
        <v/>
      </c>
      <c r="AE65" s="387" t="str">
        <f t="shared" si="178"/>
        <v/>
      </c>
      <c r="AF65" s="682">
        <f t="shared" si="179"/>
        <v>577</v>
      </c>
      <c r="AG65" s="4">
        <f t="shared" si="180"/>
        <v>0</v>
      </c>
      <c r="AH65" s="386">
        <f t="shared" si="181"/>
        <v>770</v>
      </c>
      <c r="AI65" s="386">
        <f t="shared" si="249"/>
        <v>770</v>
      </c>
      <c r="AJ65" s="386">
        <f t="shared" si="183"/>
        <v>1758.3360000000002</v>
      </c>
      <c r="AK65" s="387">
        <f t="shared" si="184"/>
        <v>35166720</v>
      </c>
      <c r="AL65" s="3"/>
      <c r="AM65" s="4"/>
      <c r="AN65" s="4"/>
      <c r="AO65" s="4"/>
      <c r="AP65" s="4"/>
      <c r="AQ65" s="5"/>
      <c r="AR65" s="3"/>
      <c r="AS65" s="4"/>
      <c r="AT65" s="4"/>
      <c r="AU65" s="4"/>
      <c r="AV65" s="4"/>
      <c r="AW65" s="5"/>
      <c r="AX65" s="682">
        <f t="shared" si="186"/>
        <v>0</v>
      </c>
      <c r="AY65" s="4">
        <f t="shared" si="187"/>
        <v>0</v>
      </c>
      <c r="AZ65" s="386">
        <f t="shared" si="188"/>
        <v>0</v>
      </c>
      <c r="BA65" s="386">
        <f t="shared" si="250"/>
        <v>0</v>
      </c>
      <c r="BB65" s="386"/>
      <c r="BC65" s="387">
        <f t="shared" si="190"/>
        <v>192000</v>
      </c>
      <c r="BD65" s="682">
        <f t="shared" si="191"/>
        <v>0</v>
      </c>
      <c r="BE65" s="4">
        <f t="shared" si="192"/>
        <v>150</v>
      </c>
      <c r="BF65" s="386">
        <f t="shared" si="193"/>
        <v>0</v>
      </c>
      <c r="BG65" s="386">
        <f t="shared" si="251"/>
        <v>150</v>
      </c>
      <c r="BH65" s="386">
        <f t="shared" si="194"/>
        <v>0</v>
      </c>
      <c r="BI65" s="387">
        <f t="shared" si="170"/>
        <v>324000.00000000012</v>
      </c>
      <c r="BJ65" s="682" t="str">
        <f t="shared" si="195"/>
        <v/>
      </c>
      <c r="BK65" s="4" t="str">
        <f t="shared" si="196"/>
        <v/>
      </c>
      <c r="BL65" s="386" t="str">
        <f t="shared" si="197"/>
        <v/>
      </c>
      <c r="BM65" s="386">
        <f t="shared" si="25"/>
        <v>0</v>
      </c>
      <c r="BN65" s="386" t="str">
        <f t="shared" si="198"/>
        <v/>
      </c>
      <c r="BO65" s="387" t="str">
        <f t="shared" si="171"/>
        <v/>
      </c>
      <c r="BP65" s="682">
        <f t="shared" si="199"/>
        <v>0</v>
      </c>
      <c r="BQ65" s="4">
        <f t="shared" si="200"/>
        <v>0</v>
      </c>
      <c r="BR65" s="386">
        <f t="shared" si="201"/>
        <v>185</v>
      </c>
      <c r="BS65" s="386">
        <f t="shared" si="252"/>
        <v>185</v>
      </c>
      <c r="BT65" s="386">
        <f t="shared" si="203"/>
        <v>85.655000000000001</v>
      </c>
      <c r="BU65" s="387">
        <f t="shared" si="204"/>
        <v>1514010</v>
      </c>
      <c r="BV65" s="682" t="str">
        <f t="shared" si="205"/>
        <v/>
      </c>
      <c r="BW65" s="4" t="str">
        <f t="shared" si="206"/>
        <v/>
      </c>
      <c r="BX65" s="386" t="str">
        <f t="shared" si="207"/>
        <v/>
      </c>
      <c r="BY65" s="386">
        <f t="shared" si="37"/>
        <v>0</v>
      </c>
      <c r="BZ65" s="386" t="str">
        <f t="shared" si="208"/>
        <v/>
      </c>
      <c r="CA65" s="387" t="str">
        <f t="shared" si="172"/>
        <v/>
      </c>
      <c r="CB65" s="682" t="str">
        <f t="shared" si="209"/>
        <v/>
      </c>
      <c r="CC65" s="4" t="str">
        <f t="shared" si="210"/>
        <v/>
      </c>
      <c r="CD65" s="386" t="str">
        <f t="shared" si="211"/>
        <v/>
      </c>
      <c r="CE65" s="386">
        <f t="shared" si="43"/>
        <v>0</v>
      </c>
      <c r="CF65" s="386" t="str">
        <f t="shared" si="212"/>
        <v/>
      </c>
      <c r="CG65" s="387" t="str">
        <f t="shared" si="173"/>
        <v/>
      </c>
      <c r="CH65" s="682">
        <f t="shared" si="213"/>
        <v>0</v>
      </c>
      <c r="CI65" s="4">
        <f t="shared" si="214"/>
        <v>0</v>
      </c>
      <c r="CJ65" s="386">
        <f t="shared" si="215"/>
        <v>156</v>
      </c>
      <c r="CK65" s="386">
        <f t="shared" si="253"/>
        <v>156</v>
      </c>
      <c r="CL65" s="386">
        <f t="shared" si="217"/>
        <v>70.668000000000006</v>
      </c>
      <c r="CM65" s="387">
        <f t="shared" si="218"/>
        <v>1481907.96</v>
      </c>
      <c r="CN65" s="682">
        <f t="shared" si="219"/>
        <v>0</v>
      </c>
      <c r="CO65" s="4">
        <f t="shared" si="220"/>
        <v>0</v>
      </c>
      <c r="CP65" s="386">
        <f t="shared" si="221"/>
        <v>30</v>
      </c>
      <c r="CQ65" s="386">
        <f t="shared" si="254"/>
        <v>30</v>
      </c>
      <c r="CR65" s="386">
        <f t="shared" si="223"/>
        <v>13.710000000000003</v>
      </c>
      <c r="CS65" s="387">
        <f t="shared" si="224"/>
        <v>237183.00000000006</v>
      </c>
      <c r="CT65" s="682" t="str">
        <f t="shared" si="225"/>
        <v/>
      </c>
      <c r="CU65" s="4" t="str">
        <f t="shared" si="226"/>
        <v/>
      </c>
      <c r="CV65" s="386" t="str">
        <f t="shared" si="227"/>
        <v/>
      </c>
      <c r="CW65" s="386">
        <f t="shared" si="228"/>
        <v>0</v>
      </c>
      <c r="CX65" s="386" t="str">
        <f t="shared" si="229"/>
        <v/>
      </c>
      <c r="CY65" s="387" t="str">
        <f t="shared" si="230"/>
        <v/>
      </c>
      <c r="CZ65" s="682" t="str">
        <f t="shared" si="231"/>
        <v/>
      </c>
      <c r="DA65" s="4" t="str">
        <f t="shared" si="232"/>
        <v/>
      </c>
      <c r="DB65" s="386" t="str">
        <f t="shared" si="233"/>
        <v/>
      </c>
      <c r="DC65" s="386">
        <f t="shared" si="234"/>
        <v>0</v>
      </c>
      <c r="DD65" s="386" t="str">
        <f t="shared" si="235"/>
        <v/>
      </c>
      <c r="DE65" s="387" t="str">
        <f t="shared" si="236"/>
        <v/>
      </c>
      <c r="DF65" s="682">
        <f t="shared" si="237"/>
        <v>0</v>
      </c>
      <c r="DG65" s="4">
        <f t="shared" si="238"/>
        <v>0</v>
      </c>
      <c r="DH65" s="386">
        <f t="shared" si="239"/>
        <v>515</v>
      </c>
      <c r="DI65" s="386">
        <f t="shared" si="255"/>
        <v>515</v>
      </c>
      <c r="DJ65" s="386">
        <f t="shared" si="241"/>
        <v>230.72000000000003</v>
      </c>
      <c r="DK65" s="387">
        <f t="shared" si="242"/>
        <v>3804572.8000000003</v>
      </c>
      <c r="DL65" s="682" t="str">
        <f t="shared" si="243"/>
        <v/>
      </c>
      <c r="DM65" s="4" t="str">
        <f t="shared" si="244"/>
        <v/>
      </c>
      <c r="DN65" s="386" t="str">
        <f t="shared" si="245"/>
        <v/>
      </c>
      <c r="DO65" s="386">
        <f t="shared" si="256"/>
        <v>0</v>
      </c>
      <c r="DP65" s="386" t="str">
        <f t="shared" si="246"/>
        <v/>
      </c>
      <c r="DQ65" s="387" t="str">
        <f t="shared" si="247"/>
        <v/>
      </c>
    </row>
    <row r="66" spans="1:121" customFormat="1" x14ac:dyDescent="0.25">
      <c r="A66" t="s">
        <v>228</v>
      </c>
      <c r="B66" t="s">
        <v>33</v>
      </c>
      <c r="C66" t="s">
        <v>34</v>
      </c>
      <c r="D66" t="s">
        <v>209</v>
      </c>
      <c r="E66" t="s">
        <v>210</v>
      </c>
      <c r="F66" t="s">
        <v>229</v>
      </c>
      <c r="G66" t="s">
        <v>230</v>
      </c>
      <c r="H66" s="3"/>
      <c r="I66" s="4"/>
      <c r="J66" s="4"/>
      <c r="K66" s="4"/>
      <c r="L66" s="4"/>
      <c r="M66" s="5"/>
      <c r="N66" s="3"/>
      <c r="O66" s="4"/>
      <c r="P66" s="4"/>
      <c r="Q66" s="4"/>
      <c r="R66" s="4"/>
      <c r="S66" s="5"/>
      <c r="T66" s="3"/>
      <c r="U66" s="4"/>
      <c r="V66" s="4"/>
      <c r="W66" s="4"/>
      <c r="X66" s="4"/>
      <c r="Y66" s="5"/>
      <c r="Z66" s="3" t="str">
        <f t="shared" si="174"/>
        <v/>
      </c>
      <c r="AA66" s="4" t="str">
        <f t="shared" si="175"/>
        <v/>
      </c>
      <c r="AB66" s="386" t="str">
        <f t="shared" si="176"/>
        <v/>
      </c>
      <c r="AC66" s="386">
        <f t="shared" si="248"/>
        <v>0</v>
      </c>
      <c r="AD66" s="386" t="str">
        <f t="shared" si="177"/>
        <v/>
      </c>
      <c r="AE66" s="387" t="str">
        <f t="shared" si="178"/>
        <v/>
      </c>
      <c r="AF66" s="682">
        <f t="shared" si="179"/>
        <v>1900</v>
      </c>
      <c r="AG66" s="4">
        <f t="shared" si="180"/>
        <v>670</v>
      </c>
      <c r="AH66" s="386">
        <f t="shared" si="181"/>
        <v>910</v>
      </c>
      <c r="AI66" s="386">
        <f t="shared" si="249"/>
        <v>1580</v>
      </c>
      <c r="AJ66" s="386">
        <f t="shared" si="183"/>
        <v>3602.9500000000003</v>
      </c>
      <c r="AK66" s="387">
        <f t="shared" si="184"/>
        <v>72059000</v>
      </c>
      <c r="AL66" s="3"/>
      <c r="AM66" s="4"/>
      <c r="AN66" s="4"/>
      <c r="AO66" s="4"/>
      <c r="AP66" s="4"/>
      <c r="AQ66" s="5"/>
      <c r="AR66" s="3"/>
      <c r="AS66" s="4"/>
      <c r="AT66" s="4"/>
      <c r="AU66" s="4"/>
      <c r="AV66" s="4"/>
      <c r="AW66" s="5"/>
      <c r="AX66" s="682">
        <f t="shared" si="186"/>
        <v>0</v>
      </c>
      <c r="AY66" s="4">
        <f t="shared" si="187"/>
        <v>20</v>
      </c>
      <c r="AZ66" s="386">
        <f t="shared" si="188"/>
        <v>20</v>
      </c>
      <c r="BA66" s="386">
        <f t="shared" si="250"/>
        <v>40</v>
      </c>
      <c r="BB66" s="386"/>
      <c r="BC66" s="387">
        <f t="shared" si="190"/>
        <v>808200</v>
      </c>
      <c r="BD66" s="682">
        <f t="shared" si="191"/>
        <v>0</v>
      </c>
      <c r="BE66" s="4">
        <f t="shared" si="192"/>
        <v>3</v>
      </c>
      <c r="BF66" s="386">
        <f t="shared" si="193"/>
        <v>3</v>
      </c>
      <c r="BG66" s="386">
        <f t="shared" si="251"/>
        <v>6</v>
      </c>
      <c r="BH66" s="386">
        <f t="shared" si="194"/>
        <v>19.5</v>
      </c>
      <c r="BI66" s="387">
        <f t="shared" si="170"/>
        <v>331500</v>
      </c>
      <c r="BJ66" s="682" t="str">
        <f t="shared" si="195"/>
        <v/>
      </c>
      <c r="BK66" s="4" t="str">
        <f t="shared" si="196"/>
        <v/>
      </c>
      <c r="BL66" s="386" t="str">
        <f t="shared" si="197"/>
        <v/>
      </c>
      <c r="BM66" s="386">
        <f t="shared" si="25"/>
        <v>0</v>
      </c>
      <c r="BN66" s="386" t="str">
        <f t="shared" si="198"/>
        <v/>
      </c>
      <c r="BO66" s="387" t="str">
        <f t="shared" si="171"/>
        <v/>
      </c>
      <c r="BP66" s="682">
        <f t="shared" si="199"/>
        <v>0</v>
      </c>
      <c r="BQ66" s="4">
        <f t="shared" si="200"/>
        <v>0</v>
      </c>
      <c r="BR66" s="386">
        <f t="shared" si="201"/>
        <v>109.5</v>
      </c>
      <c r="BS66" s="386">
        <f t="shared" si="252"/>
        <v>109.5</v>
      </c>
      <c r="BT66" s="386">
        <f t="shared" si="203"/>
        <v>50.698500000000003</v>
      </c>
      <c r="BU66" s="387">
        <f t="shared" si="204"/>
        <v>861874.5</v>
      </c>
      <c r="BV66" s="682" t="str">
        <f t="shared" si="205"/>
        <v/>
      </c>
      <c r="BW66" s="4" t="str">
        <f t="shared" si="206"/>
        <v/>
      </c>
      <c r="BX66" s="386" t="str">
        <f t="shared" si="207"/>
        <v/>
      </c>
      <c r="BY66" s="386">
        <f t="shared" si="37"/>
        <v>0</v>
      </c>
      <c r="BZ66" s="386" t="str">
        <f t="shared" si="208"/>
        <v/>
      </c>
      <c r="CA66" s="387" t="str">
        <f t="shared" si="172"/>
        <v/>
      </c>
      <c r="CB66" s="682" t="str">
        <f t="shared" si="209"/>
        <v/>
      </c>
      <c r="CC66" s="4" t="str">
        <f t="shared" si="210"/>
        <v/>
      </c>
      <c r="CD66" s="386" t="str">
        <f t="shared" si="211"/>
        <v/>
      </c>
      <c r="CE66" s="386">
        <f t="shared" si="43"/>
        <v>0</v>
      </c>
      <c r="CF66" s="386" t="str">
        <f t="shared" si="212"/>
        <v/>
      </c>
      <c r="CG66" s="387" t="str">
        <f t="shared" si="173"/>
        <v/>
      </c>
      <c r="CH66" s="682" t="str">
        <f t="shared" si="213"/>
        <v/>
      </c>
      <c r="CI66" s="4" t="str">
        <f t="shared" si="214"/>
        <v/>
      </c>
      <c r="CJ66" s="386" t="str">
        <f t="shared" si="215"/>
        <v/>
      </c>
      <c r="CK66" s="386">
        <f t="shared" si="253"/>
        <v>0</v>
      </c>
      <c r="CL66" s="386" t="str">
        <f t="shared" si="217"/>
        <v/>
      </c>
      <c r="CM66" s="387" t="str">
        <f t="shared" si="218"/>
        <v/>
      </c>
      <c r="CN66" s="682">
        <f t="shared" si="219"/>
        <v>0</v>
      </c>
      <c r="CO66" s="4">
        <f t="shared" si="220"/>
        <v>0</v>
      </c>
      <c r="CP66" s="386">
        <f t="shared" si="221"/>
        <v>1.25</v>
      </c>
      <c r="CQ66" s="386">
        <f t="shared" si="254"/>
        <v>1.25</v>
      </c>
      <c r="CR66" s="386">
        <f t="shared" si="223"/>
        <v>0.50249999999999995</v>
      </c>
      <c r="CS66" s="387">
        <f t="shared" si="224"/>
        <v>8693.2499999999982</v>
      </c>
      <c r="CT66" s="682" t="str">
        <f t="shared" si="225"/>
        <v/>
      </c>
      <c r="CU66" s="4" t="str">
        <f t="shared" si="226"/>
        <v/>
      </c>
      <c r="CV66" s="386" t="str">
        <f t="shared" si="227"/>
        <v/>
      </c>
      <c r="CW66" s="386">
        <f t="shared" si="228"/>
        <v>0</v>
      </c>
      <c r="CX66" s="386" t="str">
        <f t="shared" si="229"/>
        <v/>
      </c>
      <c r="CY66" s="387" t="str">
        <f t="shared" si="230"/>
        <v/>
      </c>
      <c r="CZ66" s="682" t="str">
        <f t="shared" si="231"/>
        <v/>
      </c>
      <c r="DA66" s="4" t="str">
        <f t="shared" si="232"/>
        <v/>
      </c>
      <c r="DB66" s="386" t="str">
        <f t="shared" si="233"/>
        <v/>
      </c>
      <c r="DC66" s="386">
        <f t="shared" si="234"/>
        <v>0</v>
      </c>
      <c r="DD66" s="386" t="str">
        <f t="shared" si="235"/>
        <v/>
      </c>
      <c r="DE66" s="387" t="str">
        <f t="shared" si="236"/>
        <v/>
      </c>
      <c r="DF66" s="682" t="str">
        <f t="shared" si="237"/>
        <v/>
      </c>
      <c r="DG66" s="4" t="str">
        <f t="shared" si="238"/>
        <v/>
      </c>
      <c r="DH66" s="386" t="str">
        <f t="shared" si="239"/>
        <v/>
      </c>
      <c r="DI66" s="386">
        <f t="shared" si="255"/>
        <v>0</v>
      </c>
      <c r="DJ66" s="386" t="str">
        <f t="shared" si="241"/>
        <v/>
      </c>
      <c r="DK66" s="387" t="str">
        <f t="shared" si="242"/>
        <v/>
      </c>
      <c r="DL66" s="682" t="str">
        <f t="shared" si="243"/>
        <v/>
      </c>
      <c r="DM66" s="4" t="str">
        <f t="shared" si="244"/>
        <v/>
      </c>
      <c r="DN66" s="386" t="str">
        <f t="shared" si="245"/>
        <v/>
      </c>
      <c r="DO66" s="386">
        <f t="shared" si="256"/>
        <v>0</v>
      </c>
      <c r="DP66" s="386" t="str">
        <f t="shared" si="246"/>
        <v/>
      </c>
      <c r="DQ66" s="387" t="str">
        <f t="shared" si="247"/>
        <v/>
      </c>
    </row>
    <row r="67" spans="1:121" customFormat="1" x14ac:dyDescent="0.25">
      <c r="A67" t="s">
        <v>231</v>
      </c>
      <c r="B67" t="s">
        <v>33</v>
      </c>
      <c r="C67" t="s">
        <v>34</v>
      </c>
      <c r="D67" t="s">
        <v>209</v>
      </c>
      <c r="E67" t="s">
        <v>210</v>
      </c>
      <c r="F67" t="s">
        <v>232</v>
      </c>
      <c r="G67" t="s">
        <v>53</v>
      </c>
      <c r="H67" s="3"/>
      <c r="I67" s="4"/>
      <c r="J67" s="4"/>
      <c r="K67" s="4"/>
      <c r="L67" s="4"/>
      <c r="M67" s="5"/>
      <c r="N67" s="3"/>
      <c r="O67" s="4"/>
      <c r="P67" s="4"/>
      <c r="Q67" s="4"/>
      <c r="R67" s="4"/>
      <c r="S67" s="5"/>
      <c r="T67" s="3"/>
      <c r="U67" s="4"/>
      <c r="V67" s="4"/>
      <c r="W67" s="4"/>
      <c r="X67" s="4"/>
      <c r="Y67" s="5"/>
      <c r="Z67" s="3" t="str">
        <f t="shared" si="174"/>
        <v/>
      </c>
      <c r="AA67" s="4" t="str">
        <f t="shared" si="175"/>
        <v/>
      </c>
      <c r="AB67" s="386" t="str">
        <f t="shared" si="176"/>
        <v/>
      </c>
      <c r="AC67" s="386">
        <f t="shared" si="248"/>
        <v>0</v>
      </c>
      <c r="AD67" s="386" t="str">
        <f t="shared" si="177"/>
        <v/>
      </c>
      <c r="AE67" s="387" t="str">
        <f t="shared" si="178"/>
        <v/>
      </c>
      <c r="AF67" s="682">
        <f t="shared" si="179"/>
        <v>0</v>
      </c>
      <c r="AG67" s="4">
        <f t="shared" si="180"/>
        <v>37</v>
      </c>
      <c r="AH67" s="386">
        <f t="shared" si="181"/>
        <v>650</v>
      </c>
      <c r="AI67" s="386">
        <f t="shared" si="249"/>
        <v>687</v>
      </c>
      <c r="AJ67" s="386">
        <f t="shared" si="183"/>
        <v>1744.84</v>
      </c>
      <c r="AK67" s="387">
        <f t="shared" si="184"/>
        <v>34896800</v>
      </c>
      <c r="AL67" s="3"/>
      <c r="AM67" s="4"/>
      <c r="AN67" s="4"/>
      <c r="AO67" s="4"/>
      <c r="AP67" s="4"/>
      <c r="AQ67" s="5"/>
      <c r="AR67" s="3"/>
      <c r="AS67" s="4"/>
      <c r="AT67" s="4"/>
      <c r="AU67" s="4"/>
      <c r="AV67" s="4"/>
      <c r="AW67" s="5"/>
      <c r="AX67" s="682">
        <f t="shared" si="186"/>
        <v>0</v>
      </c>
      <c r="AY67" s="4">
        <f t="shared" si="187"/>
        <v>9</v>
      </c>
      <c r="AZ67" s="386">
        <f t="shared" si="188"/>
        <v>3</v>
      </c>
      <c r="BA67" s="386">
        <f t="shared" si="250"/>
        <v>12</v>
      </c>
      <c r="BB67" s="386"/>
      <c r="BC67" s="387">
        <f t="shared" si="190"/>
        <v>12783</v>
      </c>
      <c r="BD67" s="682" t="str">
        <f t="shared" si="191"/>
        <v/>
      </c>
      <c r="BE67" s="4" t="str">
        <f t="shared" si="192"/>
        <v/>
      </c>
      <c r="BF67" s="386" t="str">
        <f t="shared" si="193"/>
        <v/>
      </c>
      <c r="BG67" s="386">
        <f t="shared" si="251"/>
        <v>0</v>
      </c>
      <c r="BH67" s="386" t="str">
        <f t="shared" si="194"/>
        <v/>
      </c>
      <c r="BI67" s="387" t="str">
        <f t="shared" si="170"/>
        <v/>
      </c>
      <c r="BJ67" s="682" t="str">
        <f t="shared" si="195"/>
        <v/>
      </c>
      <c r="BK67" s="4" t="str">
        <f t="shared" si="196"/>
        <v/>
      </c>
      <c r="BL67" s="386" t="str">
        <f t="shared" si="197"/>
        <v/>
      </c>
      <c r="BM67" s="386">
        <f t="shared" ref="BM67:BM80" si="257">SUM(BK67:BL67)</f>
        <v>0</v>
      </c>
      <c r="BN67" s="386" t="str">
        <f t="shared" si="198"/>
        <v/>
      </c>
      <c r="BO67" s="387" t="str">
        <f t="shared" si="171"/>
        <v/>
      </c>
      <c r="BP67" s="682">
        <f t="shared" si="199"/>
        <v>0</v>
      </c>
      <c r="BQ67" s="4">
        <f t="shared" si="200"/>
        <v>26</v>
      </c>
      <c r="BR67" s="386">
        <f t="shared" si="201"/>
        <v>101</v>
      </c>
      <c r="BS67" s="386">
        <f t="shared" si="252"/>
        <v>127</v>
      </c>
      <c r="BT67" s="386">
        <f t="shared" si="203"/>
        <v>167.143</v>
      </c>
      <c r="BU67" s="387">
        <f t="shared" si="204"/>
        <v>2841431</v>
      </c>
      <c r="BV67" s="682" t="str">
        <f t="shared" si="205"/>
        <v/>
      </c>
      <c r="BW67" s="4" t="str">
        <f t="shared" si="206"/>
        <v/>
      </c>
      <c r="BX67" s="386" t="str">
        <f t="shared" si="207"/>
        <v/>
      </c>
      <c r="BY67" s="386">
        <f t="shared" ref="BY67:BY87" si="258">SUM(BW67:BX67)</f>
        <v>0</v>
      </c>
      <c r="BZ67" s="386" t="str">
        <f t="shared" si="208"/>
        <v/>
      </c>
      <c r="CA67" s="387" t="str">
        <f t="shared" si="172"/>
        <v/>
      </c>
      <c r="CB67" s="682" t="str">
        <f t="shared" si="209"/>
        <v/>
      </c>
      <c r="CC67" s="4" t="str">
        <f t="shared" si="210"/>
        <v/>
      </c>
      <c r="CD67" s="386" t="str">
        <f t="shared" si="211"/>
        <v/>
      </c>
      <c r="CE67" s="386">
        <f t="shared" ref="CE67:CE127" si="259">SUM(CC67:CD67)</f>
        <v>0</v>
      </c>
      <c r="CF67" s="386" t="str">
        <f t="shared" si="212"/>
        <v/>
      </c>
      <c r="CG67" s="387" t="str">
        <f t="shared" si="173"/>
        <v/>
      </c>
      <c r="CH67" s="682">
        <f t="shared" si="213"/>
        <v>0</v>
      </c>
      <c r="CI67" s="4">
        <f t="shared" si="214"/>
        <v>0</v>
      </c>
      <c r="CJ67" s="386">
        <f t="shared" si="215"/>
        <v>65</v>
      </c>
      <c r="CK67" s="386">
        <f t="shared" si="253"/>
        <v>65</v>
      </c>
      <c r="CL67" s="386">
        <f t="shared" si="217"/>
        <v>29.445</v>
      </c>
      <c r="CM67" s="387">
        <f t="shared" si="218"/>
        <v>617461.64999999991</v>
      </c>
      <c r="CN67" s="682" t="str">
        <f t="shared" si="219"/>
        <v/>
      </c>
      <c r="CO67" s="4" t="str">
        <f t="shared" si="220"/>
        <v/>
      </c>
      <c r="CP67" s="386" t="str">
        <f t="shared" si="221"/>
        <v/>
      </c>
      <c r="CQ67" s="386">
        <f t="shared" si="254"/>
        <v>0</v>
      </c>
      <c r="CR67" s="386" t="str">
        <f t="shared" si="223"/>
        <v/>
      </c>
      <c r="CS67" s="387" t="str">
        <f t="shared" si="224"/>
        <v/>
      </c>
      <c r="CT67" s="682" t="str">
        <f t="shared" si="225"/>
        <v/>
      </c>
      <c r="CU67" s="4" t="str">
        <f t="shared" si="226"/>
        <v/>
      </c>
      <c r="CV67" s="386" t="str">
        <f t="shared" si="227"/>
        <v/>
      </c>
      <c r="CW67" s="386">
        <f t="shared" ref="CW67:CW127" si="260">SUM(CU67:CV67)</f>
        <v>0</v>
      </c>
      <c r="CX67" s="386" t="str">
        <f t="shared" si="229"/>
        <v/>
      </c>
      <c r="CY67" s="387" t="str">
        <f t="shared" si="230"/>
        <v/>
      </c>
      <c r="CZ67" s="682" t="str">
        <f t="shared" si="231"/>
        <v/>
      </c>
      <c r="DA67" s="4" t="str">
        <f t="shared" si="232"/>
        <v/>
      </c>
      <c r="DB67" s="386" t="str">
        <f t="shared" si="233"/>
        <v/>
      </c>
      <c r="DC67" s="386">
        <f t="shared" ref="DC67:DC127" si="261">SUM(DA67:DB67)</f>
        <v>0</v>
      </c>
      <c r="DD67" s="386" t="str">
        <f t="shared" si="235"/>
        <v/>
      </c>
      <c r="DE67" s="387" t="str">
        <f t="shared" si="236"/>
        <v/>
      </c>
      <c r="DF67" s="682" t="str">
        <f t="shared" si="237"/>
        <v/>
      </c>
      <c r="DG67" s="4" t="str">
        <f t="shared" si="238"/>
        <v/>
      </c>
      <c r="DH67" s="386" t="str">
        <f t="shared" si="239"/>
        <v/>
      </c>
      <c r="DI67" s="386">
        <f t="shared" si="255"/>
        <v>0</v>
      </c>
      <c r="DJ67" s="386" t="str">
        <f t="shared" si="241"/>
        <v/>
      </c>
      <c r="DK67" s="387" t="str">
        <f t="shared" si="242"/>
        <v/>
      </c>
      <c r="DL67" s="682" t="str">
        <f t="shared" si="243"/>
        <v/>
      </c>
      <c r="DM67" s="4" t="str">
        <f t="shared" si="244"/>
        <v/>
      </c>
      <c r="DN67" s="386" t="str">
        <f t="shared" si="245"/>
        <v/>
      </c>
      <c r="DO67" s="386">
        <f t="shared" si="256"/>
        <v>0</v>
      </c>
      <c r="DP67" s="386" t="str">
        <f t="shared" si="246"/>
        <v/>
      </c>
      <c r="DQ67" s="387" t="str">
        <f t="shared" si="247"/>
        <v/>
      </c>
    </row>
    <row r="68" spans="1:121" customFormat="1" x14ac:dyDescent="0.25">
      <c r="A68" t="s">
        <v>233</v>
      </c>
      <c r="B68" t="s">
        <v>33</v>
      </c>
      <c r="C68" t="s">
        <v>34</v>
      </c>
      <c r="D68" t="s">
        <v>209</v>
      </c>
      <c r="E68" t="s">
        <v>210</v>
      </c>
      <c r="F68" t="s">
        <v>234</v>
      </c>
      <c r="G68" t="s">
        <v>235</v>
      </c>
      <c r="H68" s="3"/>
      <c r="I68" s="4"/>
      <c r="J68" s="4"/>
      <c r="K68" s="4"/>
      <c r="L68" s="4"/>
      <c r="M68" s="5"/>
      <c r="N68" s="3"/>
      <c r="O68" s="4"/>
      <c r="P68" s="4"/>
      <c r="Q68" s="4"/>
      <c r="R68" s="4"/>
      <c r="S68" s="5"/>
      <c r="T68" s="3"/>
      <c r="U68" s="4"/>
      <c r="V68" s="4"/>
      <c r="W68" s="4"/>
      <c r="X68" s="4"/>
      <c r="Y68" s="5"/>
      <c r="Z68" s="3" t="str">
        <f t="shared" si="174"/>
        <v/>
      </c>
      <c r="AA68" s="4" t="str">
        <f t="shared" si="175"/>
        <v/>
      </c>
      <c r="AB68" s="386" t="str">
        <f t="shared" si="176"/>
        <v/>
      </c>
      <c r="AC68" s="386">
        <f t="shared" si="248"/>
        <v>0</v>
      </c>
      <c r="AD68" s="386" t="str">
        <f t="shared" si="177"/>
        <v/>
      </c>
      <c r="AE68" s="387" t="str">
        <f t="shared" si="178"/>
        <v/>
      </c>
      <c r="AF68" s="682">
        <f t="shared" si="179"/>
        <v>1376</v>
      </c>
      <c r="AG68" s="4">
        <f t="shared" si="180"/>
        <v>5</v>
      </c>
      <c r="AH68" s="386">
        <f t="shared" si="181"/>
        <v>1112</v>
      </c>
      <c r="AI68" s="386">
        <f t="shared" si="249"/>
        <v>1117</v>
      </c>
      <c r="AJ68" s="386">
        <f t="shared" si="183"/>
        <v>2626.9000000000005</v>
      </c>
      <c r="AK68" s="387">
        <f t="shared" si="184"/>
        <v>52538000.000000007</v>
      </c>
      <c r="AL68" s="3"/>
      <c r="AM68" s="4"/>
      <c r="AN68" s="4"/>
      <c r="AO68" s="4"/>
      <c r="AP68" s="4"/>
      <c r="AQ68" s="5"/>
      <c r="AR68" s="3"/>
      <c r="AS68" s="4"/>
      <c r="AT68" s="4"/>
      <c r="AU68" s="4"/>
      <c r="AV68" s="4"/>
      <c r="AW68" s="5"/>
      <c r="AX68" s="682">
        <f t="shared" si="186"/>
        <v>0</v>
      </c>
      <c r="AY68" s="4">
        <f t="shared" si="187"/>
        <v>10.25</v>
      </c>
      <c r="AZ68" s="386">
        <f t="shared" si="188"/>
        <v>0.25</v>
      </c>
      <c r="BA68" s="386">
        <f t="shared" si="250"/>
        <v>10.5</v>
      </c>
      <c r="BB68" s="386"/>
      <c r="BC68" s="387">
        <f t="shared" si="190"/>
        <v>32827.5</v>
      </c>
      <c r="BD68" s="682" t="str">
        <f t="shared" si="191"/>
        <v/>
      </c>
      <c r="BE68" s="4" t="str">
        <f t="shared" si="192"/>
        <v/>
      </c>
      <c r="BF68" s="386" t="str">
        <f t="shared" si="193"/>
        <v/>
      </c>
      <c r="BG68" s="386">
        <f t="shared" si="251"/>
        <v>0</v>
      </c>
      <c r="BH68" s="386" t="str">
        <f t="shared" si="194"/>
        <v/>
      </c>
      <c r="BI68" s="387" t="str">
        <f t="shared" si="170"/>
        <v/>
      </c>
      <c r="BJ68" s="682" t="str">
        <f t="shared" si="195"/>
        <v/>
      </c>
      <c r="BK68" s="4" t="str">
        <f t="shared" si="196"/>
        <v/>
      </c>
      <c r="BL68" s="386" t="str">
        <f t="shared" si="197"/>
        <v/>
      </c>
      <c r="BM68" s="386">
        <f t="shared" si="257"/>
        <v>0</v>
      </c>
      <c r="BN68" s="386" t="str">
        <f t="shared" si="198"/>
        <v/>
      </c>
      <c r="BO68" s="387" t="str">
        <f t="shared" si="171"/>
        <v/>
      </c>
      <c r="BP68" s="682">
        <f t="shared" si="199"/>
        <v>0</v>
      </c>
      <c r="BQ68" s="4">
        <f t="shared" si="200"/>
        <v>0</v>
      </c>
      <c r="BR68" s="386">
        <f t="shared" si="201"/>
        <v>401</v>
      </c>
      <c r="BS68" s="386">
        <f t="shared" si="252"/>
        <v>401</v>
      </c>
      <c r="BT68" s="386">
        <f t="shared" si="203"/>
        <v>185.66299999999998</v>
      </c>
      <c r="BU68" s="387">
        <f t="shared" si="204"/>
        <v>3156270.9999999995</v>
      </c>
      <c r="BV68" s="682" t="str">
        <f t="shared" si="205"/>
        <v/>
      </c>
      <c r="BW68" s="4" t="str">
        <f t="shared" si="206"/>
        <v/>
      </c>
      <c r="BX68" s="386" t="str">
        <f t="shared" si="207"/>
        <v/>
      </c>
      <c r="BY68" s="386">
        <f t="shared" si="258"/>
        <v>0</v>
      </c>
      <c r="BZ68" s="386" t="str">
        <f t="shared" si="208"/>
        <v/>
      </c>
      <c r="CA68" s="387" t="str">
        <f t="shared" si="172"/>
        <v/>
      </c>
      <c r="CB68" s="682" t="str">
        <f t="shared" si="209"/>
        <v/>
      </c>
      <c r="CC68" s="4" t="str">
        <f t="shared" si="210"/>
        <v/>
      </c>
      <c r="CD68" s="386" t="str">
        <f t="shared" si="211"/>
        <v/>
      </c>
      <c r="CE68" s="386">
        <f t="shared" si="259"/>
        <v>0</v>
      </c>
      <c r="CF68" s="386" t="str">
        <f t="shared" si="212"/>
        <v/>
      </c>
      <c r="CG68" s="387" t="str">
        <f t="shared" si="173"/>
        <v/>
      </c>
      <c r="CH68" s="682">
        <f t="shared" si="213"/>
        <v>0</v>
      </c>
      <c r="CI68" s="4">
        <f t="shared" si="214"/>
        <v>0</v>
      </c>
      <c r="CJ68" s="386">
        <f t="shared" si="215"/>
        <v>120</v>
      </c>
      <c r="CK68" s="386">
        <f t="shared" si="253"/>
        <v>120</v>
      </c>
      <c r="CL68" s="386">
        <f t="shared" si="217"/>
        <v>54.360000000000007</v>
      </c>
      <c r="CM68" s="387">
        <f t="shared" si="218"/>
        <v>1139929.2</v>
      </c>
      <c r="CN68" s="682">
        <f t="shared" si="219"/>
        <v>0</v>
      </c>
      <c r="CO68" s="4">
        <f t="shared" si="220"/>
        <v>0</v>
      </c>
      <c r="CP68" s="386">
        <f t="shared" si="221"/>
        <v>7</v>
      </c>
      <c r="CQ68" s="386">
        <f t="shared" si="254"/>
        <v>7</v>
      </c>
      <c r="CR68" s="386">
        <f t="shared" si="223"/>
        <v>3.1739999999999999</v>
      </c>
      <c r="CS68" s="387">
        <f t="shared" si="224"/>
        <v>54910.200000000004</v>
      </c>
      <c r="CT68" s="682" t="str">
        <f t="shared" si="225"/>
        <v/>
      </c>
      <c r="CU68" s="4" t="str">
        <f t="shared" si="226"/>
        <v/>
      </c>
      <c r="CV68" s="386" t="str">
        <f t="shared" si="227"/>
        <v/>
      </c>
      <c r="CW68" s="386">
        <f t="shared" si="260"/>
        <v>0</v>
      </c>
      <c r="CX68" s="386" t="str">
        <f t="shared" si="229"/>
        <v/>
      </c>
      <c r="CY68" s="387" t="str">
        <f t="shared" si="230"/>
        <v/>
      </c>
      <c r="CZ68" s="682" t="str">
        <f t="shared" si="231"/>
        <v/>
      </c>
      <c r="DA68" s="4" t="str">
        <f t="shared" si="232"/>
        <v/>
      </c>
      <c r="DB68" s="386" t="str">
        <f t="shared" si="233"/>
        <v/>
      </c>
      <c r="DC68" s="386">
        <f t="shared" si="261"/>
        <v>0</v>
      </c>
      <c r="DD68" s="386" t="str">
        <f t="shared" si="235"/>
        <v/>
      </c>
      <c r="DE68" s="387" t="str">
        <f t="shared" si="236"/>
        <v/>
      </c>
      <c r="DF68" s="682" t="str">
        <f t="shared" si="237"/>
        <v/>
      </c>
      <c r="DG68" s="4" t="str">
        <f t="shared" si="238"/>
        <v/>
      </c>
      <c r="DH68" s="386" t="str">
        <f t="shared" si="239"/>
        <v/>
      </c>
      <c r="DI68" s="386">
        <f t="shared" si="255"/>
        <v>0</v>
      </c>
      <c r="DJ68" s="386" t="str">
        <f t="shared" si="241"/>
        <v/>
      </c>
      <c r="DK68" s="387" t="str">
        <f t="shared" si="242"/>
        <v/>
      </c>
      <c r="DL68" s="682" t="str">
        <f t="shared" si="243"/>
        <v/>
      </c>
      <c r="DM68" s="4" t="str">
        <f t="shared" si="244"/>
        <v/>
      </c>
      <c r="DN68" s="386" t="str">
        <f t="shared" si="245"/>
        <v/>
      </c>
      <c r="DO68" s="386">
        <f t="shared" si="256"/>
        <v>0</v>
      </c>
      <c r="DP68" s="386" t="str">
        <f t="shared" si="246"/>
        <v/>
      </c>
      <c r="DQ68" s="387" t="str">
        <f t="shared" si="247"/>
        <v/>
      </c>
    </row>
    <row r="69" spans="1:121" customFormat="1" x14ac:dyDescent="0.25">
      <c r="A69" t="s">
        <v>236</v>
      </c>
      <c r="B69" t="s">
        <v>33</v>
      </c>
      <c r="C69" t="s">
        <v>34</v>
      </c>
      <c r="D69" t="s">
        <v>209</v>
      </c>
      <c r="E69" t="s">
        <v>210</v>
      </c>
      <c r="F69" t="s">
        <v>237</v>
      </c>
      <c r="G69" t="s">
        <v>238</v>
      </c>
      <c r="H69" s="3"/>
      <c r="I69" s="4"/>
      <c r="J69" s="4"/>
      <c r="K69" s="4"/>
      <c r="L69" s="4"/>
      <c r="M69" s="5"/>
      <c r="N69" s="3"/>
      <c r="O69" s="4"/>
      <c r="P69" s="4"/>
      <c r="Q69" s="4"/>
      <c r="R69" s="4"/>
      <c r="S69" s="5"/>
      <c r="T69" s="3"/>
      <c r="U69" s="4"/>
      <c r="V69" s="4"/>
      <c r="W69" s="4"/>
      <c r="X69" s="4"/>
      <c r="Y69" s="5"/>
      <c r="Z69" s="3" t="str">
        <f t="shared" si="174"/>
        <v/>
      </c>
      <c r="AA69" s="4" t="str">
        <f t="shared" si="175"/>
        <v/>
      </c>
      <c r="AB69" s="386" t="str">
        <f t="shared" si="176"/>
        <v/>
      </c>
      <c r="AC69" s="386">
        <f t="shared" si="248"/>
        <v>0</v>
      </c>
      <c r="AD69" s="386" t="str">
        <f t="shared" si="177"/>
        <v/>
      </c>
      <c r="AE69" s="387" t="str">
        <f t="shared" si="178"/>
        <v/>
      </c>
      <c r="AF69" s="682">
        <f t="shared" si="179"/>
        <v>133</v>
      </c>
      <c r="AG69" s="4">
        <f t="shared" si="180"/>
        <v>0</v>
      </c>
      <c r="AH69" s="386">
        <f t="shared" si="181"/>
        <v>100</v>
      </c>
      <c r="AI69" s="386">
        <f t="shared" si="249"/>
        <v>100</v>
      </c>
      <c r="AJ69" s="386">
        <f t="shared" si="183"/>
        <v>241</v>
      </c>
      <c r="AK69" s="387">
        <f t="shared" si="184"/>
        <v>4820000</v>
      </c>
      <c r="AL69" s="3"/>
      <c r="AM69" s="4"/>
      <c r="AN69" s="4"/>
      <c r="AO69" s="4"/>
      <c r="AP69" s="4"/>
      <c r="AQ69" s="5"/>
      <c r="AR69" s="3"/>
      <c r="AS69" s="4"/>
      <c r="AT69" s="4"/>
      <c r="AU69" s="4"/>
      <c r="AV69" s="4"/>
      <c r="AW69" s="5"/>
      <c r="AX69" s="682" t="str">
        <f t="shared" si="186"/>
        <v/>
      </c>
      <c r="AY69" s="4" t="str">
        <f t="shared" si="187"/>
        <v/>
      </c>
      <c r="AZ69" s="386" t="str">
        <f t="shared" si="188"/>
        <v/>
      </c>
      <c r="BA69" s="386">
        <f t="shared" si="250"/>
        <v>0</v>
      </c>
      <c r="BB69" s="386"/>
      <c r="BC69" s="387" t="str">
        <f t="shared" si="190"/>
        <v/>
      </c>
      <c r="BD69" s="682" t="str">
        <f t="shared" si="191"/>
        <v/>
      </c>
      <c r="BE69" s="4" t="str">
        <f t="shared" si="192"/>
        <v/>
      </c>
      <c r="BF69" s="386" t="str">
        <f t="shared" si="193"/>
        <v/>
      </c>
      <c r="BG69" s="386">
        <f t="shared" si="251"/>
        <v>0</v>
      </c>
      <c r="BH69" s="386" t="str">
        <f t="shared" si="194"/>
        <v/>
      </c>
      <c r="BI69" s="387" t="str">
        <f t="shared" si="170"/>
        <v/>
      </c>
      <c r="BJ69" s="682" t="str">
        <f t="shared" si="195"/>
        <v/>
      </c>
      <c r="BK69" s="4" t="str">
        <f t="shared" si="196"/>
        <v/>
      </c>
      <c r="BL69" s="386" t="str">
        <f t="shared" si="197"/>
        <v/>
      </c>
      <c r="BM69" s="386">
        <f t="shared" si="257"/>
        <v>0</v>
      </c>
      <c r="BN69" s="386" t="str">
        <f t="shared" si="198"/>
        <v/>
      </c>
      <c r="BO69" s="387" t="str">
        <f t="shared" si="171"/>
        <v/>
      </c>
      <c r="BP69" s="682" t="str">
        <f t="shared" si="199"/>
        <v/>
      </c>
      <c r="BQ69" s="4" t="str">
        <f t="shared" si="200"/>
        <v/>
      </c>
      <c r="BR69" s="386" t="str">
        <f t="shared" si="201"/>
        <v/>
      </c>
      <c r="BS69" s="386">
        <f t="shared" si="252"/>
        <v>0</v>
      </c>
      <c r="BT69" s="386" t="str">
        <f t="shared" si="203"/>
        <v/>
      </c>
      <c r="BU69" s="387" t="str">
        <f t="shared" si="204"/>
        <v/>
      </c>
      <c r="BV69" s="682" t="str">
        <f t="shared" si="205"/>
        <v/>
      </c>
      <c r="BW69" s="4" t="str">
        <f t="shared" si="206"/>
        <v/>
      </c>
      <c r="BX69" s="386" t="str">
        <f t="shared" si="207"/>
        <v/>
      </c>
      <c r="BY69" s="386">
        <f t="shared" si="258"/>
        <v>0</v>
      </c>
      <c r="BZ69" s="386" t="str">
        <f t="shared" si="208"/>
        <v/>
      </c>
      <c r="CA69" s="387" t="str">
        <f t="shared" si="172"/>
        <v/>
      </c>
      <c r="CB69" s="682" t="str">
        <f t="shared" si="209"/>
        <v/>
      </c>
      <c r="CC69" s="4" t="str">
        <f t="shared" si="210"/>
        <v/>
      </c>
      <c r="CD69" s="386" t="str">
        <f t="shared" si="211"/>
        <v/>
      </c>
      <c r="CE69" s="386">
        <f t="shared" si="259"/>
        <v>0</v>
      </c>
      <c r="CF69" s="386" t="str">
        <f t="shared" si="212"/>
        <v/>
      </c>
      <c r="CG69" s="387" t="str">
        <f t="shared" si="173"/>
        <v/>
      </c>
      <c r="CH69" s="682" t="str">
        <f t="shared" si="213"/>
        <v/>
      </c>
      <c r="CI69" s="4" t="str">
        <f t="shared" si="214"/>
        <v/>
      </c>
      <c r="CJ69" s="386" t="str">
        <f t="shared" si="215"/>
        <v/>
      </c>
      <c r="CK69" s="386">
        <f t="shared" si="253"/>
        <v>0</v>
      </c>
      <c r="CL69" s="386" t="str">
        <f t="shared" si="217"/>
        <v/>
      </c>
      <c r="CM69" s="387" t="str">
        <f t="shared" si="218"/>
        <v/>
      </c>
      <c r="CN69" s="682" t="str">
        <f t="shared" si="219"/>
        <v/>
      </c>
      <c r="CO69" s="4" t="str">
        <f t="shared" si="220"/>
        <v/>
      </c>
      <c r="CP69" s="386" t="str">
        <f t="shared" si="221"/>
        <v/>
      </c>
      <c r="CQ69" s="386">
        <f t="shared" si="254"/>
        <v>0</v>
      </c>
      <c r="CR69" s="386" t="str">
        <f t="shared" si="223"/>
        <v/>
      </c>
      <c r="CS69" s="387" t="str">
        <f t="shared" si="224"/>
        <v/>
      </c>
      <c r="CT69" s="682" t="str">
        <f t="shared" si="225"/>
        <v/>
      </c>
      <c r="CU69" s="4" t="str">
        <f t="shared" si="226"/>
        <v/>
      </c>
      <c r="CV69" s="386" t="str">
        <f t="shared" si="227"/>
        <v/>
      </c>
      <c r="CW69" s="386">
        <f t="shared" si="260"/>
        <v>0</v>
      </c>
      <c r="CX69" s="386" t="str">
        <f t="shared" si="229"/>
        <v/>
      </c>
      <c r="CY69" s="387" t="str">
        <f t="shared" si="230"/>
        <v/>
      </c>
      <c r="CZ69" s="682" t="str">
        <f t="shared" si="231"/>
        <v/>
      </c>
      <c r="DA69" s="4" t="str">
        <f t="shared" si="232"/>
        <v/>
      </c>
      <c r="DB69" s="386" t="str">
        <f t="shared" si="233"/>
        <v/>
      </c>
      <c r="DC69" s="386">
        <f t="shared" si="261"/>
        <v>0</v>
      </c>
      <c r="DD69" s="386" t="str">
        <f t="shared" si="235"/>
        <v/>
      </c>
      <c r="DE69" s="387" t="str">
        <f t="shared" si="236"/>
        <v/>
      </c>
      <c r="DF69" s="682" t="str">
        <f t="shared" si="237"/>
        <v/>
      </c>
      <c r="DG69" s="4" t="str">
        <f t="shared" si="238"/>
        <v/>
      </c>
      <c r="DH69" s="386" t="str">
        <f t="shared" si="239"/>
        <v/>
      </c>
      <c r="DI69" s="386">
        <f t="shared" si="255"/>
        <v>0</v>
      </c>
      <c r="DJ69" s="386" t="str">
        <f t="shared" si="241"/>
        <v/>
      </c>
      <c r="DK69" s="387" t="str">
        <f t="shared" si="242"/>
        <v/>
      </c>
      <c r="DL69" s="682" t="str">
        <f t="shared" si="243"/>
        <v/>
      </c>
      <c r="DM69" s="4" t="str">
        <f t="shared" si="244"/>
        <v/>
      </c>
      <c r="DN69" s="386" t="str">
        <f t="shared" si="245"/>
        <v/>
      </c>
      <c r="DO69" s="386">
        <f t="shared" si="256"/>
        <v>0</v>
      </c>
      <c r="DP69" s="386" t="str">
        <f t="shared" si="246"/>
        <v/>
      </c>
      <c r="DQ69" s="387" t="str">
        <f t="shared" si="247"/>
        <v/>
      </c>
    </row>
    <row r="70" spans="1:121" customFormat="1" x14ac:dyDescent="0.25">
      <c r="A70" t="s">
        <v>239</v>
      </c>
      <c r="B70" t="s">
        <v>33</v>
      </c>
      <c r="C70" t="s">
        <v>34</v>
      </c>
      <c r="D70" t="s">
        <v>209</v>
      </c>
      <c r="E70" t="s">
        <v>210</v>
      </c>
      <c r="F70" t="s">
        <v>240</v>
      </c>
      <c r="G70" t="s">
        <v>241</v>
      </c>
      <c r="H70" s="3"/>
      <c r="I70" s="4"/>
      <c r="J70" s="4"/>
      <c r="K70" s="4"/>
      <c r="L70" s="4"/>
      <c r="M70" s="5"/>
      <c r="N70" s="3"/>
      <c r="O70" s="4"/>
      <c r="P70" s="4"/>
      <c r="Q70" s="4"/>
      <c r="R70" s="4"/>
      <c r="S70" s="5"/>
      <c r="T70" s="3"/>
      <c r="U70" s="4"/>
      <c r="V70" s="4"/>
      <c r="W70" s="4"/>
      <c r="X70" s="4"/>
      <c r="Y70" s="5"/>
      <c r="Z70" s="3" t="str">
        <f t="shared" si="174"/>
        <v/>
      </c>
      <c r="AA70" s="4" t="str">
        <f t="shared" si="175"/>
        <v/>
      </c>
      <c r="AB70" s="386" t="str">
        <f t="shared" si="176"/>
        <v/>
      </c>
      <c r="AC70" s="386">
        <f t="shared" si="248"/>
        <v>0</v>
      </c>
      <c r="AD70" s="386" t="str">
        <f t="shared" si="177"/>
        <v/>
      </c>
      <c r="AE70" s="387" t="str">
        <f t="shared" si="178"/>
        <v/>
      </c>
      <c r="AF70" s="682">
        <f t="shared" si="179"/>
        <v>0</v>
      </c>
      <c r="AG70" s="4">
        <f t="shared" si="180"/>
        <v>2</v>
      </c>
      <c r="AH70" s="386">
        <f t="shared" si="181"/>
        <v>1460</v>
      </c>
      <c r="AI70" s="386">
        <f t="shared" si="249"/>
        <v>1462</v>
      </c>
      <c r="AJ70" s="386">
        <f t="shared" si="183"/>
        <v>2648.1080000000002</v>
      </c>
      <c r="AK70" s="387">
        <f t="shared" si="184"/>
        <v>52962160</v>
      </c>
      <c r="AL70" s="3"/>
      <c r="AM70" s="4"/>
      <c r="AN70" s="4"/>
      <c r="AO70" s="4"/>
      <c r="AP70" s="4"/>
      <c r="AQ70" s="5"/>
      <c r="AR70" s="3"/>
      <c r="AS70" s="4"/>
      <c r="AT70" s="4"/>
      <c r="AU70" s="4"/>
      <c r="AV70" s="4"/>
      <c r="AW70" s="5"/>
      <c r="AX70" s="682">
        <f t="shared" si="186"/>
        <v>0</v>
      </c>
      <c r="AY70" s="4">
        <f t="shared" si="187"/>
        <v>163.5</v>
      </c>
      <c r="AZ70" s="386">
        <f t="shared" si="188"/>
        <v>11</v>
      </c>
      <c r="BA70" s="386">
        <f t="shared" si="250"/>
        <v>174.5</v>
      </c>
      <c r="BB70" s="386"/>
      <c r="BC70" s="387">
        <f t="shared" si="190"/>
        <v>1665708.75</v>
      </c>
      <c r="BD70" s="682" t="str">
        <f t="shared" si="191"/>
        <v/>
      </c>
      <c r="BE70" s="4" t="str">
        <f t="shared" si="192"/>
        <v/>
      </c>
      <c r="BF70" s="386" t="str">
        <f t="shared" si="193"/>
        <v/>
      </c>
      <c r="BG70" s="386">
        <f t="shared" si="251"/>
        <v>0</v>
      </c>
      <c r="BH70" s="386" t="str">
        <f t="shared" si="194"/>
        <v/>
      </c>
      <c r="BI70" s="387" t="str">
        <f t="shared" si="170"/>
        <v/>
      </c>
      <c r="BJ70" s="682" t="str">
        <f t="shared" si="195"/>
        <v/>
      </c>
      <c r="BK70" s="4" t="str">
        <f t="shared" si="196"/>
        <v/>
      </c>
      <c r="BL70" s="386" t="str">
        <f t="shared" si="197"/>
        <v/>
      </c>
      <c r="BM70" s="386">
        <f t="shared" si="257"/>
        <v>0</v>
      </c>
      <c r="BN70" s="386" t="str">
        <f t="shared" si="198"/>
        <v/>
      </c>
      <c r="BO70" s="387" t="str">
        <f t="shared" si="171"/>
        <v/>
      </c>
      <c r="BP70" s="682">
        <f t="shared" si="199"/>
        <v>0</v>
      </c>
      <c r="BQ70" s="4">
        <f t="shared" si="200"/>
        <v>0</v>
      </c>
      <c r="BR70" s="386">
        <f t="shared" si="201"/>
        <v>563</v>
      </c>
      <c r="BS70" s="386">
        <f t="shared" si="252"/>
        <v>563</v>
      </c>
      <c r="BT70" s="386">
        <f t="shared" si="203"/>
        <v>260.66900000000004</v>
      </c>
      <c r="BU70" s="387">
        <f t="shared" si="204"/>
        <v>4431373.0000000009</v>
      </c>
      <c r="BV70" s="682" t="str">
        <f t="shared" si="205"/>
        <v/>
      </c>
      <c r="BW70" s="4" t="str">
        <f t="shared" si="206"/>
        <v/>
      </c>
      <c r="BX70" s="386" t="str">
        <f t="shared" si="207"/>
        <v/>
      </c>
      <c r="BY70" s="386">
        <f t="shared" si="258"/>
        <v>0</v>
      </c>
      <c r="BZ70" s="386" t="str">
        <f t="shared" si="208"/>
        <v/>
      </c>
      <c r="CA70" s="387" t="str">
        <f t="shared" si="172"/>
        <v/>
      </c>
      <c r="CB70" s="682" t="str">
        <f t="shared" si="209"/>
        <v/>
      </c>
      <c r="CC70" s="4" t="str">
        <f t="shared" si="210"/>
        <v/>
      </c>
      <c r="CD70" s="386" t="str">
        <f t="shared" si="211"/>
        <v/>
      </c>
      <c r="CE70" s="386">
        <f t="shared" si="259"/>
        <v>0</v>
      </c>
      <c r="CF70" s="386" t="str">
        <f t="shared" si="212"/>
        <v/>
      </c>
      <c r="CG70" s="387" t="str">
        <f t="shared" si="173"/>
        <v/>
      </c>
      <c r="CH70" s="682">
        <f t="shared" si="213"/>
        <v>0</v>
      </c>
      <c r="CI70" s="4">
        <f t="shared" si="214"/>
        <v>0</v>
      </c>
      <c r="CJ70" s="386">
        <f t="shared" si="215"/>
        <v>135</v>
      </c>
      <c r="CK70" s="386">
        <f t="shared" si="253"/>
        <v>135</v>
      </c>
      <c r="CL70" s="386">
        <f t="shared" si="217"/>
        <v>61.155000000000008</v>
      </c>
      <c r="CM70" s="387">
        <f t="shared" si="218"/>
        <v>1282420.3500000001</v>
      </c>
      <c r="CN70" s="682">
        <f t="shared" si="219"/>
        <v>0</v>
      </c>
      <c r="CO70" s="4">
        <f t="shared" si="220"/>
        <v>5</v>
      </c>
      <c r="CP70" s="386">
        <f t="shared" si="221"/>
        <v>45</v>
      </c>
      <c r="CQ70" s="386">
        <f t="shared" si="254"/>
        <v>50</v>
      </c>
      <c r="CR70" s="386">
        <f t="shared" si="223"/>
        <v>12.31615</v>
      </c>
      <c r="CS70" s="387">
        <f t="shared" si="224"/>
        <v>295344.68700000003</v>
      </c>
      <c r="CT70" s="682" t="str">
        <f t="shared" si="225"/>
        <v/>
      </c>
      <c r="CU70" s="4" t="str">
        <f t="shared" si="226"/>
        <v/>
      </c>
      <c r="CV70" s="386" t="str">
        <f t="shared" si="227"/>
        <v/>
      </c>
      <c r="CW70" s="386">
        <f t="shared" si="260"/>
        <v>0</v>
      </c>
      <c r="CX70" s="386" t="str">
        <f t="shared" si="229"/>
        <v/>
      </c>
      <c r="CY70" s="387" t="str">
        <f t="shared" si="230"/>
        <v/>
      </c>
      <c r="CZ70" s="682" t="str">
        <f t="shared" si="231"/>
        <v/>
      </c>
      <c r="DA70" s="4" t="str">
        <f t="shared" si="232"/>
        <v/>
      </c>
      <c r="DB70" s="386" t="str">
        <f t="shared" si="233"/>
        <v/>
      </c>
      <c r="DC70" s="386">
        <f t="shared" si="261"/>
        <v>0</v>
      </c>
      <c r="DD70" s="386" t="str">
        <f t="shared" si="235"/>
        <v/>
      </c>
      <c r="DE70" s="387" t="str">
        <f t="shared" si="236"/>
        <v/>
      </c>
      <c r="DF70" s="682" t="str">
        <f t="shared" si="237"/>
        <v/>
      </c>
      <c r="DG70" s="4" t="str">
        <f t="shared" si="238"/>
        <v/>
      </c>
      <c r="DH70" s="386" t="str">
        <f t="shared" si="239"/>
        <v/>
      </c>
      <c r="DI70" s="386">
        <f t="shared" si="255"/>
        <v>0</v>
      </c>
      <c r="DJ70" s="386" t="str">
        <f t="shared" si="241"/>
        <v/>
      </c>
      <c r="DK70" s="387" t="str">
        <f t="shared" si="242"/>
        <v/>
      </c>
      <c r="DL70" s="682" t="str">
        <f t="shared" si="243"/>
        <v/>
      </c>
      <c r="DM70" s="4" t="str">
        <f t="shared" si="244"/>
        <v/>
      </c>
      <c r="DN70" s="386" t="str">
        <f t="shared" si="245"/>
        <v/>
      </c>
      <c r="DO70" s="386">
        <f t="shared" si="256"/>
        <v>0</v>
      </c>
      <c r="DP70" s="386" t="str">
        <f t="shared" si="246"/>
        <v/>
      </c>
      <c r="DQ70" s="387" t="str">
        <f t="shared" si="247"/>
        <v/>
      </c>
    </row>
    <row r="71" spans="1:121" customFormat="1" x14ac:dyDescent="0.25">
      <c r="A71" t="s">
        <v>242</v>
      </c>
      <c r="B71" t="s">
        <v>33</v>
      </c>
      <c r="C71" t="s">
        <v>34</v>
      </c>
      <c r="D71" t="s">
        <v>209</v>
      </c>
      <c r="E71" t="s">
        <v>210</v>
      </c>
      <c r="F71" t="s">
        <v>243</v>
      </c>
      <c r="G71" t="s">
        <v>244</v>
      </c>
      <c r="H71" s="3"/>
      <c r="I71" s="4"/>
      <c r="J71" s="4"/>
      <c r="K71" s="4"/>
      <c r="L71" s="4"/>
      <c r="M71" s="5"/>
      <c r="N71" s="3"/>
      <c r="O71" s="4"/>
      <c r="P71" s="4"/>
      <c r="Q71" s="4"/>
      <c r="R71" s="4"/>
      <c r="S71" s="5"/>
      <c r="T71" s="3"/>
      <c r="U71" s="4"/>
      <c r="V71" s="4"/>
      <c r="W71" s="4"/>
      <c r="X71" s="4"/>
      <c r="Y71" s="5"/>
      <c r="Z71" s="3" t="str">
        <f t="shared" si="174"/>
        <v/>
      </c>
      <c r="AA71" s="4" t="str">
        <f t="shared" si="175"/>
        <v/>
      </c>
      <c r="AB71" s="386" t="str">
        <f t="shared" si="176"/>
        <v/>
      </c>
      <c r="AC71" s="386">
        <f t="shared" si="248"/>
        <v>0</v>
      </c>
      <c r="AD71" s="386" t="str">
        <f t="shared" si="177"/>
        <v/>
      </c>
      <c r="AE71" s="387" t="str">
        <f t="shared" si="178"/>
        <v/>
      </c>
      <c r="AF71" s="682">
        <f t="shared" si="179"/>
        <v>6.666666666666667</v>
      </c>
      <c r="AG71" s="4">
        <f t="shared" si="180"/>
        <v>0</v>
      </c>
      <c r="AH71" s="386">
        <f t="shared" si="181"/>
        <v>5</v>
      </c>
      <c r="AI71" s="386">
        <f t="shared" si="249"/>
        <v>5</v>
      </c>
      <c r="AJ71" s="386">
        <f t="shared" si="183"/>
        <v>12.05</v>
      </c>
      <c r="AK71" s="387">
        <f t="shared" si="184"/>
        <v>241000</v>
      </c>
      <c r="AL71" s="3"/>
      <c r="AM71" s="4"/>
      <c r="AN71" s="4"/>
      <c r="AO71" s="4"/>
      <c r="AP71" s="4"/>
      <c r="AQ71" s="5"/>
      <c r="AR71" s="3"/>
      <c r="AS71" s="4"/>
      <c r="AT71" s="4"/>
      <c r="AU71" s="4"/>
      <c r="AV71" s="4"/>
      <c r="AW71" s="5"/>
      <c r="AX71" s="682" t="str">
        <f t="shared" si="186"/>
        <v/>
      </c>
      <c r="AY71" s="4" t="str">
        <f t="shared" si="187"/>
        <v/>
      </c>
      <c r="AZ71" s="386" t="str">
        <f t="shared" si="188"/>
        <v/>
      </c>
      <c r="BA71" s="386">
        <f t="shared" si="250"/>
        <v>0</v>
      </c>
      <c r="BB71" s="386"/>
      <c r="BC71" s="387" t="str">
        <f t="shared" si="190"/>
        <v/>
      </c>
      <c r="BD71" s="682" t="str">
        <f t="shared" si="191"/>
        <v/>
      </c>
      <c r="BE71" s="4" t="str">
        <f t="shared" si="192"/>
        <v/>
      </c>
      <c r="BF71" s="386" t="str">
        <f t="shared" si="193"/>
        <v/>
      </c>
      <c r="BG71" s="386">
        <f t="shared" si="251"/>
        <v>0</v>
      </c>
      <c r="BH71" s="386" t="str">
        <f t="shared" si="194"/>
        <v/>
      </c>
      <c r="BI71" s="387" t="str">
        <f t="shared" si="170"/>
        <v/>
      </c>
      <c r="BJ71" s="682" t="str">
        <f t="shared" si="195"/>
        <v/>
      </c>
      <c r="BK71" s="4" t="str">
        <f t="shared" si="196"/>
        <v/>
      </c>
      <c r="BL71" s="386" t="str">
        <f t="shared" si="197"/>
        <v/>
      </c>
      <c r="BM71" s="386">
        <f t="shared" si="257"/>
        <v>0</v>
      </c>
      <c r="BN71" s="386" t="str">
        <f t="shared" si="198"/>
        <v/>
      </c>
      <c r="BO71" s="387" t="str">
        <f t="shared" si="171"/>
        <v/>
      </c>
      <c r="BP71" s="682">
        <f t="shared" si="199"/>
        <v>0</v>
      </c>
      <c r="BQ71" s="4">
        <f t="shared" si="200"/>
        <v>0</v>
      </c>
      <c r="BR71" s="386">
        <f t="shared" si="201"/>
        <v>1314</v>
      </c>
      <c r="BS71" s="386">
        <f t="shared" si="252"/>
        <v>1314</v>
      </c>
      <c r="BT71" s="386">
        <f t="shared" si="203"/>
        <v>608.38199999999995</v>
      </c>
      <c r="BU71" s="387">
        <f t="shared" si="204"/>
        <v>10342493.999999998</v>
      </c>
      <c r="BV71" s="682" t="str">
        <f t="shared" si="205"/>
        <v/>
      </c>
      <c r="BW71" s="4" t="str">
        <f t="shared" si="206"/>
        <v/>
      </c>
      <c r="BX71" s="386" t="str">
        <f t="shared" si="207"/>
        <v/>
      </c>
      <c r="BY71" s="386">
        <f t="shared" si="258"/>
        <v>0</v>
      </c>
      <c r="BZ71" s="386" t="str">
        <f t="shared" si="208"/>
        <v/>
      </c>
      <c r="CA71" s="387" t="str">
        <f t="shared" si="172"/>
        <v/>
      </c>
      <c r="CB71" s="682" t="str">
        <f t="shared" si="209"/>
        <v/>
      </c>
      <c r="CC71" s="4" t="str">
        <f t="shared" si="210"/>
        <v/>
      </c>
      <c r="CD71" s="386" t="str">
        <f t="shared" si="211"/>
        <v/>
      </c>
      <c r="CE71" s="386">
        <f t="shared" si="259"/>
        <v>0</v>
      </c>
      <c r="CF71" s="386" t="str">
        <f t="shared" si="212"/>
        <v/>
      </c>
      <c r="CG71" s="387" t="str">
        <f t="shared" si="173"/>
        <v/>
      </c>
      <c r="CH71" s="682" t="str">
        <f t="shared" si="213"/>
        <v/>
      </c>
      <c r="CI71" s="4" t="str">
        <f t="shared" si="214"/>
        <v/>
      </c>
      <c r="CJ71" s="386" t="str">
        <f t="shared" si="215"/>
        <v/>
      </c>
      <c r="CK71" s="386">
        <f t="shared" si="253"/>
        <v>0</v>
      </c>
      <c r="CL71" s="386" t="str">
        <f t="shared" si="217"/>
        <v/>
      </c>
      <c r="CM71" s="387" t="str">
        <f t="shared" si="218"/>
        <v/>
      </c>
      <c r="CN71" s="682" t="str">
        <f t="shared" si="219"/>
        <v/>
      </c>
      <c r="CO71" s="4" t="str">
        <f t="shared" si="220"/>
        <v/>
      </c>
      <c r="CP71" s="386" t="str">
        <f t="shared" si="221"/>
        <v/>
      </c>
      <c r="CQ71" s="386">
        <f t="shared" si="254"/>
        <v>0</v>
      </c>
      <c r="CR71" s="386" t="str">
        <f t="shared" si="223"/>
        <v/>
      </c>
      <c r="CS71" s="387" t="str">
        <f t="shared" si="224"/>
        <v/>
      </c>
      <c r="CT71" s="682" t="str">
        <f t="shared" si="225"/>
        <v/>
      </c>
      <c r="CU71" s="4" t="str">
        <f t="shared" si="226"/>
        <v/>
      </c>
      <c r="CV71" s="386" t="str">
        <f t="shared" si="227"/>
        <v/>
      </c>
      <c r="CW71" s="386">
        <f t="shared" si="260"/>
        <v>0</v>
      </c>
      <c r="CX71" s="386" t="str">
        <f t="shared" si="229"/>
        <v/>
      </c>
      <c r="CY71" s="387" t="str">
        <f t="shared" si="230"/>
        <v/>
      </c>
      <c r="CZ71" s="682" t="str">
        <f t="shared" si="231"/>
        <v/>
      </c>
      <c r="DA71" s="4" t="str">
        <f t="shared" si="232"/>
        <v/>
      </c>
      <c r="DB71" s="386" t="str">
        <f t="shared" si="233"/>
        <v/>
      </c>
      <c r="DC71" s="386">
        <f t="shared" si="261"/>
        <v>0</v>
      </c>
      <c r="DD71" s="386" t="str">
        <f t="shared" si="235"/>
        <v/>
      </c>
      <c r="DE71" s="387" t="str">
        <f t="shared" si="236"/>
        <v/>
      </c>
      <c r="DF71" s="682">
        <f t="shared" si="237"/>
        <v>0</v>
      </c>
      <c r="DG71" s="4">
        <f t="shared" si="238"/>
        <v>5</v>
      </c>
      <c r="DH71" s="386">
        <f t="shared" si="239"/>
        <v>661</v>
      </c>
      <c r="DI71" s="386">
        <f t="shared" si="255"/>
        <v>666</v>
      </c>
      <c r="DJ71" s="386">
        <f t="shared" si="241"/>
        <v>318.52800000000002</v>
      </c>
      <c r="DK71" s="387">
        <f t="shared" si="242"/>
        <v>5252526.7200000007</v>
      </c>
      <c r="DL71" s="682" t="str">
        <f t="shared" si="243"/>
        <v/>
      </c>
      <c r="DM71" s="4" t="str">
        <f t="shared" si="244"/>
        <v/>
      </c>
      <c r="DN71" s="386" t="str">
        <f t="shared" si="245"/>
        <v/>
      </c>
      <c r="DO71" s="386">
        <f t="shared" si="256"/>
        <v>0</v>
      </c>
      <c r="DP71" s="386" t="str">
        <f t="shared" si="246"/>
        <v/>
      </c>
      <c r="DQ71" s="387" t="str">
        <f t="shared" si="247"/>
        <v/>
      </c>
    </row>
    <row r="72" spans="1:121" customFormat="1" x14ac:dyDescent="0.25">
      <c r="A72" t="s">
        <v>245</v>
      </c>
      <c r="B72" t="s">
        <v>33</v>
      </c>
      <c r="C72" t="s">
        <v>34</v>
      </c>
      <c r="D72" t="s">
        <v>209</v>
      </c>
      <c r="E72" t="s">
        <v>210</v>
      </c>
      <c r="F72" t="s">
        <v>246</v>
      </c>
      <c r="G72" t="s">
        <v>247</v>
      </c>
      <c r="H72" s="3"/>
      <c r="I72" s="4"/>
      <c r="J72" s="4"/>
      <c r="K72" s="4"/>
      <c r="L72" s="4"/>
      <c r="M72" s="5"/>
      <c r="N72" s="3"/>
      <c r="O72" s="4"/>
      <c r="P72" s="4"/>
      <c r="Q72" s="4"/>
      <c r="R72" s="4"/>
      <c r="S72" s="5"/>
      <c r="T72" s="3"/>
      <c r="U72" s="4"/>
      <c r="V72" s="4"/>
      <c r="W72" s="4"/>
      <c r="X72" s="4"/>
      <c r="Y72" s="5"/>
      <c r="Z72" s="3">
        <f t="shared" si="174"/>
        <v>0</v>
      </c>
      <c r="AA72" s="4">
        <f t="shared" si="175"/>
        <v>0</v>
      </c>
      <c r="AB72" s="386">
        <f t="shared" si="176"/>
        <v>20</v>
      </c>
      <c r="AC72" s="386">
        <f t="shared" si="248"/>
        <v>20</v>
      </c>
      <c r="AD72" s="386" t="str">
        <f t="shared" si="177"/>
        <v/>
      </c>
      <c r="AE72" s="387">
        <f t="shared" ref="AE72:AE79" si="262">IFERROR(VLOOKUP(G72,Rosita_LU,17,FALSE),"")</f>
        <v>211650</v>
      </c>
      <c r="AF72" s="682">
        <f t="shared" si="179"/>
        <v>866.66666666666674</v>
      </c>
      <c r="AG72" s="4">
        <f t="shared" si="180"/>
        <v>0</v>
      </c>
      <c r="AH72" s="386">
        <f t="shared" si="181"/>
        <v>650</v>
      </c>
      <c r="AI72" s="386">
        <f t="shared" si="249"/>
        <v>650</v>
      </c>
      <c r="AJ72" s="386">
        <f t="shared" si="183"/>
        <v>1373.7</v>
      </c>
      <c r="AK72" s="387">
        <f t="shared" si="184"/>
        <v>27474000</v>
      </c>
      <c r="AL72" s="3"/>
      <c r="AM72" s="4"/>
      <c r="AN72" s="4"/>
      <c r="AO72" s="4"/>
      <c r="AP72" s="4"/>
      <c r="AQ72" s="5"/>
      <c r="AR72" s="3"/>
      <c r="AS72" s="4"/>
      <c r="AT72" s="4"/>
      <c r="AU72" s="4"/>
      <c r="AV72" s="4"/>
      <c r="AW72" s="5"/>
      <c r="AX72" s="682" t="str">
        <f t="shared" si="186"/>
        <v/>
      </c>
      <c r="AY72" s="4" t="str">
        <f t="shared" si="187"/>
        <v/>
      </c>
      <c r="AZ72" s="386" t="str">
        <f t="shared" si="188"/>
        <v/>
      </c>
      <c r="BA72" s="386">
        <f t="shared" si="250"/>
        <v>0</v>
      </c>
      <c r="BB72" s="386"/>
      <c r="BC72" s="387" t="str">
        <f t="shared" si="190"/>
        <v/>
      </c>
      <c r="BD72" s="682" t="str">
        <f t="shared" si="191"/>
        <v/>
      </c>
      <c r="BE72" s="4" t="str">
        <f t="shared" si="192"/>
        <v/>
      </c>
      <c r="BF72" s="386" t="str">
        <f t="shared" si="193"/>
        <v/>
      </c>
      <c r="BG72" s="386">
        <f t="shared" si="251"/>
        <v>0</v>
      </c>
      <c r="BH72" s="386" t="str">
        <f t="shared" si="194"/>
        <v/>
      </c>
      <c r="BI72" s="387" t="str">
        <f t="shared" si="170"/>
        <v/>
      </c>
      <c r="BJ72" s="682" t="str">
        <f t="shared" si="195"/>
        <v/>
      </c>
      <c r="BK72" s="4" t="str">
        <f t="shared" si="196"/>
        <v/>
      </c>
      <c r="BL72" s="386" t="str">
        <f t="shared" si="197"/>
        <v/>
      </c>
      <c r="BM72" s="386">
        <f t="shared" si="257"/>
        <v>0</v>
      </c>
      <c r="BN72" s="386" t="str">
        <f t="shared" si="198"/>
        <v/>
      </c>
      <c r="BO72" s="387" t="str">
        <f t="shared" si="171"/>
        <v/>
      </c>
      <c r="BP72" s="682">
        <f t="shared" si="199"/>
        <v>0</v>
      </c>
      <c r="BQ72" s="4">
        <f t="shared" si="200"/>
        <v>0</v>
      </c>
      <c r="BR72" s="386">
        <f t="shared" si="201"/>
        <v>279.90999999999997</v>
      </c>
      <c r="BS72" s="386">
        <f t="shared" si="252"/>
        <v>279.90999999999997</v>
      </c>
      <c r="BT72" s="386">
        <f t="shared" si="203"/>
        <v>126.35733</v>
      </c>
      <c r="BU72" s="387">
        <f t="shared" si="204"/>
        <v>2148074.61</v>
      </c>
      <c r="BV72" s="682" t="str">
        <f t="shared" si="205"/>
        <v/>
      </c>
      <c r="BW72" s="4" t="str">
        <f t="shared" si="206"/>
        <v/>
      </c>
      <c r="BX72" s="386" t="str">
        <f t="shared" si="207"/>
        <v/>
      </c>
      <c r="BY72" s="386">
        <f t="shared" si="258"/>
        <v>0</v>
      </c>
      <c r="BZ72" s="386" t="str">
        <f t="shared" si="208"/>
        <v/>
      </c>
      <c r="CA72" s="387" t="str">
        <f t="shared" si="172"/>
        <v/>
      </c>
      <c r="CB72" s="682" t="str">
        <f t="shared" si="209"/>
        <v/>
      </c>
      <c r="CC72" s="4" t="str">
        <f t="shared" si="210"/>
        <v/>
      </c>
      <c r="CD72" s="386" t="str">
        <f t="shared" si="211"/>
        <v/>
      </c>
      <c r="CE72" s="386">
        <f t="shared" si="259"/>
        <v>0</v>
      </c>
      <c r="CF72" s="386" t="str">
        <f t="shared" si="212"/>
        <v/>
      </c>
      <c r="CG72" s="387" t="str">
        <f t="shared" si="173"/>
        <v/>
      </c>
      <c r="CH72" s="682" t="str">
        <f t="shared" si="213"/>
        <v/>
      </c>
      <c r="CI72" s="4" t="str">
        <f t="shared" si="214"/>
        <v/>
      </c>
      <c r="CJ72" s="386" t="str">
        <f t="shared" si="215"/>
        <v/>
      </c>
      <c r="CK72" s="386">
        <f t="shared" si="253"/>
        <v>0</v>
      </c>
      <c r="CL72" s="386" t="str">
        <f t="shared" si="217"/>
        <v/>
      </c>
      <c r="CM72" s="387" t="str">
        <f t="shared" si="218"/>
        <v/>
      </c>
      <c r="CN72" s="682">
        <f t="shared" si="219"/>
        <v>0</v>
      </c>
      <c r="CO72" s="4">
        <f t="shared" si="220"/>
        <v>0</v>
      </c>
      <c r="CP72" s="386">
        <f t="shared" si="221"/>
        <v>10.5</v>
      </c>
      <c r="CQ72" s="386">
        <f t="shared" si="254"/>
        <v>10.5</v>
      </c>
      <c r="CR72" s="386">
        <f t="shared" si="223"/>
        <v>2.52</v>
      </c>
      <c r="CS72" s="387">
        <f t="shared" si="224"/>
        <v>43797.599999999999</v>
      </c>
      <c r="CT72" s="682" t="str">
        <f t="shared" si="225"/>
        <v/>
      </c>
      <c r="CU72" s="4" t="str">
        <f t="shared" si="226"/>
        <v/>
      </c>
      <c r="CV72" s="386" t="str">
        <f t="shared" si="227"/>
        <v/>
      </c>
      <c r="CW72" s="386">
        <f t="shared" si="260"/>
        <v>0</v>
      </c>
      <c r="CX72" s="386" t="str">
        <f t="shared" si="229"/>
        <v/>
      </c>
      <c r="CY72" s="387" t="str">
        <f t="shared" si="230"/>
        <v/>
      </c>
      <c r="CZ72" s="682" t="str">
        <f t="shared" si="231"/>
        <v/>
      </c>
      <c r="DA72" s="4" t="str">
        <f t="shared" si="232"/>
        <v/>
      </c>
      <c r="DB72" s="386" t="str">
        <f t="shared" si="233"/>
        <v/>
      </c>
      <c r="DC72" s="386">
        <f t="shared" si="261"/>
        <v>0</v>
      </c>
      <c r="DD72" s="386" t="str">
        <f t="shared" si="235"/>
        <v/>
      </c>
      <c r="DE72" s="387" t="str">
        <f t="shared" si="236"/>
        <v/>
      </c>
      <c r="DF72" s="682" t="str">
        <f t="shared" si="237"/>
        <v/>
      </c>
      <c r="DG72" s="4" t="str">
        <f t="shared" si="238"/>
        <v/>
      </c>
      <c r="DH72" s="386" t="str">
        <f t="shared" si="239"/>
        <v/>
      </c>
      <c r="DI72" s="386">
        <f t="shared" si="255"/>
        <v>0</v>
      </c>
      <c r="DJ72" s="386" t="str">
        <f t="shared" si="241"/>
        <v/>
      </c>
      <c r="DK72" s="387" t="str">
        <f t="shared" si="242"/>
        <v/>
      </c>
      <c r="DL72" s="682" t="str">
        <f t="shared" si="243"/>
        <v/>
      </c>
      <c r="DM72" s="4" t="str">
        <f t="shared" si="244"/>
        <v/>
      </c>
      <c r="DN72" s="386" t="str">
        <f t="shared" si="245"/>
        <v/>
      </c>
      <c r="DO72" s="386">
        <f t="shared" si="256"/>
        <v>0</v>
      </c>
      <c r="DP72" s="386" t="str">
        <f t="shared" si="246"/>
        <v/>
      </c>
      <c r="DQ72" s="387" t="str">
        <f t="shared" si="247"/>
        <v/>
      </c>
    </row>
    <row r="73" spans="1:121" customFormat="1" x14ac:dyDescent="0.25">
      <c r="A73" t="s">
        <v>248</v>
      </c>
      <c r="B73" t="s">
        <v>33</v>
      </c>
      <c r="C73" t="s">
        <v>34</v>
      </c>
      <c r="D73" t="s">
        <v>209</v>
      </c>
      <c r="E73" t="s">
        <v>210</v>
      </c>
      <c r="F73" t="s">
        <v>249</v>
      </c>
      <c r="G73" t="s">
        <v>250</v>
      </c>
      <c r="H73" s="3"/>
      <c r="I73" s="4"/>
      <c r="J73" s="4"/>
      <c r="K73" s="4"/>
      <c r="L73" s="4"/>
      <c r="M73" s="5"/>
      <c r="N73" s="3"/>
      <c r="O73" s="4"/>
      <c r="P73" s="4"/>
      <c r="Q73" s="4"/>
      <c r="R73" s="4"/>
      <c r="S73" s="5"/>
      <c r="T73" s="3"/>
      <c r="U73" s="4"/>
      <c r="V73" s="4"/>
      <c r="W73" s="4"/>
      <c r="X73" s="4"/>
      <c r="Y73" s="5"/>
      <c r="Z73" s="3" t="str">
        <f t="shared" si="174"/>
        <v/>
      </c>
      <c r="AA73" s="4" t="str">
        <f t="shared" si="175"/>
        <v/>
      </c>
      <c r="AB73" s="386" t="str">
        <f t="shared" si="176"/>
        <v/>
      </c>
      <c r="AC73" s="386">
        <f t="shared" si="248"/>
        <v>0</v>
      </c>
      <c r="AD73" s="386" t="str">
        <f t="shared" si="177"/>
        <v/>
      </c>
      <c r="AE73" s="387" t="str">
        <f t="shared" si="262"/>
        <v/>
      </c>
      <c r="AF73" s="682">
        <f t="shared" si="179"/>
        <v>299</v>
      </c>
      <c r="AG73" s="4">
        <f t="shared" si="180"/>
        <v>0</v>
      </c>
      <c r="AH73" s="386">
        <f t="shared" si="181"/>
        <v>399.90000000000003</v>
      </c>
      <c r="AI73" s="386">
        <f t="shared" si="249"/>
        <v>399.90000000000003</v>
      </c>
      <c r="AJ73" s="386">
        <f t="shared" si="183"/>
        <v>895.50780000000009</v>
      </c>
      <c r="AK73" s="387">
        <f t="shared" si="184"/>
        <v>17910156</v>
      </c>
      <c r="AL73" s="3"/>
      <c r="AM73" s="4"/>
      <c r="AN73" s="4"/>
      <c r="AO73" s="4"/>
      <c r="AP73" s="4"/>
      <c r="AQ73" s="5"/>
      <c r="AR73" s="3"/>
      <c r="AS73" s="4"/>
      <c r="AT73" s="4"/>
      <c r="AU73" s="4"/>
      <c r="AV73" s="4"/>
      <c r="AW73" s="5"/>
      <c r="AX73" s="682" t="str">
        <f t="shared" si="186"/>
        <v/>
      </c>
      <c r="AY73" s="4" t="str">
        <f t="shared" si="187"/>
        <v/>
      </c>
      <c r="AZ73" s="386" t="str">
        <f t="shared" si="188"/>
        <v/>
      </c>
      <c r="BA73" s="386">
        <f t="shared" si="250"/>
        <v>0</v>
      </c>
      <c r="BB73" s="386"/>
      <c r="BC73" s="387" t="str">
        <f t="shared" si="190"/>
        <v/>
      </c>
      <c r="BD73" s="682" t="str">
        <f t="shared" si="191"/>
        <v/>
      </c>
      <c r="BE73" s="4" t="str">
        <f t="shared" si="192"/>
        <v/>
      </c>
      <c r="BF73" s="386" t="str">
        <f t="shared" si="193"/>
        <v/>
      </c>
      <c r="BG73" s="386">
        <f t="shared" si="251"/>
        <v>0</v>
      </c>
      <c r="BH73" s="386" t="str">
        <f t="shared" si="194"/>
        <v/>
      </c>
      <c r="BI73" s="387" t="str">
        <f t="shared" si="170"/>
        <v/>
      </c>
      <c r="BJ73" s="682" t="str">
        <f t="shared" si="195"/>
        <v/>
      </c>
      <c r="BK73" s="4" t="str">
        <f t="shared" si="196"/>
        <v/>
      </c>
      <c r="BL73" s="386" t="str">
        <f t="shared" si="197"/>
        <v/>
      </c>
      <c r="BM73" s="386">
        <f t="shared" si="257"/>
        <v>0</v>
      </c>
      <c r="BN73" s="386" t="str">
        <f t="shared" si="198"/>
        <v/>
      </c>
      <c r="BO73" s="387" t="str">
        <f t="shared" si="171"/>
        <v/>
      </c>
      <c r="BP73" s="682">
        <f t="shared" si="199"/>
        <v>0</v>
      </c>
      <c r="BQ73" s="4">
        <f t="shared" si="200"/>
        <v>0</v>
      </c>
      <c r="BR73" s="386">
        <f t="shared" si="201"/>
        <v>625</v>
      </c>
      <c r="BS73" s="386">
        <f t="shared" si="252"/>
        <v>625</v>
      </c>
      <c r="BT73" s="386">
        <f t="shared" si="203"/>
        <v>289.375</v>
      </c>
      <c r="BU73" s="387">
        <f t="shared" si="204"/>
        <v>4919375</v>
      </c>
      <c r="BV73" s="682" t="str">
        <f t="shared" si="205"/>
        <v/>
      </c>
      <c r="BW73" s="4" t="str">
        <f t="shared" si="206"/>
        <v/>
      </c>
      <c r="BX73" s="386" t="str">
        <f t="shared" si="207"/>
        <v/>
      </c>
      <c r="BY73" s="386">
        <f t="shared" si="258"/>
        <v>0</v>
      </c>
      <c r="BZ73" s="386" t="str">
        <f t="shared" si="208"/>
        <v/>
      </c>
      <c r="CA73" s="387" t="str">
        <f t="shared" si="172"/>
        <v/>
      </c>
      <c r="CB73" s="682" t="str">
        <f t="shared" si="209"/>
        <v/>
      </c>
      <c r="CC73" s="4" t="str">
        <f t="shared" si="210"/>
        <v/>
      </c>
      <c r="CD73" s="386" t="str">
        <f t="shared" si="211"/>
        <v/>
      </c>
      <c r="CE73" s="386">
        <f t="shared" si="259"/>
        <v>0</v>
      </c>
      <c r="CF73" s="386" t="str">
        <f t="shared" si="212"/>
        <v/>
      </c>
      <c r="CG73" s="387" t="str">
        <f t="shared" si="173"/>
        <v/>
      </c>
      <c r="CH73" s="682">
        <f t="shared" si="213"/>
        <v>0</v>
      </c>
      <c r="CI73" s="4">
        <f t="shared" si="214"/>
        <v>0</v>
      </c>
      <c r="CJ73" s="386">
        <f t="shared" si="215"/>
        <v>145</v>
      </c>
      <c r="CK73" s="386">
        <f t="shared" si="253"/>
        <v>145</v>
      </c>
      <c r="CL73" s="386">
        <f t="shared" si="217"/>
        <v>65.685000000000002</v>
      </c>
      <c r="CM73" s="387">
        <f t="shared" si="218"/>
        <v>1377414.45</v>
      </c>
      <c r="CN73" s="682">
        <f t="shared" si="219"/>
        <v>0</v>
      </c>
      <c r="CO73" s="4">
        <f t="shared" si="220"/>
        <v>0.02</v>
      </c>
      <c r="CP73" s="386">
        <f t="shared" si="221"/>
        <v>7.8</v>
      </c>
      <c r="CQ73" s="386">
        <f t="shared" si="254"/>
        <v>7.8199999999999994</v>
      </c>
      <c r="CR73" s="386">
        <f t="shared" si="223"/>
        <v>1.9680000000000002</v>
      </c>
      <c r="CS73" s="387">
        <f t="shared" si="224"/>
        <v>34203.839999999997</v>
      </c>
      <c r="CT73" s="682" t="str">
        <f t="shared" si="225"/>
        <v/>
      </c>
      <c r="CU73" s="4" t="str">
        <f t="shared" si="226"/>
        <v/>
      </c>
      <c r="CV73" s="386" t="str">
        <f t="shared" si="227"/>
        <v/>
      </c>
      <c r="CW73" s="386">
        <f t="shared" si="260"/>
        <v>0</v>
      </c>
      <c r="CX73" s="386" t="str">
        <f t="shared" si="229"/>
        <v/>
      </c>
      <c r="CY73" s="387" t="str">
        <f t="shared" si="230"/>
        <v/>
      </c>
      <c r="CZ73" s="682" t="str">
        <f t="shared" si="231"/>
        <v/>
      </c>
      <c r="DA73" s="4" t="str">
        <f t="shared" si="232"/>
        <v/>
      </c>
      <c r="DB73" s="386" t="str">
        <f t="shared" si="233"/>
        <v/>
      </c>
      <c r="DC73" s="386">
        <f t="shared" si="261"/>
        <v>0</v>
      </c>
      <c r="DD73" s="386" t="str">
        <f t="shared" si="235"/>
        <v/>
      </c>
      <c r="DE73" s="387" t="str">
        <f t="shared" si="236"/>
        <v/>
      </c>
      <c r="DF73" s="682">
        <f t="shared" si="237"/>
        <v>0</v>
      </c>
      <c r="DG73" s="4">
        <f t="shared" si="238"/>
        <v>0</v>
      </c>
      <c r="DH73" s="386">
        <f t="shared" si="239"/>
        <v>401</v>
      </c>
      <c r="DI73" s="386">
        <f t="shared" si="255"/>
        <v>401</v>
      </c>
      <c r="DJ73" s="386">
        <f t="shared" si="241"/>
        <v>227.83250000000001</v>
      </c>
      <c r="DK73" s="387">
        <f t="shared" si="242"/>
        <v>3756957.9249999998</v>
      </c>
      <c r="DL73" s="682">
        <f t="shared" si="243"/>
        <v>0</v>
      </c>
      <c r="DM73" s="4">
        <f t="shared" si="244"/>
        <v>0</v>
      </c>
      <c r="DN73" s="386">
        <f t="shared" si="245"/>
        <v>160</v>
      </c>
      <c r="DO73" s="386">
        <f t="shared" si="256"/>
        <v>160</v>
      </c>
      <c r="DP73" s="386">
        <f t="shared" si="246"/>
        <v>105.6</v>
      </c>
      <c r="DQ73" s="387">
        <f t="shared" si="247"/>
        <v>278600</v>
      </c>
    </row>
    <row r="74" spans="1:121" customFormat="1" x14ac:dyDescent="0.25">
      <c r="A74" t="s">
        <v>251</v>
      </c>
      <c r="B74" t="s">
        <v>33</v>
      </c>
      <c r="C74" t="s">
        <v>34</v>
      </c>
      <c r="D74" t="s">
        <v>209</v>
      </c>
      <c r="E74" t="s">
        <v>210</v>
      </c>
      <c r="F74" t="s">
        <v>252</v>
      </c>
      <c r="G74" t="s">
        <v>253</v>
      </c>
      <c r="H74" s="3"/>
      <c r="I74" s="4"/>
      <c r="J74" s="4"/>
      <c r="K74" s="4"/>
      <c r="L74" s="4"/>
      <c r="M74" s="5"/>
      <c r="N74" s="3"/>
      <c r="O74" s="4"/>
      <c r="P74" s="4"/>
      <c r="Q74" s="4"/>
      <c r="R74" s="4"/>
      <c r="S74" s="5"/>
      <c r="T74" s="3"/>
      <c r="U74" s="4"/>
      <c r="V74" s="4"/>
      <c r="W74" s="4"/>
      <c r="X74" s="4"/>
      <c r="Y74" s="5"/>
      <c r="Z74" s="3" t="str">
        <f t="shared" si="174"/>
        <v/>
      </c>
      <c r="AA74" s="4" t="str">
        <f t="shared" si="175"/>
        <v/>
      </c>
      <c r="AB74" s="386" t="str">
        <f t="shared" si="176"/>
        <v/>
      </c>
      <c r="AC74" s="386">
        <f t="shared" si="248"/>
        <v>0</v>
      </c>
      <c r="AD74" s="386" t="str">
        <f t="shared" si="177"/>
        <v/>
      </c>
      <c r="AE74" s="387" t="str">
        <f t="shared" si="262"/>
        <v/>
      </c>
      <c r="AF74" s="682">
        <f t="shared" si="179"/>
        <v>685.33333333333337</v>
      </c>
      <c r="AG74" s="4">
        <f t="shared" si="180"/>
        <v>0</v>
      </c>
      <c r="AH74" s="386">
        <f t="shared" si="181"/>
        <v>562</v>
      </c>
      <c r="AI74" s="386">
        <f t="shared" si="249"/>
        <v>562</v>
      </c>
      <c r="AJ74" s="386">
        <f t="shared" si="183"/>
        <v>1286.94</v>
      </c>
      <c r="AK74" s="387">
        <f t="shared" si="184"/>
        <v>25738800</v>
      </c>
      <c r="AL74" s="3"/>
      <c r="AM74" s="4"/>
      <c r="AN74" s="4"/>
      <c r="AO74" s="4"/>
      <c r="AP74" s="4"/>
      <c r="AQ74" s="5"/>
      <c r="AR74" s="3"/>
      <c r="AS74" s="4"/>
      <c r="AT74" s="4"/>
      <c r="AU74" s="4"/>
      <c r="AV74" s="4"/>
      <c r="AW74" s="5"/>
      <c r="AX74" s="682">
        <f t="shared" si="186"/>
        <v>0</v>
      </c>
      <c r="AY74" s="4">
        <f t="shared" si="187"/>
        <v>0</v>
      </c>
      <c r="AZ74" s="386" t="str">
        <f t="shared" si="188"/>
        <v>34 bags</v>
      </c>
      <c r="BA74" s="386">
        <f t="shared" si="250"/>
        <v>0</v>
      </c>
      <c r="BB74" s="386"/>
      <c r="BC74" s="387">
        <f t="shared" si="190"/>
        <v>46240</v>
      </c>
      <c r="BD74" s="682">
        <f t="shared" si="191"/>
        <v>0</v>
      </c>
      <c r="BE74" s="4">
        <f t="shared" si="192"/>
        <v>1.64</v>
      </c>
      <c r="BF74" s="386">
        <f t="shared" si="193"/>
        <v>1.64</v>
      </c>
      <c r="BG74" s="386">
        <f t="shared" si="251"/>
        <v>3.28</v>
      </c>
      <c r="BH74" s="386">
        <f t="shared" si="194"/>
        <v>0</v>
      </c>
      <c r="BI74" s="387">
        <f t="shared" si="170"/>
        <v>34440</v>
      </c>
      <c r="BJ74" s="682" t="str">
        <f t="shared" si="195"/>
        <v/>
      </c>
      <c r="BK74" s="4" t="str">
        <f t="shared" si="196"/>
        <v/>
      </c>
      <c r="BL74" s="386" t="str">
        <f t="shared" si="197"/>
        <v/>
      </c>
      <c r="BM74" s="386">
        <f t="shared" si="257"/>
        <v>0</v>
      </c>
      <c r="BN74" s="386" t="str">
        <f t="shared" si="198"/>
        <v/>
      </c>
      <c r="BO74" s="387" t="str">
        <f t="shared" si="171"/>
        <v/>
      </c>
      <c r="BP74" s="682">
        <f t="shared" si="199"/>
        <v>0</v>
      </c>
      <c r="BQ74" s="4">
        <f t="shared" si="200"/>
        <v>0</v>
      </c>
      <c r="BR74" s="386">
        <f t="shared" si="201"/>
        <v>485.3</v>
      </c>
      <c r="BS74" s="386">
        <f t="shared" si="252"/>
        <v>485.3</v>
      </c>
      <c r="BT74" s="386">
        <f t="shared" si="203"/>
        <v>224.69390000000001</v>
      </c>
      <c r="BU74" s="387">
        <f t="shared" si="204"/>
        <v>3819796.3</v>
      </c>
      <c r="BV74" s="682" t="str">
        <f t="shared" si="205"/>
        <v/>
      </c>
      <c r="BW74" s="4" t="str">
        <f t="shared" si="206"/>
        <v/>
      </c>
      <c r="BX74" s="386" t="str">
        <f t="shared" si="207"/>
        <v/>
      </c>
      <c r="BY74" s="386">
        <f t="shared" si="258"/>
        <v>0</v>
      </c>
      <c r="BZ74" s="386" t="str">
        <f t="shared" si="208"/>
        <v/>
      </c>
      <c r="CA74" s="387" t="str">
        <f t="shared" si="172"/>
        <v/>
      </c>
      <c r="CB74" s="682" t="str">
        <f t="shared" si="209"/>
        <v/>
      </c>
      <c r="CC74" s="4" t="str">
        <f t="shared" si="210"/>
        <v/>
      </c>
      <c r="CD74" s="386" t="str">
        <f t="shared" si="211"/>
        <v/>
      </c>
      <c r="CE74" s="386">
        <f t="shared" si="259"/>
        <v>0</v>
      </c>
      <c r="CF74" s="386" t="str">
        <f t="shared" si="212"/>
        <v/>
      </c>
      <c r="CG74" s="387" t="str">
        <f t="shared" si="173"/>
        <v/>
      </c>
      <c r="CH74" s="682" t="str">
        <f t="shared" si="213"/>
        <v/>
      </c>
      <c r="CI74" s="4" t="str">
        <f t="shared" si="214"/>
        <v/>
      </c>
      <c r="CJ74" s="386" t="str">
        <f t="shared" si="215"/>
        <v/>
      </c>
      <c r="CK74" s="386">
        <f t="shared" si="253"/>
        <v>0</v>
      </c>
      <c r="CL74" s="386" t="str">
        <f t="shared" si="217"/>
        <v/>
      </c>
      <c r="CM74" s="387" t="str">
        <f t="shared" si="218"/>
        <v/>
      </c>
      <c r="CN74" s="682" t="str">
        <f t="shared" si="219"/>
        <v/>
      </c>
      <c r="CO74" s="4" t="str">
        <f t="shared" si="220"/>
        <v/>
      </c>
      <c r="CP74" s="386" t="str">
        <f t="shared" si="221"/>
        <v/>
      </c>
      <c r="CQ74" s="386">
        <f t="shared" si="254"/>
        <v>0</v>
      </c>
      <c r="CR74" s="386" t="str">
        <f t="shared" si="223"/>
        <v/>
      </c>
      <c r="CS74" s="387" t="str">
        <f t="shared" si="224"/>
        <v/>
      </c>
      <c r="CT74" s="682" t="str">
        <f t="shared" si="225"/>
        <v/>
      </c>
      <c r="CU74" s="4" t="str">
        <f t="shared" si="226"/>
        <v/>
      </c>
      <c r="CV74" s="386" t="str">
        <f t="shared" si="227"/>
        <v/>
      </c>
      <c r="CW74" s="386">
        <f t="shared" si="260"/>
        <v>0</v>
      </c>
      <c r="CX74" s="386" t="str">
        <f t="shared" si="229"/>
        <v/>
      </c>
      <c r="CY74" s="387" t="str">
        <f t="shared" si="230"/>
        <v/>
      </c>
      <c r="CZ74" s="682" t="str">
        <f t="shared" si="231"/>
        <v/>
      </c>
      <c r="DA74" s="4" t="str">
        <f t="shared" si="232"/>
        <v/>
      </c>
      <c r="DB74" s="386" t="str">
        <f t="shared" si="233"/>
        <v/>
      </c>
      <c r="DC74" s="386">
        <f t="shared" si="261"/>
        <v>0</v>
      </c>
      <c r="DD74" s="386" t="str">
        <f t="shared" si="235"/>
        <v/>
      </c>
      <c r="DE74" s="387" t="str">
        <f t="shared" si="236"/>
        <v/>
      </c>
      <c r="DF74" s="682">
        <f t="shared" si="237"/>
        <v>0</v>
      </c>
      <c r="DG74" s="4">
        <f t="shared" si="238"/>
        <v>0</v>
      </c>
      <c r="DH74" s="386">
        <f t="shared" si="239"/>
        <v>125</v>
      </c>
      <c r="DI74" s="386">
        <f t="shared" si="255"/>
        <v>125</v>
      </c>
      <c r="DJ74" s="386">
        <f t="shared" si="241"/>
        <v>36.064000000000007</v>
      </c>
      <c r="DK74" s="387">
        <f t="shared" si="242"/>
        <v>594695.36</v>
      </c>
      <c r="DL74" s="682" t="str">
        <f t="shared" si="243"/>
        <v/>
      </c>
      <c r="DM74" s="4" t="str">
        <f t="shared" si="244"/>
        <v/>
      </c>
      <c r="DN74" s="386" t="str">
        <f t="shared" si="245"/>
        <v/>
      </c>
      <c r="DO74" s="386">
        <f t="shared" si="256"/>
        <v>0</v>
      </c>
      <c r="DP74" s="386" t="str">
        <f t="shared" si="246"/>
        <v/>
      </c>
      <c r="DQ74" s="387" t="str">
        <f t="shared" si="247"/>
        <v/>
      </c>
    </row>
    <row r="75" spans="1:121" customFormat="1" x14ac:dyDescent="0.25">
      <c r="A75" t="s">
        <v>254</v>
      </c>
      <c r="B75" t="s">
        <v>33</v>
      </c>
      <c r="C75" t="s">
        <v>34</v>
      </c>
      <c r="D75" t="s">
        <v>209</v>
      </c>
      <c r="E75" t="s">
        <v>210</v>
      </c>
      <c r="F75" t="s">
        <v>255</v>
      </c>
      <c r="G75" t="s">
        <v>256</v>
      </c>
      <c r="H75" s="3"/>
      <c r="I75" s="4"/>
      <c r="J75" s="4"/>
      <c r="K75" s="4"/>
      <c r="L75" s="4"/>
      <c r="M75" s="5"/>
      <c r="N75" s="3"/>
      <c r="O75" s="4"/>
      <c r="P75" s="4"/>
      <c r="Q75" s="4"/>
      <c r="R75" s="4"/>
      <c r="S75" s="5"/>
      <c r="T75" s="3"/>
      <c r="U75" s="4"/>
      <c r="V75" s="4"/>
      <c r="W75" s="4"/>
      <c r="X75" s="4"/>
      <c r="Y75" s="5"/>
      <c r="Z75" s="3">
        <f t="shared" si="174"/>
        <v>5238</v>
      </c>
      <c r="AA75" s="4">
        <f t="shared" si="175"/>
        <v>0</v>
      </c>
      <c r="AB75" s="386">
        <f t="shared" si="176"/>
        <v>30</v>
      </c>
      <c r="AC75" s="386">
        <f t="shared" si="248"/>
        <v>30</v>
      </c>
      <c r="AD75" s="386" t="str">
        <f t="shared" si="177"/>
        <v/>
      </c>
      <c r="AE75" s="387">
        <f t="shared" si="262"/>
        <v>317475</v>
      </c>
      <c r="AF75" s="682">
        <f t="shared" si="179"/>
        <v>1594.6666666666667</v>
      </c>
      <c r="AG75" s="4">
        <f t="shared" si="180"/>
        <v>0</v>
      </c>
      <c r="AH75" s="386">
        <f t="shared" si="181"/>
        <v>1196</v>
      </c>
      <c r="AI75" s="386">
        <f t="shared" si="249"/>
        <v>1196</v>
      </c>
      <c r="AJ75" s="386">
        <f t="shared" si="183"/>
        <v>2882.36</v>
      </c>
      <c r="AK75" s="387">
        <f t="shared" si="184"/>
        <v>57647200.000000007</v>
      </c>
      <c r="AL75" s="3"/>
      <c r="AM75" s="4"/>
      <c r="AN75" s="4"/>
      <c r="AO75" s="4"/>
      <c r="AP75" s="4"/>
      <c r="AQ75" s="5"/>
      <c r="AR75" s="3"/>
      <c r="AS75" s="4"/>
      <c r="AT75" s="4"/>
      <c r="AU75" s="4"/>
      <c r="AV75" s="4"/>
      <c r="AW75" s="5"/>
      <c r="AX75" s="682">
        <f t="shared" si="186"/>
        <v>0</v>
      </c>
      <c r="AY75" s="4">
        <f t="shared" si="187"/>
        <v>50</v>
      </c>
      <c r="AZ75" s="386">
        <f t="shared" si="188"/>
        <v>32</v>
      </c>
      <c r="BA75" s="386">
        <f t="shared" si="250"/>
        <v>82</v>
      </c>
      <c r="BB75" s="386"/>
      <c r="BC75" s="387">
        <f t="shared" si="190"/>
        <v>814389</v>
      </c>
      <c r="BD75" s="682">
        <f t="shared" si="191"/>
        <v>0</v>
      </c>
      <c r="BE75" s="4">
        <f t="shared" si="192"/>
        <v>250</v>
      </c>
      <c r="BF75" s="386">
        <f t="shared" si="193"/>
        <v>50</v>
      </c>
      <c r="BG75" s="386">
        <f t="shared" si="251"/>
        <v>300</v>
      </c>
      <c r="BH75" s="386">
        <f t="shared" si="194"/>
        <v>0</v>
      </c>
      <c r="BI75" s="387">
        <f t="shared" si="170"/>
        <v>2245000</v>
      </c>
      <c r="BJ75" s="682" t="str">
        <f t="shared" si="195"/>
        <v/>
      </c>
      <c r="BK75" s="4" t="str">
        <f t="shared" si="196"/>
        <v/>
      </c>
      <c r="BL75" s="386" t="str">
        <f t="shared" si="197"/>
        <v/>
      </c>
      <c r="BM75" s="386">
        <f t="shared" si="257"/>
        <v>0</v>
      </c>
      <c r="BN75" s="386" t="str">
        <f t="shared" si="198"/>
        <v/>
      </c>
      <c r="BO75" s="387" t="str">
        <f t="shared" si="171"/>
        <v/>
      </c>
      <c r="BP75" s="682">
        <f t="shared" si="199"/>
        <v>0</v>
      </c>
      <c r="BQ75" s="4">
        <f t="shared" si="200"/>
        <v>0</v>
      </c>
      <c r="BR75" s="386">
        <f t="shared" si="201"/>
        <v>1150</v>
      </c>
      <c r="BS75" s="386">
        <f t="shared" si="252"/>
        <v>1150</v>
      </c>
      <c r="BT75" s="386">
        <f t="shared" si="203"/>
        <v>532.45000000000005</v>
      </c>
      <c r="BU75" s="387">
        <f t="shared" si="204"/>
        <v>9051650.0000000019</v>
      </c>
      <c r="BV75" s="682" t="str">
        <f t="shared" si="205"/>
        <v/>
      </c>
      <c r="BW75" s="4" t="str">
        <f t="shared" si="206"/>
        <v/>
      </c>
      <c r="BX75" s="386" t="str">
        <f t="shared" si="207"/>
        <v/>
      </c>
      <c r="BY75" s="386">
        <f t="shared" si="258"/>
        <v>0</v>
      </c>
      <c r="BZ75" s="386" t="str">
        <f t="shared" si="208"/>
        <v/>
      </c>
      <c r="CA75" s="387" t="str">
        <f t="shared" si="172"/>
        <v/>
      </c>
      <c r="CB75" s="682" t="str">
        <f t="shared" si="209"/>
        <v/>
      </c>
      <c r="CC75" s="4" t="str">
        <f t="shared" si="210"/>
        <v/>
      </c>
      <c r="CD75" s="386" t="str">
        <f t="shared" si="211"/>
        <v/>
      </c>
      <c r="CE75" s="386">
        <f t="shared" si="259"/>
        <v>0</v>
      </c>
      <c r="CF75" s="386" t="str">
        <f t="shared" si="212"/>
        <v/>
      </c>
      <c r="CG75" s="387" t="str">
        <f t="shared" si="173"/>
        <v/>
      </c>
      <c r="CH75" s="682" t="str">
        <f t="shared" si="213"/>
        <v/>
      </c>
      <c r="CI75" s="4" t="str">
        <f t="shared" si="214"/>
        <v/>
      </c>
      <c r="CJ75" s="386" t="str">
        <f t="shared" si="215"/>
        <v/>
      </c>
      <c r="CK75" s="386">
        <f t="shared" si="253"/>
        <v>0</v>
      </c>
      <c r="CL75" s="386" t="str">
        <f t="shared" si="217"/>
        <v/>
      </c>
      <c r="CM75" s="387" t="str">
        <f t="shared" si="218"/>
        <v/>
      </c>
      <c r="CN75" s="682" t="str">
        <f t="shared" si="219"/>
        <v/>
      </c>
      <c r="CO75" s="4" t="str">
        <f t="shared" si="220"/>
        <v/>
      </c>
      <c r="CP75" s="386" t="str">
        <f t="shared" si="221"/>
        <v/>
      </c>
      <c r="CQ75" s="386">
        <f t="shared" si="254"/>
        <v>0</v>
      </c>
      <c r="CR75" s="386" t="str">
        <f t="shared" si="223"/>
        <v/>
      </c>
      <c r="CS75" s="387" t="str">
        <f t="shared" si="224"/>
        <v/>
      </c>
      <c r="CT75" s="682" t="str">
        <f t="shared" si="225"/>
        <v/>
      </c>
      <c r="CU75" s="4" t="str">
        <f t="shared" si="226"/>
        <v/>
      </c>
      <c r="CV75" s="386" t="str">
        <f t="shared" si="227"/>
        <v/>
      </c>
      <c r="CW75" s="386">
        <f t="shared" si="260"/>
        <v>0</v>
      </c>
      <c r="CX75" s="386" t="str">
        <f t="shared" si="229"/>
        <v/>
      </c>
      <c r="CY75" s="387" t="str">
        <f t="shared" si="230"/>
        <v/>
      </c>
      <c r="CZ75" s="682" t="str">
        <f t="shared" si="231"/>
        <v/>
      </c>
      <c r="DA75" s="4" t="str">
        <f t="shared" si="232"/>
        <v/>
      </c>
      <c r="DB75" s="386" t="str">
        <f t="shared" si="233"/>
        <v/>
      </c>
      <c r="DC75" s="386">
        <f t="shared" si="261"/>
        <v>0</v>
      </c>
      <c r="DD75" s="386" t="str">
        <f t="shared" si="235"/>
        <v/>
      </c>
      <c r="DE75" s="387" t="str">
        <f t="shared" si="236"/>
        <v/>
      </c>
      <c r="DF75" s="682">
        <f t="shared" si="237"/>
        <v>0</v>
      </c>
      <c r="DG75" s="4">
        <f t="shared" si="238"/>
        <v>0</v>
      </c>
      <c r="DH75" s="386">
        <f t="shared" si="239"/>
        <v>169</v>
      </c>
      <c r="DI75" s="386">
        <f t="shared" si="255"/>
        <v>169</v>
      </c>
      <c r="DJ75" s="386">
        <f t="shared" si="241"/>
        <v>98.112000000000009</v>
      </c>
      <c r="DK75" s="387">
        <f t="shared" si="242"/>
        <v>1617866.88</v>
      </c>
      <c r="DL75" s="682" t="str">
        <f t="shared" si="243"/>
        <v/>
      </c>
      <c r="DM75" s="4" t="str">
        <f t="shared" si="244"/>
        <v/>
      </c>
      <c r="DN75" s="386" t="str">
        <f t="shared" si="245"/>
        <v/>
      </c>
      <c r="DO75" s="386">
        <f t="shared" si="256"/>
        <v>0</v>
      </c>
      <c r="DP75" s="386" t="str">
        <f t="shared" si="246"/>
        <v/>
      </c>
      <c r="DQ75" s="387" t="str">
        <f t="shared" si="247"/>
        <v/>
      </c>
    </row>
    <row r="76" spans="1:121" customFormat="1" x14ac:dyDescent="0.25">
      <c r="A76" t="s">
        <v>257</v>
      </c>
      <c r="B76" t="s">
        <v>33</v>
      </c>
      <c r="C76" t="s">
        <v>34</v>
      </c>
      <c r="D76" t="s">
        <v>209</v>
      </c>
      <c r="E76" t="s">
        <v>210</v>
      </c>
      <c r="F76" t="s">
        <v>258</v>
      </c>
      <c r="G76" t="s">
        <v>259</v>
      </c>
      <c r="H76" s="3"/>
      <c r="I76" s="4"/>
      <c r="J76" s="4"/>
      <c r="K76" s="4"/>
      <c r="L76" s="4"/>
      <c r="M76" s="5"/>
      <c r="N76" s="3"/>
      <c r="O76" s="4"/>
      <c r="P76" s="4"/>
      <c r="Q76" s="4"/>
      <c r="R76" s="4"/>
      <c r="S76" s="5"/>
      <c r="T76" s="3"/>
      <c r="U76" s="4"/>
      <c r="V76" s="4"/>
      <c r="W76" s="4"/>
      <c r="X76" s="4"/>
      <c r="Y76" s="5"/>
      <c r="Z76" s="3">
        <f t="shared" si="174"/>
        <v>0</v>
      </c>
      <c r="AA76" s="4">
        <f t="shared" si="175"/>
        <v>0</v>
      </c>
      <c r="AB76" s="386">
        <f t="shared" si="176"/>
        <v>2</v>
      </c>
      <c r="AC76" s="386">
        <f t="shared" si="248"/>
        <v>2</v>
      </c>
      <c r="AD76" s="386" t="str">
        <f t="shared" si="177"/>
        <v/>
      </c>
      <c r="AE76" s="387">
        <f t="shared" si="262"/>
        <v>21165.000000000004</v>
      </c>
      <c r="AF76" s="682">
        <f t="shared" si="179"/>
        <v>386.66666666666663</v>
      </c>
      <c r="AG76" s="4">
        <f t="shared" si="180"/>
        <v>10</v>
      </c>
      <c r="AH76" s="386">
        <f t="shared" si="181"/>
        <v>280</v>
      </c>
      <c r="AI76" s="386">
        <f t="shared" si="249"/>
        <v>290</v>
      </c>
      <c r="AJ76" s="386">
        <f t="shared" si="183"/>
        <v>723.00000000000011</v>
      </c>
      <c r="AK76" s="387">
        <f t="shared" si="184"/>
        <v>14460000.000000002</v>
      </c>
      <c r="AL76" s="3"/>
      <c r="AM76" s="4"/>
      <c r="AN76" s="4"/>
      <c r="AO76" s="4"/>
      <c r="AP76" s="4"/>
      <c r="AQ76" s="5"/>
      <c r="AR76" s="3"/>
      <c r="AS76" s="4"/>
      <c r="AT76" s="4"/>
      <c r="AU76" s="4"/>
      <c r="AV76" s="4"/>
      <c r="AW76" s="5"/>
      <c r="AX76" s="682" t="str">
        <f t="shared" si="186"/>
        <v/>
      </c>
      <c r="AY76" s="4" t="str">
        <f t="shared" si="187"/>
        <v/>
      </c>
      <c r="AZ76" s="386" t="str">
        <f t="shared" si="188"/>
        <v/>
      </c>
      <c r="BA76" s="386">
        <f t="shared" si="250"/>
        <v>0</v>
      </c>
      <c r="BB76" s="386"/>
      <c r="BC76" s="387" t="str">
        <f t="shared" si="190"/>
        <v/>
      </c>
      <c r="BD76" s="682" t="str">
        <f t="shared" si="191"/>
        <v/>
      </c>
      <c r="BE76" s="4" t="str">
        <f t="shared" si="192"/>
        <v/>
      </c>
      <c r="BF76" s="386" t="str">
        <f t="shared" si="193"/>
        <v/>
      </c>
      <c r="BG76" s="386">
        <f t="shared" si="251"/>
        <v>0</v>
      </c>
      <c r="BH76" s="386" t="str">
        <f t="shared" si="194"/>
        <v/>
      </c>
      <c r="BI76" s="387" t="str">
        <f t="shared" si="170"/>
        <v/>
      </c>
      <c r="BJ76" s="682" t="str">
        <f t="shared" si="195"/>
        <v/>
      </c>
      <c r="BK76" s="4" t="str">
        <f t="shared" si="196"/>
        <v/>
      </c>
      <c r="BL76" s="386" t="str">
        <f t="shared" si="197"/>
        <v/>
      </c>
      <c r="BM76" s="386">
        <f t="shared" si="257"/>
        <v>0</v>
      </c>
      <c r="BN76" s="386" t="str">
        <f t="shared" si="198"/>
        <v/>
      </c>
      <c r="BO76" s="387" t="str">
        <f t="shared" si="171"/>
        <v/>
      </c>
      <c r="BP76" s="682">
        <f t="shared" si="199"/>
        <v>0</v>
      </c>
      <c r="BQ76" s="4">
        <f t="shared" si="200"/>
        <v>0</v>
      </c>
      <c r="BR76" s="386">
        <f t="shared" si="201"/>
        <v>490</v>
      </c>
      <c r="BS76" s="386">
        <f t="shared" si="252"/>
        <v>490</v>
      </c>
      <c r="BT76" s="386">
        <f t="shared" si="203"/>
        <v>226.87</v>
      </c>
      <c r="BU76" s="387">
        <f t="shared" si="204"/>
        <v>3856790</v>
      </c>
      <c r="BV76" s="682" t="str">
        <f t="shared" si="205"/>
        <v/>
      </c>
      <c r="BW76" s="4" t="str">
        <f t="shared" si="206"/>
        <v/>
      </c>
      <c r="BX76" s="386" t="str">
        <f t="shared" si="207"/>
        <v/>
      </c>
      <c r="BY76" s="386">
        <f t="shared" si="258"/>
        <v>0</v>
      </c>
      <c r="BZ76" s="386" t="str">
        <f t="shared" si="208"/>
        <v/>
      </c>
      <c r="CA76" s="387" t="str">
        <f t="shared" si="172"/>
        <v/>
      </c>
      <c r="CB76" s="682" t="str">
        <f t="shared" si="209"/>
        <v/>
      </c>
      <c r="CC76" s="4" t="str">
        <f t="shared" si="210"/>
        <v/>
      </c>
      <c r="CD76" s="386" t="str">
        <f t="shared" si="211"/>
        <v/>
      </c>
      <c r="CE76" s="386">
        <f t="shared" si="259"/>
        <v>0</v>
      </c>
      <c r="CF76" s="386" t="str">
        <f t="shared" si="212"/>
        <v/>
      </c>
      <c r="CG76" s="387" t="str">
        <f t="shared" si="173"/>
        <v/>
      </c>
      <c r="CH76" s="682" t="str">
        <f t="shared" si="213"/>
        <v/>
      </c>
      <c r="CI76" s="4" t="str">
        <f t="shared" si="214"/>
        <v/>
      </c>
      <c r="CJ76" s="386" t="str">
        <f t="shared" si="215"/>
        <v/>
      </c>
      <c r="CK76" s="386">
        <f t="shared" si="253"/>
        <v>0</v>
      </c>
      <c r="CL76" s="386" t="str">
        <f t="shared" si="217"/>
        <v/>
      </c>
      <c r="CM76" s="387" t="str">
        <f t="shared" si="218"/>
        <v/>
      </c>
      <c r="CN76" s="682" t="str">
        <f t="shared" si="219"/>
        <v/>
      </c>
      <c r="CO76" s="4" t="str">
        <f t="shared" si="220"/>
        <v/>
      </c>
      <c r="CP76" s="386" t="str">
        <f t="shared" si="221"/>
        <v/>
      </c>
      <c r="CQ76" s="386">
        <f t="shared" si="254"/>
        <v>0</v>
      </c>
      <c r="CR76" s="386" t="str">
        <f t="shared" si="223"/>
        <v/>
      </c>
      <c r="CS76" s="387" t="str">
        <f t="shared" si="224"/>
        <v/>
      </c>
      <c r="CT76" s="682" t="str">
        <f t="shared" si="225"/>
        <v/>
      </c>
      <c r="CU76" s="4" t="str">
        <f t="shared" si="226"/>
        <v/>
      </c>
      <c r="CV76" s="386" t="str">
        <f t="shared" si="227"/>
        <v/>
      </c>
      <c r="CW76" s="386">
        <f t="shared" si="260"/>
        <v>0</v>
      </c>
      <c r="CX76" s="386" t="str">
        <f t="shared" si="229"/>
        <v/>
      </c>
      <c r="CY76" s="387" t="str">
        <f t="shared" si="230"/>
        <v/>
      </c>
      <c r="CZ76" s="682" t="str">
        <f t="shared" si="231"/>
        <v/>
      </c>
      <c r="DA76" s="4" t="str">
        <f t="shared" si="232"/>
        <v/>
      </c>
      <c r="DB76" s="386" t="str">
        <f t="shared" si="233"/>
        <v/>
      </c>
      <c r="DC76" s="386">
        <f t="shared" si="261"/>
        <v>0</v>
      </c>
      <c r="DD76" s="386" t="str">
        <f t="shared" si="235"/>
        <v/>
      </c>
      <c r="DE76" s="387" t="str">
        <f t="shared" si="236"/>
        <v/>
      </c>
      <c r="DF76" s="682">
        <f t="shared" si="237"/>
        <v>0</v>
      </c>
      <c r="DG76" s="4">
        <f t="shared" si="238"/>
        <v>0</v>
      </c>
      <c r="DH76" s="386">
        <f t="shared" si="239"/>
        <v>103</v>
      </c>
      <c r="DI76" s="386">
        <f t="shared" si="255"/>
        <v>103</v>
      </c>
      <c r="DJ76" s="386">
        <f t="shared" si="241"/>
        <v>47.264000000000003</v>
      </c>
      <c r="DK76" s="387">
        <f t="shared" si="242"/>
        <v>779383.36</v>
      </c>
      <c r="DL76" s="682" t="str">
        <f t="shared" si="243"/>
        <v/>
      </c>
      <c r="DM76" s="4" t="str">
        <f t="shared" si="244"/>
        <v/>
      </c>
      <c r="DN76" s="386" t="str">
        <f t="shared" si="245"/>
        <v/>
      </c>
      <c r="DO76" s="386">
        <f t="shared" si="256"/>
        <v>0</v>
      </c>
      <c r="DP76" s="386" t="str">
        <f t="shared" si="246"/>
        <v/>
      </c>
      <c r="DQ76" s="387" t="str">
        <f t="shared" si="247"/>
        <v/>
      </c>
    </row>
    <row r="77" spans="1:121" customFormat="1" x14ac:dyDescent="0.25">
      <c r="A77" t="s">
        <v>260</v>
      </c>
      <c r="B77" t="s">
        <v>33</v>
      </c>
      <c r="C77" t="s">
        <v>34</v>
      </c>
      <c r="D77" t="s">
        <v>209</v>
      </c>
      <c r="E77" t="s">
        <v>210</v>
      </c>
      <c r="F77" t="s">
        <v>261</v>
      </c>
      <c r="G77" t="s">
        <v>262</v>
      </c>
      <c r="H77" s="3"/>
      <c r="I77" s="4"/>
      <c r="J77" s="4"/>
      <c r="K77" s="4"/>
      <c r="L77" s="4"/>
      <c r="M77" s="5"/>
      <c r="N77" s="3"/>
      <c r="O77" s="4"/>
      <c r="P77" s="4"/>
      <c r="Q77" s="4"/>
      <c r="R77" s="4"/>
      <c r="S77" s="5"/>
      <c r="T77" s="3"/>
      <c r="U77" s="4"/>
      <c r="V77" s="4"/>
      <c r="W77" s="4"/>
      <c r="X77" s="4"/>
      <c r="Y77" s="5"/>
      <c r="Z77" s="3" t="str">
        <f t="shared" si="174"/>
        <v/>
      </c>
      <c r="AA77" s="4" t="str">
        <f t="shared" si="175"/>
        <v/>
      </c>
      <c r="AB77" s="386" t="str">
        <f t="shared" si="176"/>
        <v/>
      </c>
      <c r="AC77" s="386">
        <f t="shared" si="248"/>
        <v>0</v>
      </c>
      <c r="AD77" s="386" t="str">
        <f t="shared" si="177"/>
        <v/>
      </c>
      <c r="AE77" s="387" t="str">
        <f t="shared" si="262"/>
        <v/>
      </c>
      <c r="AF77" s="682">
        <f t="shared" si="179"/>
        <v>631</v>
      </c>
      <c r="AG77" s="4">
        <f t="shared" si="180"/>
        <v>0</v>
      </c>
      <c r="AH77" s="386">
        <f t="shared" si="181"/>
        <v>473</v>
      </c>
      <c r="AI77" s="386">
        <f t="shared" si="249"/>
        <v>473</v>
      </c>
      <c r="AJ77" s="386">
        <f t="shared" si="183"/>
        <v>1091.73</v>
      </c>
      <c r="AK77" s="387">
        <f t="shared" si="184"/>
        <v>21834600.000000004</v>
      </c>
      <c r="AL77" s="3"/>
      <c r="AM77" s="4"/>
      <c r="AN77" s="4"/>
      <c r="AO77" s="4"/>
      <c r="AP77" s="4"/>
      <c r="AQ77" s="5"/>
      <c r="AR77" s="3"/>
      <c r="AS77" s="4"/>
      <c r="AT77" s="4"/>
      <c r="AU77" s="4"/>
      <c r="AV77" s="4"/>
      <c r="AW77" s="5"/>
      <c r="AX77" s="682" t="str">
        <f t="shared" si="186"/>
        <v/>
      </c>
      <c r="AY77" s="4" t="str">
        <f t="shared" si="187"/>
        <v/>
      </c>
      <c r="AZ77" s="386" t="str">
        <f t="shared" si="188"/>
        <v/>
      </c>
      <c r="BA77" s="386">
        <f t="shared" si="250"/>
        <v>0</v>
      </c>
      <c r="BB77" s="386"/>
      <c r="BC77" s="387" t="str">
        <f t="shared" si="190"/>
        <v/>
      </c>
      <c r="BD77" s="682" t="str">
        <f t="shared" si="191"/>
        <v/>
      </c>
      <c r="BE77" s="4" t="str">
        <f t="shared" si="192"/>
        <v/>
      </c>
      <c r="BF77" s="386" t="str">
        <f t="shared" si="193"/>
        <v/>
      </c>
      <c r="BG77" s="386">
        <f t="shared" si="251"/>
        <v>0</v>
      </c>
      <c r="BH77" s="386" t="str">
        <f t="shared" si="194"/>
        <v/>
      </c>
      <c r="BI77" s="387" t="str">
        <f t="shared" si="170"/>
        <v/>
      </c>
      <c r="BJ77" s="682" t="str">
        <f t="shared" si="195"/>
        <v/>
      </c>
      <c r="BK77" s="4" t="str">
        <f t="shared" si="196"/>
        <v/>
      </c>
      <c r="BL77" s="386" t="str">
        <f t="shared" si="197"/>
        <v/>
      </c>
      <c r="BM77" s="386">
        <f t="shared" si="257"/>
        <v>0</v>
      </c>
      <c r="BN77" s="386" t="str">
        <f t="shared" si="198"/>
        <v/>
      </c>
      <c r="BO77" s="387" t="str">
        <f t="shared" si="171"/>
        <v/>
      </c>
      <c r="BP77" s="682">
        <f t="shared" si="199"/>
        <v>0</v>
      </c>
      <c r="BQ77" s="4">
        <f t="shared" si="200"/>
        <v>0</v>
      </c>
      <c r="BR77" s="386">
        <f t="shared" si="201"/>
        <v>300</v>
      </c>
      <c r="BS77" s="386">
        <f t="shared" si="252"/>
        <v>300</v>
      </c>
      <c r="BT77" s="386">
        <f t="shared" si="203"/>
        <v>138.9</v>
      </c>
      <c r="BU77" s="387">
        <f t="shared" si="204"/>
        <v>2361300</v>
      </c>
      <c r="BV77" s="682" t="str">
        <f t="shared" si="205"/>
        <v/>
      </c>
      <c r="BW77" s="4" t="str">
        <f t="shared" si="206"/>
        <v/>
      </c>
      <c r="BX77" s="386" t="str">
        <f t="shared" si="207"/>
        <v/>
      </c>
      <c r="BY77" s="386">
        <f t="shared" si="258"/>
        <v>0</v>
      </c>
      <c r="BZ77" s="386" t="str">
        <f t="shared" si="208"/>
        <v/>
      </c>
      <c r="CA77" s="387" t="str">
        <f t="shared" si="172"/>
        <v/>
      </c>
      <c r="CB77" s="682" t="str">
        <f t="shared" si="209"/>
        <v/>
      </c>
      <c r="CC77" s="4" t="str">
        <f t="shared" si="210"/>
        <v/>
      </c>
      <c r="CD77" s="386" t="str">
        <f t="shared" si="211"/>
        <v/>
      </c>
      <c r="CE77" s="386">
        <f t="shared" si="259"/>
        <v>0</v>
      </c>
      <c r="CF77" s="386" t="str">
        <f t="shared" si="212"/>
        <v/>
      </c>
      <c r="CG77" s="387" t="str">
        <f t="shared" si="173"/>
        <v/>
      </c>
      <c r="CH77" s="682" t="str">
        <f t="shared" si="213"/>
        <v/>
      </c>
      <c r="CI77" s="4" t="str">
        <f t="shared" si="214"/>
        <v/>
      </c>
      <c r="CJ77" s="386" t="str">
        <f t="shared" si="215"/>
        <v/>
      </c>
      <c r="CK77" s="386">
        <f t="shared" si="253"/>
        <v>0</v>
      </c>
      <c r="CL77" s="386" t="str">
        <f t="shared" si="217"/>
        <v/>
      </c>
      <c r="CM77" s="387" t="str">
        <f t="shared" si="218"/>
        <v/>
      </c>
      <c r="CN77" s="682" t="str">
        <f t="shared" si="219"/>
        <v/>
      </c>
      <c r="CO77" s="4" t="str">
        <f t="shared" si="220"/>
        <v/>
      </c>
      <c r="CP77" s="386" t="str">
        <f t="shared" si="221"/>
        <v/>
      </c>
      <c r="CQ77" s="386">
        <f t="shared" si="254"/>
        <v>0</v>
      </c>
      <c r="CR77" s="386" t="str">
        <f t="shared" si="223"/>
        <v/>
      </c>
      <c r="CS77" s="387" t="str">
        <f t="shared" si="224"/>
        <v/>
      </c>
      <c r="CT77" s="682" t="str">
        <f t="shared" si="225"/>
        <v/>
      </c>
      <c r="CU77" s="4" t="str">
        <f t="shared" si="226"/>
        <v/>
      </c>
      <c r="CV77" s="386" t="str">
        <f t="shared" si="227"/>
        <v/>
      </c>
      <c r="CW77" s="386">
        <f t="shared" si="260"/>
        <v>0</v>
      </c>
      <c r="CX77" s="386" t="str">
        <f t="shared" si="229"/>
        <v/>
      </c>
      <c r="CY77" s="387" t="str">
        <f t="shared" si="230"/>
        <v/>
      </c>
      <c r="CZ77" s="682" t="str">
        <f t="shared" si="231"/>
        <v/>
      </c>
      <c r="DA77" s="4" t="str">
        <f t="shared" si="232"/>
        <v/>
      </c>
      <c r="DB77" s="386" t="str">
        <f t="shared" si="233"/>
        <v/>
      </c>
      <c r="DC77" s="386">
        <f t="shared" si="261"/>
        <v>0</v>
      </c>
      <c r="DD77" s="386" t="str">
        <f t="shared" si="235"/>
        <v/>
      </c>
      <c r="DE77" s="387" t="str">
        <f t="shared" si="236"/>
        <v/>
      </c>
      <c r="DF77" s="682" t="str">
        <f t="shared" si="237"/>
        <v/>
      </c>
      <c r="DG77" s="4" t="str">
        <f t="shared" si="238"/>
        <v/>
      </c>
      <c r="DH77" s="386" t="str">
        <f t="shared" si="239"/>
        <v/>
      </c>
      <c r="DI77" s="386">
        <f t="shared" si="255"/>
        <v>0</v>
      </c>
      <c r="DJ77" s="386" t="str">
        <f t="shared" si="241"/>
        <v/>
      </c>
      <c r="DK77" s="387" t="str">
        <f t="shared" si="242"/>
        <v/>
      </c>
      <c r="DL77" s="682" t="str">
        <f t="shared" si="243"/>
        <v/>
      </c>
      <c r="DM77" s="4" t="str">
        <f t="shared" si="244"/>
        <v/>
      </c>
      <c r="DN77" s="386" t="str">
        <f t="shared" si="245"/>
        <v/>
      </c>
      <c r="DO77" s="386">
        <f t="shared" si="256"/>
        <v>0</v>
      </c>
      <c r="DP77" s="386" t="str">
        <f t="shared" si="246"/>
        <v/>
      </c>
      <c r="DQ77" s="387" t="str">
        <f t="shared" si="247"/>
        <v/>
      </c>
    </row>
    <row r="78" spans="1:121" customFormat="1" x14ac:dyDescent="0.25">
      <c r="A78" t="s">
        <v>263</v>
      </c>
      <c r="B78" t="s">
        <v>33</v>
      </c>
      <c r="C78" t="s">
        <v>34</v>
      </c>
      <c r="D78" t="s">
        <v>209</v>
      </c>
      <c r="E78" t="s">
        <v>210</v>
      </c>
      <c r="F78" t="s">
        <v>264</v>
      </c>
      <c r="G78" t="s">
        <v>265</v>
      </c>
      <c r="H78" s="3"/>
      <c r="I78" s="4"/>
      <c r="J78" s="4"/>
      <c r="K78" s="4"/>
      <c r="L78" s="4"/>
      <c r="M78" s="5"/>
      <c r="N78" s="3"/>
      <c r="O78" s="4"/>
      <c r="P78" s="4"/>
      <c r="Q78" s="4"/>
      <c r="R78" s="4"/>
      <c r="S78" s="5"/>
      <c r="T78" s="3"/>
      <c r="U78" s="4"/>
      <c r="V78" s="4"/>
      <c r="W78" s="4"/>
      <c r="X78" s="4"/>
      <c r="Y78" s="5"/>
      <c r="Z78" s="3" t="str">
        <f t="shared" si="174"/>
        <v/>
      </c>
      <c r="AA78" s="4" t="str">
        <f t="shared" si="175"/>
        <v/>
      </c>
      <c r="AB78" s="386" t="str">
        <f t="shared" si="176"/>
        <v/>
      </c>
      <c r="AC78" s="386">
        <f t="shared" si="248"/>
        <v>0</v>
      </c>
      <c r="AD78" s="386" t="str">
        <f t="shared" si="177"/>
        <v/>
      </c>
      <c r="AE78" s="387" t="str">
        <f t="shared" si="262"/>
        <v/>
      </c>
      <c r="AF78" s="682">
        <f t="shared" si="179"/>
        <v>1899</v>
      </c>
      <c r="AG78" s="4">
        <f t="shared" si="180"/>
        <v>210</v>
      </c>
      <c r="AH78" s="386">
        <f t="shared" si="181"/>
        <v>1210</v>
      </c>
      <c r="AI78" s="386">
        <f t="shared" si="249"/>
        <v>1420</v>
      </c>
      <c r="AJ78" s="386">
        <f t="shared" si="183"/>
        <v>3928.3</v>
      </c>
      <c r="AK78" s="387">
        <f t="shared" si="184"/>
        <v>78566000</v>
      </c>
      <c r="AL78" s="3"/>
      <c r="AM78" s="4"/>
      <c r="AN78" s="4"/>
      <c r="AO78" s="4"/>
      <c r="AP78" s="4"/>
      <c r="AQ78" s="5"/>
      <c r="AR78" s="3"/>
      <c r="AS78" s="4"/>
      <c r="AT78" s="4"/>
      <c r="AU78" s="4"/>
      <c r="AV78" s="4"/>
      <c r="AW78" s="5"/>
      <c r="AX78" s="682">
        <f t="shared" si="186"/>
        <v>0</v>
      </c>
      <c r="AY78" s="4">
        <f t="shared" si="187"/>
        <v>11</v>
      </c>
      <c r="AZ78" s="386">
        <f t="shared" si="188"/>
        <v>0</v>
      </c>
      <c r="BA78" s="386">
        <f t="shared" si="250"/>
        <v>11</v>
      </c>
      <c r="BB78" s="386"/>
      <c r="BC78" s="387">
        <f t="shared" si="190"/>
        <v>38501</v>
      </c>
      <c r="BD78" s="682">
        <f t="shared" si="191"/>
        <v>0</v>
      </c>
      <c r="BE78" s="4">
        <f t="shared" si="192"/>
        <v>15.5</v>
      </c>
      <c r="BF78" s="386">
        <f t="shared" si="193"/>
        <v>0.5</v>
      </c>
      <c r="BG78" s="386">
        <f t="shared" si="251"/>
        <v>16</v>
      </c>
      <c r="BH78" s="386">
        <f t="shared" si="194"/>
        <v>9.9800000000000022</v>
      </c>
      <c r="BI78" s="387">
        <f t="shared" si="170"/>
        <v>195910.00000000003</v>
      </c>
      <c r="BJ78" s="682" t="str">
        <f t="shared" si="195"/>
        <v/>
      </c>
      <c r="BK78" s="4" t="str">
        <f t="shared" si="196"/>
        <v/>
      </c>
      <c r="BL78" s="386" t="str">
        <f t="shared" si="197"/>
        <v/>
      </c>
      <c r="BM78" s="386">
        <f t="shared" si="257"/>
        <v>0</v>
      </c>
      <c r="BN78" s="386" t="str">
        <f t="shared" si="198"/>
        <v/>
      </c>
      <c r="BO78" s="387" t="str">
        <f t="shared" si="171"/>
        <v/>
      </c>
      <c r="BP78" s="682">
        <f t="shared" si="199"/>
        <v>0</v>
      </c>
      <c r="BQ78" s="4">
        <f t="shared" si="200"/>
        <v>0</v>
      </c>
      <c r="BR78" s="386">
        <f t="shared" si="201"/>
        <v>910.6</v>
      </c>
      <c r="BS78" s="386">
        <f t="shared" si="252"/>
        <v>910.6</v>
      </c>
      <c r="BT78" s="386">
        <f t="shared" si="203"/>
        <v>421.60780000000005</v>
      </c>
      <c r="BU78" s="387">
        <f t="shared" si="204"/>
        <v>7167332.6000000015</v>
      </c>
      <c r="BV78" s="682" t="str">
        <f t="shared" si="205"/>
        <v/>
      </c>
      <c r="BW78" s="4" t="str">
        <f t="shared" si="206"/>
        <v/>
      </c>
      <c r="BX78" s="386" t="str">
        <f t="shared" si="207"/>
        <v/>
      </c>
      <c r="BY78" s="386">
        <f t="shared" si="258"/>
        <v>0</v>
      </c>
      <c r="BZ78" s="386" t="str">
        <f t="shared" si="208"/>
        <v/>
      </c>
      <c r="CA78" s="387" t="str">
        <f t="shared" si="172"/>
        <v/>
      </c>
      <c r="CB78" s="682" t="str">
        <f t="shared" si="209"/>
        <v/>
      </c>
      <c r="CC78" s="4" t="str">
        <f t="shared" si="210"/>
        <v/>
      </c>
      <c r="CD78" s="386" t="str">
        <f t="shared" si="211"/>
        <v/>
      </c>
      <c r="CE78" s="386">
        <f t="shared" si="259"/>
        <v>0</v>
      </c>
      <c r="CF78" s="386" t="str">
        <f t="shared" si="212"/>
        <v/>
      </c>
      <c r="CG78" s="387" t="str">
        <f t="shared" si="173"/>
        <v/>
      </c>
      <c r="CH78" s="682" t="str">
        <f t="shared" si="213"/>
        <v/>
      </c>
      <c r="CI78" s="4" t="str">
        <f t="shared" si="214"/>
        <v/>
      </c>
      <c r="CJ78" s="386" t="str">
        <f t="shared" si="215"/>
        <v/>
      </c>
      <c r="CK78" s="386">
        <f t="shared" si="253"/>
        <v>0</v>
      </c>
      <c r="CL78" s="386" t="str">
        <f t="shared" si="217"/>
        <v/>
      </c>
      <c r="CM78" s="387" t="str">
        <f t="shared" si="218"/>
        <v/>
      </c>
      <c r="CN78" s="682">
        <f t="shared" si="219"/>
        <v>0</v>
      </c>
      <c r="CO78" s="4">
        <f t="shared" si="220"/>
        <v>11</v>
      </c>
      <c r="CP78" s="386">
        <f t="shared" si="221"/>
        <v>0</v>
      </c>
      <c r="CQ78" s="386">
        <f t="shared" si="254"/>
        <v>11</v>
      </c>
      <c r="CR78" s="386">
        <f t="shared" si="223"/>
        <v>0</v>
      </c>
      <c r="CS78" s="387">
        <f t="shared" si="224"/>
        <v>24200</v>
      </c>
      <c r="CT78" s="682" t="str">
        <f t="shared" si="225"/>
        <v/>
      </c>
      <c r="CU78" s="4" t="str">
        <f t="shared" si="226"/>
        <v/>
      </c>
      <c r="CV78" s="386" t="str">
        <f t="shared" si="227"/>
        <v/>
      </c>
      <c r="CW78" s="386">
        <f t="shared" si="260"/>
        <v>0</v>
      </c>
      <c r="CX78" s="386" t="str">
        <f t="shared" si="229"/>
        <v/>
      </c>
      <c r="CY78" s="387" t="str">
        <f t="shared" si="230"/>
        <v/>
      </c>
      <c r="CZ78" s="682" t="str">
        <f t="shared" si="231"/>
        <v/>
      </c>
      <c r="DA78" s="4" t="str">
        <f t="shared" si="232"/>
        <v/>
      </c>
      <c r="DB78" s="386" t="str">
        <f t="shared" si="233"/>
        <v/>
      </c>
      <c r="DC78" s="386">
        <f t="shared" si="261"/>
        <v>0</v>
      </c>
      <c r="DD78" s="386" t="str">
        <f t="shared" si="235"/>
        <v/>
      </c>
      <c r="DE78" s="387" t="str">
        <f t="shared" si="236"/>
        <v/>
      </c>
      <c r="DF78" s="682" t="str">
        <f t="shared" si="237"/>
        <v/>
      </c>
      <c r="DG78" s="4" t="str">
        <f t="shared" si="238"/>
        <v/>
      </c>
      <c r="DH78" s="386" t="str">
        <f t="shared" si="239"/>
        <v/>
      </c>
      <c r="DI78" s="386">
        <f t="shared" si="255"/>
        <v>0</v>
      </c>
      <c r="DJ78" s="386" t="str">
        <f t="shared" si="241"/>
        <v/>
      </c>
      <c r="DK78" s="387" t="str">
        <f t="shared" si="242"/>
        <v/>
      </c>
      <c r="DL78" s="682" t="str">
        <f t="shared" si="243"/>
        <v/>
      </c>
      <c r="DM78" s="4" t="str">
        <f t="shared" si="244"/>
        <v/>
      </c>
      <c r="DN78" s="386" t="str">
        <f t="shared" si="245"/>
        <v/>
      </c>
      <c r="DO78" s="386">
        <f t="shared" si="256"/>
        <v>0</v>
      </c>
      <c r="DP78" s="386" t="str">
        <f t="shared" si="246"/>
        <v/>
      </c>
      <c r="DQ78" s="387" t="str">
        <f t="shared" si="247"/>
        <v/>
      </c>
    </row>
    <row r="79" spans="1:121" customFormat="1" x14ac:dyDescent="0.25">
      <c r="A79" t="s">
        <v>266</v>
      </c>
      <c r="B79" t="s">
        <v>33</v>
      </c>
      <c r="C79" t="s">
        <v>34</v>
      </c>
      <c r="D79" t="s">
        <v>209</v>
      </c>
      <c r="E79" t="s">
        <v>210</v>
      </c>
      <c r="F79" t="s">
        <v>267</v>
      </c>
      <c r="G79" t="s">
        <v>268</v>
      </c>
      <c r="H79" s="3"/>
      <c r="I79" s="4"/>
      <c r="J79" s="4"/>
      <c r="K79" s="4"/>
      <c r="L79" s="4"/>
      <c r="M79" s="5"/>
      <c r="N79" s="3"/>
      <c r="O79" s="4"/>
      <c r="P79" s="4"/>
      <c r="Q79" s="4"/>
      <c r="R79" s="4"/>
      <c r="S79" s="5"/>
      <c r="T79" s="3"/>
      <c r="U79" s="4"/>
      <c r="V79" s="4"/>
      <c r="W79" s="4"/>
      <c r="X79" s="4"/>
      <c r="Y79" s="5"/>
      <c r="Z79" s="3" t="str">
        <f t="shared" si="174"/>
        <v/>
      </c>
      <c r="AA79" s="4" t="str">
        <f t="shared" si="175"/>
        <v/>
      </c>
      <c r="AB79" s="386" t="str">
        <f t="shared" si="176"/>
        <v/>
      </c>
      <c r="AC79" s="386">
        <f t="shared" si="248"/>
        <v>0</v>
      </c>
      <c r="AD79" s="386" t="str">
        <f t="shared" si="177"/>
        <v/>
      </c>
      <c r="AE79" s="387" t="str">
        <f t="shared" si="262"/>
        <v/>
      </c>
      <c r="AF79" s="682">
        <f t="shared" si="179"/>
        <v>125</v>
      </c>
      <c r="AG79" s="4">
        <f t="shared" si="180"/>
        <v>28</v>
      </c>
      <c r="AH79" s="386">
        <f t="shared" si="181"/>
        <v>93.75</v>
      </c>
      <c r="AI79" s="386">
        <f t="shared" si="249"/>
        <v>121.75</v>
      </c>
      <c r="AJ79" s="386">
        <f t="shared" si="183"/>
        <v>360.89750000000004</v>
      </c>
      <c r="AK79" s="387">
        <f t="shared" si="184"/>
        <v>7217950</v>
      </c>
      <c r="AL79" s="3"/>
      <c r="AM79" s="4"/>
      <c r="AN79" s="4"/>
      <c r="AO79" s="4"/>
      <c r="AP79" s="4"/>
      <c r="AQ79" s="5"/>
      <c r="AR79" s="3"/>
      <c r="AS79" s="4"/>
      <c r="AT79" s="4"/>
      <c r="AU79" s="4"/>
      <c r="AV79" s="4"/>
      <c r="AW79" s="5"/>
      <c r="AX79" s="682" t="str">
        <f t="shared" si="186"/>
        <v/>
      </c>
      <c r="AY79" s="4" t="str">
        <f t="shared" si="187"/>
        <v/>
      </c>
      <c r="AZ79" s="386" t="str">
        <f t="shared" si="188"/>
        <v/>
      </c>
      <c r="BA79" s="386">
        <f t="shared" si="250"/>
        <v>0</v>
      </c>
      <c r="BB79" s="386"/>
      <c r="BC79" s="387" t="str">
        <f t="shared" si="190"/>
        <v/>
      </c>
      <c r="BD79" s="682" t="str">
        <f t="shared" si="191"/>
        <v/>
      </c>
      <c r="BE79" s="4" t="str">
        <f t="shared" si="192"/>
        <v/>
      </c>
      <c r="BF79" s="386" t="str">
        <f t="shared" si="193"/>
        <v/>
      </c>
      <c r="BG79" s="386">
        <f t="shared" ref="BG79:BG80" si="263">SUM(BE79:BF79)</f>
        <v>0</v>
      </c>
      <c r="BH79" s="386" t="str">
        <f t="shared" si="194"/>
        <v/>
      </c>
      <c r="BI79" s="387" t="str">
        <f t="shared" si="170"/>
        <v/>
      </c>
      <c r="BJ79" s="682" t="str">
        <f t="shared" si="195"/>
        <v/>
      </c>
      <c r="BK79" s="4" t="str">
        <f t="shared" si="196"/>
        <v/>
      </c>
      <c r="BL79" s="386" t="str">
        <f t="shared" si="197"/>
        <v/>
      </c>
      <c r="BM79" s="386">
        <f t="shared" si="257"/>
        <v>0</v>
      </c>
      <c r="BN79" s="386" t="str">
        <f t="shared" si="198"/>
        <v/>
      </c>
      <c r="BO79" s="387" t="str">
        <f t="shared" si="171"/>
        <v/>
      </c>
      <c r="BP79" s="682">
        <f t="shared" si="199"/>
        <v>0</v>
      </c>
      <c r="BQ79" s="4">
        <f t="shared" si="200"/>
        <v>0</v>
      </c>
      <c r="BR79" s="386">
        <f t="shared" si="201"/>
        <v>305.25</v>
      </c>
      <c r="BS79" s="386">
        <f t="shared" si="252"/>
        <v>305.25</v>
      </c>
      <c r="BT79" s="386">
        <f t="shared" si="203"/>
        <v>141.33074999999999</v>
      </c>
      <c r="BU79" s="387">
        <f t="shared" si="204"/>
        <v>2402622.75</v>
      </c>
      <c r="BV79" s="682" t="str">
        <f t="shared" si="205"/>
        <v/>
      </c>
      <c r="BW79" s="4" t="str">
        <f t="shared" si="206"/>
        <v/>
      </c>
      <c r="BX79" s="386" t="str">
        <f t="shared" si="207"/>
        <v/>
      </c>
      <c r="BY79" s="386">
        <f t="shared" si="258"/>
        <v>0</v>
      </c>
      <c r="BZ79" s="386" t="str">
        <f t="shared" si="208"/>
        <v/>
      </c>
      <c r="CA79" s="387" t="str">
        <f t="shared" si="172"/>
        <v/>
      </c>
      <c r="CB79" s="682" t="str">
        <f t="shared" si="209"/>
        <v/>
      </c>
      <c r="CC79" s="4" t="str">
        <f t="shared" si="210"/>
        <v/>
      </c>
      <c r="CD79" s="386" t="str">
        <f t="shared" si="211"/>
        <v/>
      </c>
      <c r="CE79" s="386">
        <f t="shared" si="259"/>
        <v>0</v>
      </c>
      <c r="CF79" s="386" t="str">
        <f t="shared" si="212"/>
        <v/>
      </c>
      <c r="CG79" s="387" t="str">
        <f t="shared" si="173"/>
        <v/>
      </c>
      <c r="CH79" s="682">
        <f t="shared" si="213"/>
        <v>0</v>
      </c>
      <c r="CI79" s="4">
        <f t="shared" si="214"/>
        <v>0</v>
      </c>
      <c r="CJ79" s="386">
        <f t="shared" si="215"/>
        <v>682</v>
      </c>
      <c r="CK79" s="386">
        <f t="shared" si="253"/>
        <v>682</v>
      </c>
      <c r="CL79" s="386">
        <f t="shared" si="217"/>
        <v>308.94600000000003</v>
      </c>
      <c r="CM79" s="387">
        <f t="shared" si="218"/>
        <v>6478597.6200000001</v>
      </c>
      <c r="CN79" s="682" t="str">
        <f t="shared" si="219"/>
        <v/>
      </c>
      <c r="CO79" s="4" t="str">
        <f t="shared" si="220"/>
        <v/>
      </c>
      <c r="CP79" s="386" t="str">
        <f t="shared" si="221"/>
        <v/>
      </c>
      <c r="CQ79" s="386">
        <f t="shared" si="254"/>
        <v>0</v>
      </c>
      <c r="CR79" s="386" t="str">
        <f t="shared" si="223"/>
        <v/>
      </c>
      <c r="CS79" s="387" t="str">
        <f t="shared" si="224"/>
        <v/>
      </c>
      <c r="CT79" s="682" t="str">
        <f t="shared" si="225"/>
        <v/>
      </c>
      <c r="CU79" s="4" t="str">
        <f t="shared" si="226"/>
        <v/>
      </c>
      <c r="CV79" s="386" t="str">
        <f t="shared" si="227"/>
        <v/>
      </c>
      <c r="CW79" s="386">
        <f t="shared" si="260"/>
        <v>0</v>
      </c>
      <c r="CX79" s="386" t="str">
        <f t="shared" si="229"/>
        <v/>
      </c>
      <c r="CY79" s="387" t="str">
        <f t="shared" si="230"/>
        <v/>
      </c>
      <c r="CZ79" s="682" t="str">
        <f t="shared" si="231"/>
        <v/>
      </c>
      <c r="DA79" s="4" t="str">
        <f t="shared" si="232"/>
        <v/>
      </c>
      <c r="DB79" s="386" t="str">
        <f t="shared" si="233"/>
        <v/>
      </c>
      <c r="DC79" s="386">
        <f t="shared" si="261"/>
        <v>0</v>
      </c>
      <c r="DD79" s="386" t="str">
        <f t="shared" si="235"/>
        <v/>
      </c>
      <c r="DE79" s="387" t="str">
        <f t="shared" si="236"/>
        <v/>
      </c>
      <c r="DF79" s="682">
        <f t="shared" si="237"/>
        <v>0</v>
      </c>
      <c r="DG79" s="4">
        <f t="shared" si="238"/>
        <v>0</v>
      </c>
      <c r="DH79" s="386">
        <f t="shared" si="239"/>
        <v>417</v>
      </c>
      <c r="DI79" s="386">
        <f t="shared" si="255"/>
        <v>417</v>
      </c>
      <c r="DJ79" s="386">
        <f t="shared" si="241"/>
        <v>180.91600000000003</v>
      </c>
      <c r="DK79" s="387">
        <f t="shared" si="242"/>
        <v>2983304.84</v>
      </c>
      <c r="DL79" s="682" t="str">
        <f t="shared" si="243"/>
        <v/>
      </c>
      <c r="DM79" s="4" t="str">
        <f t="shared" si="244"/>
        <v/>
      </c>
      <c r="DN79" s="386" t="str">
        <f t="shared" si="245"/>
        <v/>
      </c>
      <c r="DO79" s="386">
        <f t="shared" si="256"/>
        <v>0</v>
      </c>
      <c r="DP79" s="386" t="str">
        <f t="shared" si="246"/>
        <v/>
      </c>
      <c r="DQ79" s="387" t="str">
        <f t="shared" si="247"/>
        <v/>
      </c>
    </row>
    <row r="80" spans="1:121" x14ac:dyDescent="0.25">
      <c r="A80" t="s">
        <v>269</v>
      </c>
      <c r="B80" t="s">
        <v>33</v>
      </c>
      <c r="C80" s="383" t="s">
        <v>34</v>
      </c>
      <c r="D80" t="s">
        <v>270</v>
      </c>
      <c r="E80" s="383" t="s">
        <v>271</v>
      </c>
      <c r="F80" t="s">
        <v>272</v>
      </c>
      <c r="G80" s="383" t="s">
        <v>273</v>
      </c>
      <c r="H80" s="385" t="str">
        <f t="shared" ref="H80:H127" si="264">IFERROR(VLOOKUP(G80,PEPITO,4,FALSE),"")</f>
        <v/>
      </c>
      <c r="I80" s="386" t="str">
        <f t="shared" ref="I80:I127" si="265">IFERROR(VLOOKUP(G80,PEPITO,7,FALSE),"")</f>
        <v/>
      </c>
      <c r="J80" s="386" t="str">
        <f t="shared" ref="J80:J127" si="266">IFERROR(VLOOKUP(G80,PEPITO,8,FALSE),"")</f>
        <v/>
      </c>
      <c r="K80" s="386">
        <f t="shared" ref="K80:K127" si="267">SUM(I80:J80)</f>
        <v>0</v>
      </c>
      <c r="L80" s="386" t="str">
        <f t="shared" ref="L80:L127" si="268">IFERROR(VLOOKUP(G80,PEPITO,19,FALSE),"")</f>
        <v/>
      </c>
      <c r="M80" s="387" t="str">
        <f t="shared" ref="M80:M127" si="269">IFERROR(VLOOKUP(G80,PEPITO,23,FALSE),"")</f>
        <v/>
      </c>
      <c r="N80" s="385" t="str">
        <f>IFERROR(VLOOKUP(G80,QUINTA,4,FALSE),"")</f>
        <v/>
      </c>
      <c r="O80" s="386" t="str">
        <f>IFERROR(VLOOKUP(G80,QUINTA,7,FALSE),"")</f>
        <v/>
      </c>
      <c r="P80" s="386" t="str">
        <f>IFERROR(VLOOKUP(G80,QUINTA,8,FALSE),"")</f>
        <v/>
      </c>
      <c r="Q80" s="386">
        <f>SUM(O80:P80)</f>
        <v>0</v>
      </c>
      <c r="R80" s="386" t="str">
        <f>IFERROR(VLOOKUP(G80,QUINTA,19,FALSE),"")</f>
        <v/>
      </c>
      <c r="S80" s="387" t="str">
        <f>IFERROR(VLOOKUP(G80,QUINTA,23,FALSE),"")</f>
        <v/>
      </c>
      <c r="T80" s="385" t="str">
        <f t="shared" ref="T80:T127" si="270">IFERROR(VLOOKUP(G80,Ulysses_Pangasinan,4,FALSE),"")</f>
        <v/>
      </c>
      <c r="U80" s="386" t="str">
        <f t="shared" ref="U80:U127" si="271">IFERROR(VLOOKUP(G80,Ulysses_Pangasinan,7,FALSE),"")</f>
        <v/>
      </c>
      <c r="V80" s="386" t="str">
        <f t="shared" ref="V80:V127" si="272">IFERROR(VLOOKUP(G80,Ulysses_Pangasinan,8,FALSE),"")</f>
        <v/>
      </c>
      <c r="W80" s="386">
        <f t="shared" ref="W80:W127" si="273">SUM(U80:V80)</f>
        <v>0</v>
      </c>
      <c r="X80" s="386" t="str">
        <f t="shared" ref="X80:X127" si="274">IFERROR(VLOOKUP(G80,Ulysses_Pangasinan,19,FALSE),"")</f>
        <v/>
      </c>
      <c r="Y80" s="387" t="str">
        <f t="shared" ref="Y80:Y127" si="275">IFERROR(VLOOKUP(G80,Ulysses_Pangasinan,23,FALSE),"")</f>
        <v/>
      </c>
      <c r="Z80" s="3" t="str">
        <f t="shared" ref="Z80:Z127" si="276">IFERROR(VLOOKUP(G80,Rosita_Pangasinan,4,FALSE),"")</f>
        <v/>
      </c>
      <c r="AA80" s="4" t="str">
        <f t="shared" ref="AA80:AA127" si="277">IFERROR(VLOOKUP(G80,Rosita_Pangasinan,7,FALSE),"")</f>
        <v/>
      </c>
      <c r="AB80" s="386" t="str">
        <f t="shared" ref="AB80:AB127" si="278">IFERROR(VLOOKUP(G80,Rosita_Pangasinan,8,FALSE),"")</f>
        <v/>
      </c>
      <c r="AC80" s="386">
        <f t="shared" ref="AC80:AC127" si="279">SUM(AA80:AB80)</f>
        <v>0</v>
      </c>
      <c r="AD80" s="386" t="str">
        <f t="shared" ref="AD80:AD127" si="280">IFERROR(VLOOKUP(G80,Rosita_Pangasinan,19,FALSE),"")</f>
        <v/>
      </c>
      <c r="AE80" s="387" t="str">
        <f t="shared" ref="AE80:AE127" si="281">IFERROR(VLOOKUP(G80,Rosita_Pangasinan,17,FALSE),"")</f>
        <v/>
      </c>
      <c r="AF80" s="682">
        <f t="shared" ref="AF80:AF127" si="282">IFERROR(VLOOKUP(G80,Ompong_Pangasinan,3,FALSE),"")</f>
        <v>0</v>
      </c>
      <c r="AG80" s="4">
        <f t="shared" ref="AG80:AG127" si="283">IFERROR(VLOOKUP(G80,Ompong_Pangasinan,7,FALSE),"")</f>
        <v>0</v>
      </c>
      <c r="AH80" s="386">
        <f t="shared" ref="AH80:AH127" si="284">IFERROR(VLOOKUP(G80,Ompong_Pangasinan,8,FALSE),"")</f>
        <v>1478.5</v>
      </c>
      <c r="AI80" s="386">
        <f t="shared" ref="AI80" si="285">SUM(AG80:AH80)</f>
        <v>1478.5</v>
      </c>
      <c r="AJ80" s="386">
        <f t="shared" ref="AJ80:AJ127" si="286">IFERROR(VLOOKUP(G80,Ompong_Pangasinan,15,FALSE),"")</f>
        <v>1880.8312499999997</v>
      </c>
      <c r="AK80" s="387">
        <f t="shared" ref="AK80:AK127" si="287">IFERROR(VLOOKUP(G80,Ompong_Pangasinan,17,FALSE),"")</f>
        <v>37616624.999999993</v>
      </c>
      <c r="AL80" s="385"/>
      <c r="AM80" s="386"/>
      <c r="AN80" s="386"/>
      <c r="AO80" s="386"/>
      <c r="AP80" s="386"/>
      <c r="AQ80" s="387"/>
      <c r="AR80" s="682" t="str">
        <f t="shared" ref="AR80:AR127" si="288">IFERROR(VLOOKUP(G80,LAWIN_PANGASINAN,3,FALSE),"")</f>
        <v/>
      </c>
      <c r="AS80" s="4" t="str">
        <f t="shared" ref="AS80:AS127" si="289">IFERROR(VLOOKUP(G80,LAWIN_PANGASINAN,7,FALSE),"")</f>
        <v/>
      </c>
      <c r="AT80" s="386" t="str">
        <f t="shared" ref="AT80:AT127" si="290">IFERROR(VLOOKUP(G80,LAWIN_PANGASINAN,8,FALSE),"")</f>
        <v/>
      </c>
      <c r="AU80" s="386">
        <f t="shared" ref="AU80" si="291">SUM(AS80:AT80)</f>
        <v>0</v>
      </c>
      <c r="AV80" s="386" t="str">
        <f t="shared" ref="AV80:AV127" si="292">IFERROR(VLOOKUP(G80,LAWIN_PANGASINAN,15,FALSE),"")</f>
        <v/>
      </c>
      <c r="AW80" s="387" t="str">
        <f t="shared" ref="AW80:AW127" si="293">IFERROR(VLOOKUP(G80,LAWIN_PANGASINAN,17,FALSE),"")</f>
        <v/>
      </c>
      <c r="AX80" s="682" t="str">
        <f t="shared" ref="AX80:AX127" si="294">IFERROR(VLOOKUP(G80,EGAY_PANGASINAN,3,FALSE),"")</f>
        <v/>
      </c>
      <c r="AY80" s="4" t="str">
        <f t="shared" ref="AY80:AY127" si="295">IFERROR(VLOOKUP(G80,EGAY_PANGASINAN,7,FALSE),"")</f>
        <v/>
      </c>
      <c r="AZ80" s="386" t="str">
        <f t="shared" ref="AZ80:AZ127" si="296">IFERROR(VLOOKUP(G80,EGAY_PANGASINAN,8,FALSE),"")</f>
        <v/>
      </c>
      <c r="BA80" s="386">
        <f t="shared" ref="BA80" si="297">SUM(AY80:AZ80)</f>
        <v>0</v>
      </c>
      <c r="BB80" s="386" t="str">
        <f t="shared" ref="BB80:BB117" si="298">IFERROR(VLOOKUP(G80,EGAY_PANGASINAN,15,FALSE),"")</f>
        <v/>
      </c>
      <c r="BC80" s="387" t="str">
        <f t="shared" ref="BC80:BC117" si="299">IFERROR(VLOOKUP(G80,EGAY_PANGASINAN,17,FALSE),"")</f>
        <v/>
      </c>
      <c r="BD80" s="682" t="str">
        <f t="shared" ref="BD80:BD127" si="300">IFERROR(VLOOKUP(G80,INENG_PANGASINAN,3,FALSE),"")</f>
        <v/>
      </c>
      <c r="BE80" s="4" t="str">
        <f t="shared" ref="BE80:BE127" si="301">IFERROR(VLOOKUP(G80,INENG_PANGASINAN,7,FALSE),"")</f>
        <v/>
      </c>
      <c r="BF80" s="386" t="str">
        <f t="shared" ref="BF80:BF127" si="302">IFERROR(VLOOKUP(G80,INENG_PANGASINAN,8,FALSE),"")</f>
        <v/>
      </c>
      <c r="BG80" s="386">
        <f t="shared" si="263"/>
        <v>0</v>
      </c>
      <c r="BH80" s="386" t="str">
        <f t="shared" ref="BH80:BH127" si="303">IFERROR(VLOOKUP(G80,INENG_PANGASINAN,16,FALSE),"")</f>
        <v/>
      </c>
      <c r="BI80" s="387" t="str">
        <f t="shared" ref="BI80:BI127" si="304">IFERROR(VLOOKUP(G80,INENG_PANGASINAN,19,FALSE),"")</f>
        <v/>
      </c>
      <c r="BJ80" s="682" t="str">
        <f t="shared" ref="BJ80:BJ127" si="305">IFERROR(VLOOKUP(G80,KABAYAN_PANGASINAN,3,FALSE),"")</f>
        <v/>
      </c>
      <c r="BK80" s="4" t="str">
        <f t="shared" ref="BK80:BK127" si="306">IFERROR(VLOOKUP(G80,KABAYAN_PANGASINAN,7,FALSE),"")</f>
        <v/>
      </c>
      <c r="BL80" s="386" t="str">
        <f t="shared" ref="BL80:BL127" si="307">IFERROR(VLOOKUP(G80,KABAYAN_PANGASINAN,8,FALSE),"")</f>
        <v/>
      </c>
      <c r="BM80" s="386">
        <f t="shared" si="257"/>
        <v>0</v>
      </c>
      <c r="BN80" s="386" t="str">
        <f t="shared" ref="BN80:BN127" si="308">IFERROR(VLOOKUP(G80,KABAYAN_PANGASINAN,16,FALSE),"")</f>
        <v/>
      </c>
      <c r="BO80" s="387" t="str">
        <f t="shared" ref="BO80:BO127" si="309">IFERROR(VLOOKUP(G80,KABAYAN_PANGASINAN,18,FALSE),"")</f>
        <v/>
      </c>
      <c r="BP80" s="682">
        <f t="shared" ref="BP80:BP127" si="310">IFERROR(VLOOKUP(G80,LANDO_PANGASINAN,3,FALSE),"")</f>
        <v>0</v>
      </c>
      <c r="BQ80" s="4">
        <f t="shared" ref="BQ80:BQ127" si="311">IFERROR(VLOOKUP(G80,LANDO_PANGASINAN,7,FALSE),"")</f>
        <v>0</v>
      </c>
      <c r="BR80" s="386">
        <f t="shared" ref="BR80:BR127" si="312">IFERROR(VLOOKUP(G80,LANDO_PANGASINAN,8,FALSE),"")</f>
        <v>3595</v>
      </c>
      <c r="BS80" s="386">
        <f t="shared" ref="BS80" si="313">SUM(BQ80:BR80)</f>
        <v>3595</v>
      </c>
      <c r="BT80" s="386">
        <f t="shared" ref="BT80:BT127" si="314">IFERROR(VLOOKUP(G80,LANDO_PANGASINAN,15,FALSE),"")</f>
        <v>1343.2740000000003</v>
      </c>
      <c r="BU80" s="387">
        <f t="shared" ref="BU80:BU127" si="315">IFERROR(VLOOKUP(G80,LANDO_PANGASINAN,17,FALSE),"")</f>
        <v>17462562</v>
      </c>
      <c r="BV80" s="682" t="str">
        <f t="shared" ref="BV80:BV127" si="316">IFERROR(VLOOKUP(G80,Nona_Pangasinan,3,FALSE),"")</f>
        <v/>
      </c>
      <c r="BW80" s="4" t="str">
        <f t="shared" ref="BW80:BW127" si="317">IFERROR(VLOOKUP(G80,Nona_Pangasinan,8,FALSE),"")</f>
        <v/>
      </c>
      <c r="BX80" s="386" t="str">
        <f t="shared" ref="BX80:BX127" si="318">IFERROR(VLOOKUP(G80,Nona_Pangasinan,9,FALSE),"")</f>
        <v/>
      </c>
      <c r="BY80" s="386">
        <f t="shared" si="258"/>
        <v>0</v>
      </c>
      <c r="BZ80" s="386" t="str">
        <f t="shared" ref="BZ80:BZ127" si="319">IFERROR(VLOOKUP(G80,Nona_Pangasinan,16,FALSE),"")</f>
        <v/>
      </c>
      <c r="CA80" s="387" t="str">
        <f t="shared" ref="CA80:CA127" si="320">IFERROR(VLOOKUP(G80,Nona_Pangasinan,19,FALSE),"")</f>
        <v/>
      </c>
      <c r="CB80" s="682" t="str">
        <f t="shared" ref="CB80:CB95" si="321">IFERROR(VLOOKUP(AE80,INENG_PANGASINAN,3,FALSE),"")</f>
        <v/>
      </c>
      <c r="CC80" s="4" t="str">
        <f t="shared" ref="CC80:CC127" si="322">IFERROR(VLOOKUP(AE80,INENG_PANGASINAN,7,FALSE),"")</f>
        <v/>
      </c>
      <c r="CD80" s="386" t="str">
        <f t="shared" ref="CD80:CD95" si="323">IFERROR(VLOOKUP(AE80,INENG_PANGASINAN,8,FALSE),"")</f>
        <v/>
      </c>
      <c r="CE80" s="386">
        <f t="shared" si="259"/>
        <v>0</v>
      </c>
      <c r="CF80" s="386" t="str">
        <f t="shared" ref="CF80:CF95" si="324">IFERROR(VLOOKUP(AE80,INENG_PANGASINAN,16,FALSE),"")</f>
        <v/>
      </c>
      <c r="CG80" s="387" t="str">
        <f t="shared" ref="CG80:CG95" si="325">IFERROR(VLOOKUP(AE80,INENG_PANGASINAN,19,FALSE),"")</f>
        <v/>
      </c>
      <c r="CH80" s="682">
        <f t="shared" ref="CH80:CH127" si="326">IFERROR(VLOOKUP(G80,LUIS_PANGASINAN,3,FALSE),"")</f>
        <v>0</v>
      </c>
      <c r="CI80" s="4">
        <f t="shared" ref="CI80:CI127" si="327">IFERROR(VLOOKUP(G80,LUIS_PANGASINAN,7,FALSE),"")</f>
        <v>0</v>
      </c>
      <c r="CJ80" s="386">
        <f t="shared" ref="CJ80:CJ127" si="328">IFERROR(VLOOKUP(G80,LUIS_PANGASINAN,8,FALSE),"")</f>
        <v>172</v>
      </c>
      <c r="CK80" s="386">
        <f t="shared" ref="CK80" si="329">SUM(CI80:CJ80)</f>
        <v>172</v>
      </c>
      <c r="CL80" s="386">
        <f t="shared" ref="CL80:CL127" si="330">IFERROR(VLOOKUP(G80,LUIS_PANGASINAN,13,FALSE),"")</f>
        <v>71.552000000000007</v>
      </c>
      <c r="CM80" s="387">
        <f t="shared" ref="CM80:CM127" si="331">IFERROR(VLOOKUP(G80,LUIS_PANGASINAN,15,FALSE),"")</f>
        <v>1677178.8800000006</v>
      </c>
      <c r="CN80" s="682">
        <f t="shared" ref="CN80:CN127" si="332">IFERROR(VLOOKUP(G80,MARING_PANGASINAN,3,FALSE),"")</f>
        <v>0</v>
      </c>
      <c r="CO80" s="4">
        <f t="shared" ref="CO80:CO127" si="333">IFERROR(VLOOKUP(G80,MARING_PANGASINAN,7,FALSE),"")</f>
        <v>50</v>
      </c>
      <c r="CP80" s="386">
        <f t="shared" ref="CP80:CP127" si="334">IFERROR(VLOOKUP(G80,MARING_PANGASINAN,8,FALSE),"")</f>
        <v>250</v>
      </c>
      <c r="CQ80" s="386">
        <f t="shared" ref="CQ80" si="335">SUM(CO80:CP80)</f>
        <v>300</v>
      </c>
      <c r="CR80" s="386">
        <f t="shared" ref="CR80:CR127" si="336">IFERROR(VLOOKUP(G80,MARING_PANGASINAN,13,FALSE),"")</f>
        <v>208.42500000000001</v>
      </c>
      <c r="CS80" s="387">
        <f t="shared" ref="CS80:CS127" si="337">IFERROR(VLOOKUP(G80,MARING_PANGASINAN,16,FALSE),"")</f>
        <v>3622426.5</v>
      </c>
      <c r="CT80" s="682" t="str">
        <f t="shared" ref="CT80:CT127" si="338">IFERROR(VLOOKUP(AW80,INENG_PANGASINAN,3,FALSE),"")</f>
        <v/>
      </c>
      <c r="CU80" s="4" t="str">
        <f t="shared" ref="CU80:CU127" si="339">IFERROR(VLOOKUP(AW80,INENG_PANGASINAN,7,FALSE),"")</f>
        <v/>
      </c>
      <c r="CV80" s="386" t="str">
        <f t="shared" ref="CV80:CV127" si="340">IFERROR(VLOOKUP(AW80,INENG_PANGASINAN,8,FALSE),"")</f>
        <v/>
      </c>
      <c r="CW80" s="386">
        <f t="shared" si="260"/>
        <v>0</v>
      </c>
      <c r="CX80" s="386" t="str">
        <f t="shared" ref="CX80:CX127" si="341">IFERROR(VLOOKUP(AW80,INENG_PANGASINAN,16,FALSE),"")</f>
        <v/>
      </c>
      <c r="CY80" s="387" t="str">
        <f t="shared" ref="CY80:CY127" si="342">IFERROR(VLOOKUP(AW80,INENG_PANGASINAN,19,FALSE),"")</f>
        <v/>
      </c>
      <c r="CZ80" s="682" t="str">
        <f t="shared" ref="CZ80:CZ127" si="343">IFERROR(VLOOKUP(BC80,INENG_PANGASINAN,3,FALSE),"")</f>
        <v/>
      </c>
      <c r="DA80" s="4" t="str">
        <f t="shared" ref="DA80:DA127" si="344">IFERROR(VLOOKUP(BC80,INENG_PANGASINAN,7,FALSE),"")</f>
        <v/>
      </c>
      <c r="DB80" s="386" t="str">
        <f t="shared" ref="DB80:DB127" si="345">IFERROR(VLOOKUP(BC80,INENG_PANGASINAN,8,FALSE),"")</f>
        <v/>
      </c>
      <c r="DC80" s="386">
        <f t="shared" si="261"/>
        <v>0</v>
      </c>
      <c r="DD80" s="386" t="str">
        <f t="shared" ref="DD80:DD127" si="346">IFERROR(VLOOKUP(BC80,INENG_PANGASINAN,16,FALSE),"")</f>
        <v/>
      </c>
      <c r="DE80" s="387" t="str">
        <f t="shared" ref="DE80:DE127" si="347">IFERROR(VLOOKUP(BC80,INENG_PANGASINAN,19,FALSE),"")</f>
        <v/>
      </c>
      <c r="DF80" s="682">
        <f t="shared" ref="DF80:DF127" si="348">IFERROR(VLOOKUP(G80,PEDRING_PANGASINAN,3,FALSE),"")</f>
        <v>0</v>
      </c>
      <c r="DG80" s="4">
        <f t="shared" ref="DG80:DG127" si="349">IFERROR(VLOOKUP(G80,PEDRING_PANGASINAN,7,FALSE),"")</f>
        <v>0</v>
      </c>
      <c r="DH80" s="386">
        <f t="shared" ref="DH80:DH127" si="350">IFERROR(VLOOKUP(G80,PEDRING_PANGASINAN,8,FALSE),"")</f>
        <v>127</v>
      </c>
      <c r="DI80" s="386">
        <f t="shared" ref="DI80" si="351">SUM(DG80:DH80)</f>
        <v>127</v>
      </c>
      <c r="DJ80" s="386">
        <f t="shared" ref="DJ80:DJ127" si="352">IFERROR(VLOOKUP(G80,PEDRING_PANGASINAN,13,FALSE),"")</f>
        <v>58.547000000000004</v>
      </c>
      <c r="DK80" s="387">
        <f t="shared" ref="DK80:DK127" si="353">IFERROR(VLOOKUP(G80,PEDRING_PANGASINAN,16,FALSE),"")</f>
        <v>1036867.3700000001</v>
      </c>
      <c r="DL80" s="682"/>
      <c r="DM80" s="4">
        <f t="shared" ref="DM80:DM127" si="354">IFERROR(VLOOKUP(G80,ONDOY_PANGASINAN,4,FALSE),"")</f>
        <v>0</v>
      </c>
      <c r="DN80" s="386">
        <f t="shared" ref="DN80:DN127" si="355">IFERROR(VLOOKUP(G80,ONDOY_PANGASINAN,5,FALSE),"")</f>
        <v>50</v>
      </c>
      <c r="DO80" s="386">
        <f t="shared" ref="DO80" si="356">SUM(DM80:DN80)</f>
        <v>50</v>
      </c>
      <c r="DP80" s="386">
        <f t="shared" ref="DP80:DP127" si="357">IFERROR(VLOOKUP(G80,ONDOY_PANGASINAN,9,FALSE),"")</f>
        <v>54.374999999999993</v>
      </c>
      <c r="DQ80" s="387">
        <f t="shared" ref="DQ80:DQ127" si="358">IFERROR(VLOOKUP(G80,ONDOY_PANGASINAN,10,FALSE),"")</f>
        <v>166075</v>
      </c>
    </row>
    <row r="81" spans="1:121" x14ac:dyDescent="0.25">
      <c r="A81" t="s">
        <v>274</v>
      </c>
      <c r="B81" t="s">
        <v>33</v>
      </c>
      <c r="C81" s="383" t="s">
        <v>34</v>
      </c>
      <c r="D81" t="s">
        <v>270</v>
      </c>
      <c r="E81" s="383" t="s">
        <v>271</v>
      </c>
      <c r="F81" t="s">
        <v>275</v>
      </c>
      <c r="G81" s="383" t="s">
        <v>276</v>
      </c>
      <c r="H81" s="385" t="str">
        <f t="shared" si="264"/>
        <v/>
      </c>
      <c r="I81" s="386" t="str">
        <f t="shared" si="265"/>
        <v/>
      </c>
      <c r="J81" s="386" t="str">
        <f t="shared" si="266"/>
        <v/>
      </c>
      <c r="K81" s="386">
        <f t="shared" si="267"/>
        <v>0</v>
      </c>
      <c r="L81" s="386" t="str">
        <f t="shared" si="268"/>
        <v/>
      </c>
      <c r="M81" s="387" t="str">
        <f t="shared" si="269"/>
        <v/>
      </c>
      <c r="N81" s="385"/>
      <c r="O81" s="386"/>
      <c r="P81" s="386"/>
      <c r="Q81" s="386"/>
      <c r="R81" s="386"/>
      <c r="S81" s="387"/>
      <c r="T81" s="385">
        <f t="shared" si="270"/>
        <v>210</v>
      </c>
      <c r="U81" s="386">
        <f t="shared" si="271"/>
        <v>28</v>
      </c>
      <c r="V81" s="386">
        <f t="shared" si="272"/>
        <v>210</v>
      </c>
      <c r="W81" s="386">
        <f t="shared" si="273"/>
        <v>238</v>
      </c>
      <c r="X81" s="386">
        <f t="shared" si="274"/>
        <v>72.927999999999997</v>
      </c>
      <c r="Y81" s="387">
        <f t="shared" si="275"/>
        <v>1093920</v>
      </c>
      <c r="Z81" s="3" t="str">
        <f t="shared" si="276"/>
        <v/>
      </c>
      <c r="AA81" s="4" t="str">
        <f t="shared" si="277"/>
        <v/>
      </c>
      <c r="AB81" s="386" t="str">
        <f t="shared" si="278"/>
        <v/>
      </c>
      <c r="AC81" s="386">
        <f t="shared" si="279"/>
        <v>0</v>
      </c>
      <c r="AD81" s="386" t="str">
        <f t="shared" si="280"/>
        <v/>
      </c>
      <c r="AE81" s="387" t="str">
        <f t="shared" si="281"/>
        <v/>
      </c>
      <c r="AF81" s="682">
        <f t="shared" si="282"/>
        <v>0</v>
      </c>
      <c r="AG81" s="4">
        <f t="shared" si="283"/>
        <v>550</v>
      </c>
      <c r="AH81" s="386">
        <f t="shared" si="284"/>
        <v>725</v>
      </c>
      <c r="AI81" s="386">
        <f t="shared" ref="AI81:AI127" si="359">SUM(AG81:AH81)</f>
        <v>1275</v>
      </c>
      <c r="AJ81" s="386">
        <f t="shared" si="286"/>
        <v>652.5</v>
      </c>
      <c r="AK81" s="387">
        <f t="shared" si="287"/>
        <v>13050000</v>
      </c>
      <c r="AL81" s="385"/>
      <c r="AM81" s="386"/>
      <c r="AN81" s="386"/>
      <c r="AO81" s="386"/>
      <c r="AP81" s="386"/>
      <c r="AQ81" s="387"/>
      <c r="AR81" s="682" t="str">
        <f t="shared" si="288"/>
        <v/>
      </c>
      <c r="AS81" s="4" t="str">
        <f t="shared" si="289"/>
        <v/>
      </c>
      <c r="AT81" s="386" t="str">
        <f t="shared" si="290"/>
        <v/>
      </c>
      <c r="AU81" s="386">
        <f t="shared" ref="AU81:AU127" si="360">SUM(AS81:AT81)</f>
        <v>0</v>
      </c>
      <c r="AV81" s="386" t="str">
        <f t="shared" si="292"/>
        <v/>
      </c>
      <c r="AW81" s="387" t="str">
        <f t="shared" si="293"/>
        <v/>
      </c>
      <c r="AX81" s="682" t="str">
        <f t="shared" si="294"/>
        <v/>
      </c>
      <c r="AY81" s="4" t="str">
        <f t="shared" si="295"/>
        <v/>
      </c>
      <c r="AZ81" s="386" t="str">
        <f t="shared" si="296"/>
        <v/>
      </c>
      <c r="BA81" s="386">
        <f t="shared" ref="BA81:BA127" si="361">SUM(AY81:AZ81)</f>
        <v>0</v>
      </c>
      <c r="BB81" s="386" t="str">
        <f t="shared" si="298"/>
        <v/>
      </c>
      <c r="BC81" s="387" t="str">
        <f t="shared" si="299"/>
        <v/>
      </c>
      <c r="BD81" s="682">
        <f t="shared" si="300"/>
        <v>0</v>
      </c>
      <c r="BE81" s="4">
        <f t="shared" si="301"/>
        <v>323</v>
      </c>
      <c r="BF81" s="386">
        <f t="shared" si="302"/>
        <v>0</v>
      </c>
      <c r="BG81" s="386">
        <f t="shared" ref="BG81:BG127" si="362">SUM(BE81:BF81)</f>
        <v>323</v>
      </c>
      <c r="BH81" s="386">
        <f t="shared" si="303"/>
        <v>384</v>
      </c>
      <c r="BI81" s="387">
        <f t="shared" si="304"/>
        <v>6554100</v>
      </c>
      <c r="BJ81" s="682" t="str">
        <f t="shared" si="305"/>
        <v/>
      </c>
      <c r="BK81" s="4" t="str">
        <f t="shared" si="306"/>
        <v/>
      </c>
      <c r="BL81" s="386" t="str">
        <f t="shared" si="307"/>
        <v/>
      </c>
      <c r="BM81" s="386">
        <f t="shared" ref="BM81:BM127" si="363">SUM(BK81:BL81)</f>
        <v>0</v>
      </c>
      <c r="BN81" s="386" t="str">
        <f t="shared" si="308"/>
        <v/>
      </c>
      <c r="BO81" s="387" t="str">
        <f t="shared" si="309"/>
        <v/>
      </c>
      <c r="BP81" s="682">
        <f t="shared" si="310"/>
        <v>0</v>
      </c>
      <c r="BQ81" s="4">
        <f t="shared" si="311"/>
        <v>250</v>
      </c>
      <c r="BR81" s="386">
        <f t="shared" si="312"/>
        <v>860</v>
      </c>
      <c r="BS81" s="386">
        <f t="shared" ref="BS81:BS127" si="364">SUM(BQ81:BR81)</f>
        <v>1110</v>
      </c>
      <c r="BT81" s="386">
        <f t="shared" si="314"/>
        <v>374.49</v>
      </c>
      <c r="BU81" s="387">
        <f t="shared" si="315"/>
        <v>4868370</v>
      </c>
      <c r="BV81" s="682" t="str">
        <f t="shared" si="316"/>
        <v/>
      </c>
      <c r="BW81" s="4" t="str">
        <f t="shared" si="317"/>
        <v/>
      </c>
      <c r="BX81" s="386" t="str">
        <f t="shared" si="318"/>
        <v/>
      </c>
      <c r="BY81" s="386">
        <f t="shared" si="258"/>
        <v>0</v>
      </c>
      <c r="BZ81" s="386" t="str">
        <f t="shared" si="319"/>
        <v/>
      </c>
      <c r="CA81" s="387" t="str">
        <f t="shared" si="320"/>
        <v/>
      </c>
      <c r="CB81" s="682" t="str">
        <f t="shared" si="321"/>
        <v/>
      </c>
      <c r="CC81" s="4" t="str">
        <f t="shared" si="322"/>
        <v/>
      </c>
      <c r="CD81" s="386" t="str">
        <f t="shared" si="323"/>
        <v/>
      </c>
      <c r="CE81" s="386">
        <f t="shared" si="259"/>
        <v>0</v>
      </c>
      <c r="CF81" s="386" t="str">
        <f t="shared" si="324"/>
        <v/>
      </c>
      <c r="CG81" s="387" t="str">
        <f t="shared" si="325"/>
        <v/>
      </c>
      <c r="CH81" s="682">
        <f t="shared" si="326"/>
        <v>0</v>
      </c>
      <c r="CI81" s="4">
        <f t="shared" si="327"/>
        <v>0</v>
      </c>
      <c r="CJ81" s="386">
        <f t="shared" si="328"/>
        <v>525</v>
      </c>
      <c r="CK81" s="386">
        <f t="shared" ref="CK81:CK127" si="365">SUM(CI81:CJ81)</f>
        <v>525</v>
      </c>
      <c r="CL81" s="386">
        <f t="shared" si="330"/>
        <v>214.24000000000004</v>
      </c>
      <c r="CM81" s="387">
        <f t="shared" si="331"/>
        <v>5021785.6000000006</v>
      </c>
      <c r="CN81" s="682">
        <f t="shared" si="332"/>
        <v>0</v>
      </c>
      <c r="CO81" s="4">
        <f t="shared" si="333"/>
        <v>20</v>
      </c>
      <c r="CP81" s="386">
        <f t="shared" si="334"/>
        <v>930</v>
      </c>
      <c r="CQ81" s="386">
        <f t="shared" ref="CQ81:CQ127" si="366">SUM(CO81:CP81)</f>
        <v>950</v>
      </c>
      <c r="CR81" s="386">
        <f t="shared" si="336"/>
        <v>275.97500000000002</v>
      </c>
      <c r="CS81" s="387">
        <f t="shared" si="337"/>
        <v>4796445.5</v>
      </c>
      <c r="CT81" s="682" t="str">
        <f t="shared" si="338"/>
        <v/>
      </c>
      <c r="CU81" s="4" t="str">
        <f t="shared" si="339"/>
        <v/>
      </c>
      <c r="CV81" s="386" t="str">
        <f t="shared" si="340"/>
        <v/>
      </c>
      <c r="CW81" s="386">
        <f t="shared" si="260"/>
        <v>0</v>
      </c>
      <c r="CX81" s="386" t="str">
        <f t="shared" si="341"/>
        <v/>
      </c>
      <c r="CY81" s="387" t="str">
        <f t="shared" si="342"/>
        <v/>
      </c>
      <c r="CZ81" s="682" t="str">
        <f t="shared" si="343"/>
        <v/>
      </c>
      <c r="DA81" s="4" t="str">
        <f t="shared" si="344"/>
        <v/>
      </c>
      <c r="DB81" s="386" t="str">
        <f t="shared" si="345"/>
        <v/>
      </c>
      <c r="DC81" s="386">
        <f t="shared" si="261"/>
        <v>0</v>
      </c>
      <c r="DD81" s="386" t="str">
        <f t="shared" si="346"/>
        <v/>
      </c>
      <c r="DE81" s="387" t="str">
        <f t="shared" si="347"/>
        <v/>
      </c>
      <c r="DF81" s="682">
        <f t="shared" si="348"/>
        <v>0</v>
      </c>
      <c r="DG81" s="4">
        <f t="shared" si="349"/>
        <v>14</v>
      </c>
      <c r="DH81" s="386">
        <f t="shared" si="350"/>
        <v>365</v>
      </c>
      <c r="DI81" s="386">
        <f t="shared" ref="DI81:DI127" si="367">SUM(DG81:DH81)</f>
        <v>379</v>
      </c>
      <c r="DJ81" s="386">
        <f t="shared" si="352"/>
        <v>168.26500000000001</v>
      </c>
      <c r="DK81" s="387">
        <f t="shared" si="353"/>
        <v>3004969.1500000008</v>
      </c>
      <c r="DL81" s="682"/>
      <c r="DM81" s="4">
        <f t="shared" si="354"/>
        <v>0</v>
      </c>
      <c r="DN81" s="386">
        <f t="shared" si="355"/>
        <v>140</v>
      </c>
      <c r="DO81" s="386">
        <f t="shared" ref="DO81:DO127" si="368">SUM(DM81:DN81)</f>
        <v>140</v>
      </c>
      <c r="DP81" s="386">
        <f t="shared" si="357"/>
        <v>121.79999999999998</v>
      </c>
      <c r="DQ81" s="387">
        <f t="shared" si="358"/>
        <v>340060</v>
      </c>
    </row>
    <row r="82" spans="1:121" x14ac:dyDescent="0.25">
      <c r="A82" t="s">
        <v>277</v>
      </c>
      <c r="B82" t="s">
        <v>33</v>
      </c>
      <c r="C82" s="383" t="s">
        <v>34</v>
      </c>
      <c r="D82" t="s">
        <v>270</v>
      </c>
      <c r="E82" s="383" t="s">
        <v>271</v>
      </c>
      <c r="F82" t="s">
        <v>278</v>
      </c>
      <c r="G82" s="383" t="s">
        <v>279</v>
      </c>
      <c r="H82" s="385" t="str">
        <f t="shared" si="264"/>
        <v/>
      </c>
      <c r="I82" s="386" t="str">
        <f t="shared" si="265"/>
        <v/>
      </c>
      <c r="J82" s="386" t="str">
        <f t="shared" si="266"/>
        <v/>
      </c>
      <c r="K82" s="386">
        <f t="shared" si="267"/>
        <v>0</v>
      </c>
      <c r="L82" s="386" t="str">
        <f t="shared" si="268"/>
        <v/>
      </c>
      <c r="M82" s="387" t="str">
        <f t="shared" si="269"/>
        <v/>
      </c>
      <c r="N82" s="385"/>
      <c r="O82" s="386"/>
      <c r="P82" s="386"/>
      <c r="Q82" s="386"/>
      <c r="R82" s="386"/>
      <c r="S82" s="387"/>
      <c r="T82" s="385">
        <f t="shared" si="270"/>
        <v>52</v>
      </c>
      <c r="U82" s="386">
        <f t="shared" si="271"/>
        <v>0</v>
      </c>
      <c r="V82" s="386">
        <f t="shared" si="272"/>
        <v>49.7</v>
      </c>
      <c r="W82" s="386">
        <f t="shared" si="273"/>
        <v>49.7</v>
      </c>
      <c r="X82" s="386">
        <f t="shared" si="274"/>
        <v>79.415000000000006</v>
      </c>
      <c r="Y82" s="387">
        <f t="shared" si="275"/>
        <v>1270640</v>
      </c>
      <c r="Z82" s="3">
        <f t="shared" si="276"/>
        <v>5238</v>
      </c>
      <c r="AA82" s="4">
        <f t="shared" si="277"/>
        <v>0</v>
      </c>
      <c r="AB82" s="386">
        <f t="shared" si="278"/>
        <v>100</v>
      </c>
      <c r="AC82" s="386">
        <f t="shared" si="279"/>
        <v>100</v>
      </c>
      <c r="AD82" s="386" t="str">
        <f t="shared" si="280"/>
        <v/>
      </c>
      <c r="AE82" s="387">
        <f t="shared" si="281"/>
        <v>1174500</v>
      </c>
      <c r="AF82" s="682">
        <f t="shared" si="282"/>
        <v>0</v>
      </c>
      <c r="AG82" s="4">
        <f t="shared" si="283"/>
        <v>0</v>
      </c>
      <c r="AH82" s="386">
        <f t="shared" si="284"/>
        <v>2356</v>
      </c>
      <c r="AI82" s="386">
        <f t="shared" si="359"/>
        <v>2356</v>
      </c>
      <c r="AJ82" s="386">
        <f t="shared" si="286"/>
        <v>3403.4399999999996</v>
      </c>
      <c r="AK82" s="387">
        <f t="shared" si="287"/>
        <v>68068800</v>
      </c>
      <c r="AL82" s="385"/>
      <c r="AM82" s="386"/>
      <c r="AN82" s="386"/>
      <c r="AO82" s="386"/>
      <c r="AP82" s="386"/>
      <c r="AQ82" s="387"/>
      <c r="AR82" s="682">
        <f t="shared" si="288"/>
        <v>163</v>
      </c>
      <c r="AS82" s="4">
        <f t="shared" si="289"/>
        <v>0</v>
      </c>
      <c r="AT82" s="386">
        <f t="shared" si="290"/>
        <v>765</v>
      </c>
      <c r="AU82" s="386">
        <f t="shared" si="360"/>
        <v>765</v>
      </c>
      <c r="AV82" s="386">
        <f t="shared" si="292"/>
        <v>540.40250000000003</v>
      </c>
      <c r="AW82" s="387">
        <f t="shared" si="293"/>
        <v>9186842.5</v>
      </c>
      <c r="AX82" s="682" t="str">
        <f t="shared" si="294"/>
        <v/>
      </c>
      <c r="AY82" s="4" t="str">
        <f t="shared" si="295"/>
        <v/>
      </c>
      <c r="AZ82" s="386" t="str">
        <f t="shared" si="296"/>
        <v/>
      </c>
      <c r="BA82" s="386">
        <f t="shared" si="361"/>
        <v>0</v>
      </c>
      <c r="BB82" s="386" t="str">
        <f t="shared" si="298"/>
        <v/>
      </c>
      <c r="BC82" s="387" t="str">
        <f t="shared" si="299"/>
        <v/>
      </c>
      <c r="BD82" s="682" t="str">
        <f t="shared" si="300"/>
        <v/>
      </c>
      <c r="BE82" s="4" t="str">
        <f t="shared" si="301"/>
        <v/>
      </c>
      <c r="BF82" s="386" t="str">
        <f t="shared" si="302"/>
        <v/>
      </c>
      <c r="BG82" s="386">
        <f t="shared" si="362"/>
        <v>0</v>
      </c>
      <c r="BH82" s="386" t="str">
        <f t="shared" si="303"/>
        <v/>
      </c>
      <c r="BI82" s="387" t="str">
        <f t="shared" si="304"/>
        <v/>
      </c>
      <c r="BJ82" s="682" t="str">
        <f t="shared" si="305"/>
        <v/>
      </c>
      <c r="BK82" s="4" t="str">
        <f t="shared" si="306"/>
        <v/>
      </c>
      <c r="BL82" s="386" t="str">
        <f t="shared" si="307"/>
        <v/>
      </c>
      <c r="BM82" s="386">
        <f t="shared" si="363"/>
        <v>0</v>
      </c>
      <c r="BN82" s="386" t="str">
        <f t="shared" si="308"/>
        <v/>
      </c>
      <c r="BO82" s="387" t="str">
        <f t="shared" si="309"/>
        <v/>
      </c>
      <c r="BP82" s="682">
        <f t="shared" si="310"/>
        <v>0</v>
      </c>
      <c r="BQ82" s="4">
        <f t="shared" si="311"/>
        <v>0</v>
      </c>
      <c r="BR82" s="386">
        <f t="shared" si="312"/>
        <v>4364.5</v>
      </c>
      <c r="BS82" s="386">
        <f t="shared" si="364"/>
        <v>4364.5</v>
      </c>
      <c r="BT82" s="386">
        <f t="shared" si="314"/>
        <v>2006.0032500000002</v>
      </c>
      <c r="BU82" s="387">
        <f t="shared" si="315"/>
        <v>26078042.25</v>
      </c>
      <c r="BV82" s="682" t="str">
        <f t="shared" si="316"/>
        <v/>
      </c>
      <c r="BW82" s="4" t="str">
        <f t="shared" si="317"/>
        <v/>
      </c>
      <c r="BX82" s="386" t="str">
        <f t="shared" si="318"/>
        <v/>
      </c>
      <c r="BY82" s="386">
        <f t="shared" si="258"/>
        <v>0</v>
      </c>
      <c r="BZ82" s="386" t="str">
        <f t="shared" si="319"/>
        <v/>
      </c>
      <c r="CA82" s="387" t="str">
        <f t="shared" si="320"/>
        <v/>
      </c>
      <c r="CB82" s="682" t="str">
        <f t="shared" si="321"/>
        <v/>
      </c>
      <c r="CC82" s="4" t="str">
        <f t="shared" si="322"/>
        <v/>
      </c>
      <c r="CD82" s="386" t="str">
        <f t="shared" si="323"/>
        <v/>
      </c>
      <c r="CE82" s="386">
        <f t="shared" si="259"/>
        <v>0</v>
      </c>
      <c r="CF82" s="386" t="str">
        <f t="shared" si="324"/>
        <v/>
      </c>
      <c r="CG82" s="387" t="str">
        <f t="shared" si="325"/>
        <v/>
      </c>
      <c r="CH82" s="682">
        <f t="shared" si="326"/>
        <v>0</v>
      </c>
      <c r="CI82" s="4">
        <f t="shared" si="327"/>
        <v>0</v>
      </c>
      <c r="CJ82" s="386">
        <f t="shared" si="328"/>
        <v>219</v>
      </c>
      <c r="CK82" s="386">
        <f t="shared" si="365"/>
        <v>219</v>
      </c>
      <c r="CL82" s="386">
        <f t="shared" si="330"/>
        <v>91.104000000000013</v>
      </c>
      <c r="CM82" s="387">
        <f t="shared" si="331"/>
        <v>2135477.7600000002</v>
      </c>
      <c r="CN82" s="682">
        <f t="shared" si="332"/>
        <v>0</v>
      </c>
      <c r="CO82" s="4">
        <f t="shared" si="333"/>
        <v>20</v>
      </c>
      <c r="CP82" s="386">
        <f t="shared" si="334"/>
        <v>287.2</v>
      </c>
      <c r="CQ82" s="386">
        <f t="shared" si="366"/>
        <v>307.2</v>
      </c>
      <c r="CR82" s="386">
        <f t="shared" si="336"/>
        <v>90.801839999999999</v>
      </c>
      <c r="CS82" s="387">
        <f t="shared" si="337"/>
        <v>1578135.9791999999</v>
      </c>
      <c r="CT82" s="682" t="str">
        <f t="shared" si="338"/>
        <v/>
      </c>
      <c r="CU82" s="4" t="str">
        <f t="shared" si="339"/>
        <v/>
      </c>
      <c r="CV82" s="386" t="str">
        <f t="shared" si="340"/>
        <v/>
      </c>
      <c r="CW82" s="386">
        <f t="shared" si="260"/>
        <v>0</v>
      </c>
      <c r="CX82" s="386" t="str">
        <f t="shared" si="341"/>
        <v/>
      </c>
      <c r="CY82" s="387" t="str">
        <f t="shared" si="342"/>
        <v/>
      </c>
      <c r="CZ82" s="682" t="str">
        <f t="shared" si="343"/>
        <v/>
      </c>
      <c r="DA82" s="4" t="str">
        <f t="shared" si="344"/>
        <v/>
      </c>
      <c r="DB82" s="386" t="str">
        <f t="shared" si="345"/>
        <v/>
      </c>
      <c r="DC82" s="386">
        <f t="shared" si="261"/>
        <v>0</v>
      </c>
      <c r="DD82" s="386" t="str">
        <f t="shared" si="346"/>
        <v/>
      </c>
      <c r="DE82" s="387" t="str">
        <f t="shared" si="347"/>
        <v/>
      </c>
      <c r="DF82" s="682" t="str">
        <f t="shared" si="348"/>
        <v/>
      </c>
      <c r="DG82" s="4" t="str">
        <f t="shared" si="349"/>
        <v/>
      </c>
      <c r="DH82" s="386" t="str">
        <f t="shared" si="350"/>
        <v/>
      </c>
      <c r="DI82" s="386">
        <f t="shared" si="367"/>
        <v>0</v>
      </c>
      <c r="DJ82" s="386" t="str">
        <f t="shared" si="352"/>
        <v/>
      </c>
      <c r="DK82" s="387" t="str">
        <f t="shared" si="353"/>
        <v/>
      </c>
      <c r="DL82" s="682"/>
      <c r="DM82" s="4" t="str">
        <f t="shared" si="354"/>
        <v/>
      </c>
      <c r="DN82" s="386" t="str">
        <f t="shared" si="355"/>
        <v/>
      </c>
      <c r="DO82" s="386">
        <f t="shared" si="368"/>
        <v>0</v>
      </c>
      <c r="DP82" s="386" t="str">
        <f t="shared" si="357"/>
        <v/>
      </c>
      <c r="DQ82" s="387" t="str">
        <f t="shared" si="358"/>
        <v/>
      </c>
    </row>
    <row r="83" spans="1:121" x14ac:dyDescent="0.25">
      <c r="A83" t="s">
        <v>280</v>
      </c>
      <c r="B83" t="s">
        <v>33</v>
      </c>
      <c r="C83" s="383" t="s">
        <v>34</v>
      </c>
      <c r="D83" t="s">
        <v>270</v>
      </c>
      <c r="E83" s="383" t="s">
        <v>271</v>
      </c>
      <c r="F83" t="s">
        <v>281</v>
      </c>
      <c r="G83" s="383" t="s">
        <v>282</v>
      </c>
      <c r="H83" s="385" t="str">
        <f t="shared" si="264"/>
        <v/>
      </c>
      <c r="I83" s="386" t="str">
        <f t="shared" si="265"/>
        <v/>
      </c>
      <c r="J83" s="386" t="str">
        <f t="shared" si="266"/>
        <v/>
      </c>
      <c r="K83" s="386">
        <f t="shared" si="267"/>
        <v>0</v>
      </c>
      <c r="L83" s="386" t="str">
        <f t="shared" si="268"/>
        <v/>
      </c>
      <c r="M83" s="387" t="str">
        <f t="shared" si="269"/>
        <v/>
      </c>
      <c r="N83" s="385"/>
      <c r="O83" s="386"/>
      <c r="P83" s="386"/>
      <c r="Q83" s="386"/>
      <c r="R83" s="386"/>
      <c r="S83" s="387"/>
      <c r="T83" s="385" t="str">
        <f t="shared" si="270"/>
        <v/>
      </c>
      <c r="U83" s="386" t="str">
        <f t="shared" si="271"/>
        <v/>
      </c>
      <c r="V83" s="386" t="str">
        <f t="shared" si="272"/>
        <v/>
      </c>
      <c r="W83" s="386">
        <f t="shared" si="273"/>
        <v>0</v>
      </c>
      <c r="X83" s="386" t="str">
        <f t="shared" si="274"/>
        <v/>
      </c>
      <c r="Y83" s="387" t="str">
        <f t="shared" si="275"/>
        <v/>
      </c>
      <c r="Z83" s="3" t="str">
        <f t="shared" si="276"/>
        <v/>
      </c>
      <c r="AA83" s="4" t="str">
        <f t="shared" si="277"/>
        <v/>
      </c>
      <c r="AB83" s="386" t="str">
        <f t="shared" si="278"/>
        <v/>
      </c>
      <c r="AC83" s="386">
        <f t="shared" si="279"/>
        <v>0</v>
      </c>
      <c r="AD83" s="386" t="str">
        <f t="shared" si="280"/>
        <v/>
      </c>
      <c r="AE83" s="387" t="str">
        <f t="shared" si="281"/>
        <v/>
      </c>
      <c r="AF83" s="682">
        <f t="shared" si="282"/>
        <v>0</v>
      </c>
      <c r="AG83" s="4">
        <f t="shared" si="283"/>
        <v>0</v>
      </c>
      <c r="AH83" s="386">
        <f t="shared" si="284"/>
        <v>567</v>
      </c>
      <c r="AI83" s="386">
        <f t="shared" si="359"/>
        <v>567</v>
      </c>
      <c r="AJ83" s="386">
        <f t="shared" si="286"/>
        <v>658.58999999999992</v>
      </c>
      <c r="AK83" s="387">
        <f t="shared" si="287"/>
        <v>13171800</v>
      </c>
      <c r="AL83" s="385"/>
      <c r="AM83" s="386"/>
      <c r="AN83" s="386"/>
      <c r="AO83" s="386"/>
      <c r="AP83" s="386"/>
      <c r="AQ83" s="387"/>
      <c r="AR83" s="682">
        <f t="shared" si="288"/>
        <v>120</v>
      </c>
      <c r="AS83" s="4">
        <f t="shared" si="289"/>
        <v>0</v>
      </c>
      <c r="AT83" s="386">
        <f t="shared" si="290"/>
        <v>187.75</v>
      </c>
      <c r="AU83" s="386">
        <f t="shared" si="360"/>
        <v>187.75</v>
      </c>
      <c r="AV83" s="386">
        <f t="shared" si="292"/>
        <v>88.805750000000018</v>
      </c>
      <c r="AW83" s="387">
        <f t="shared" si="293"/>
        <v>1509697.7500000002</v>
      </c>
      <c r="AX83" s="682" t="str">
        <f t="shared" si="294"/>
        <v/>
      </c>
      <c r="AY83" s="4" t="str">
        <f t="shared" si="295"/>
        <v/>
      </c>
      <c r="AZ83" s="386" t="str">
        <f t="shared" si="296"/>
        <v/>
      </c>
      <c r="BA83" s="386">
        <f t="shared" si="361"/>
        <v>0</v>
      </c>
      <c r="BB83" s="386" t="str">
        <f t="shared" si="298"/>
        <v/>
      </c>
      <c r="BC83" s="387" t="str">
        <f t="shared" si="299"/>
        <v/>
      </c>
      <c r="BD83" s="682" t="str">
        <f t="shared" si="300"/>
        <v/>
      </c>
      <c r="BE83" s="4" t="str">
        <f t="shared" si="301"/>
        <v/>
      </c>
      <c r="BF83" s="386" t="str">
        <f t="shared" si="302"/>
        <v/>
      </c>
      <c r="BG83" s="386">
        <f t="shared" si="362"/>
        <v>0</v>
      </c>
      <c r="BH83" s="386" t="str">
        <f t="shared" si="303"/>
        <v/>
      </c>
      <c r="BI83" s="387" t="str">
        <f t="shared" si="304"/>
        <v/>
      </c>
      <c r="BJ83" s="682" t="str">
        <f t="shared" si="305"/>
        <v/>
      </c>
      <c r="BK83" s="4" t="str">
        <f t="shared" si="306"/>
        <v/>
      </c>
      <c r="BL83" s="386" t="str">
        <f t="shared" si="307"/>
        <v/>
      </c>
      <c r="BM83" s="386">
        <f t="shared" si="363"/>
        <v>0</v>
      </c>
      <c r="BN83" s="386" t="str">
        <f t="shared" si="308"/>
        <v/>
      </c>
      <c r="BO83" s="387" t="str">
        <f t="shared" si="309"/>
        <v/>
      </c>
      <c r="BP83" s="682">
        <f t="shared" si="310"/>
        <v>0</v>
      </c>
      <c r="BQ83" s="4">
        <f t="shared" si="311"/>
        <v>0</v>
      </c>
      <c r="BR83" s="386">
        <f t="shared" si="312"/>
        <v>2342.5</v>
      </c>
      <c r="BS83" s="386">
        <f t="shared" si="364"/>
        <v>2342.5</v>
      </c>
      <c r="BT83" s="386">
        <f t="shared" si="314"/>
        <v>977.39499999999998</v>
      </c>
      <c r="BU83" s="387">
        <f t="shared" si="315"/>
        <v>12706135</v>
      </c>
      <c r="BV83" s="682" t="str">
        <f t="shared" si="316"/>
        <v/>
      </c>
      <c r="BW83" s="4" t="str">
        <f t="shared" si="317"/>
        <v/>
      </c>
      <c r="BX83" s="386" t="str">
        <f t="shared" si="318"/>
        <v/>
      </c>
      <c r="BY83" s="386">
        <f t="shared" si="258"/>
        <v>0</v>
      </c>
      <c r="BZ83" s="386" t="str">
        <f t="shared" si="319"/>
        <v/>
      </c>
      <c r="CA83" s="387" t="str">
        <f t="shared" si="320"/>
        <v/>
      </c>
      <c r="CB83" s="682" t="str">
        <f t="shared" si="321"/>
        <v/>
      </c>
      <c r="CC83" s="4" t="str">
        <f t="shared" si="322"/>
        <v/>
      </c>
      <c r="CD83" s="386" t="str">
        <f t="shared" si="323"/>
        <v/>
      </c>
      <c r="CE83" s="386">
        <f t="shared" si="259"/>
        <v>0</v>
      </c>
      <c r="CF83" s="386" t="str">
        <f t="shared" si="324"/>
        <v/>
      </c>
      <c r="CG83" s="387" t="str">
        <f t="shared" si="325"/>
        <v/>
      </c>
      <c r="CH83" s="682">
        <f t="shared" si="326"/>
        <v>0</v>
      </c>
      <c r="CI83" s="4">
        <f t="shared" si="327"/>
        <v>0</v>
      </c>
      <c r="CJ83" s="386">
        <f t="shared" si="328"/>
        <v>150</v>
      </c>
      <c r="CK83" s="386">
        <f t="shared" si="365"/>
        <v>150</v>
      </c>
      <c r="CL83" s="386">
        <f t="shared" si="330"/>
        <v>62.400000000000006</v>
      </c>
      <c r="CM83" s="387">
        <f t="shared" si="331"/>
        <v>1462656.0000000002</v>
      </c>
      <c r="CN83" s="682" t="str">
        <f t="shared" si="332"/>
        <v/>
      </c>
      <c r="CO83" s="4" t="str">
        <f t="shared" si="333"/>
        <v/>
      </c>
      <c r="CP83" s="386" t="str">
        <f t="shared" si="334"/>
        <v/>
      </c>
      <c r="CQ83" s="386">
        <f t="shared" si="366"/>
        <v>0</v>
      </c>
      <c r="CR83" s="386" t="str">
        <f t="shared" si="336"/>
        <v/>
      </c>
      <c r="CS83" s="387" t="str">
        <f t="shared" si="337"/>
        <v/>
      </c>
      <c r="CT83" s="682" t="str">
        <f t="shared" si="338"/>
        <v/>
      </c>
      <c r="CU83" s="4" t="str">
        <f t="shared" si="339"/>
        <v/>
      </c>
      <c r="CV83" s="386" t="str">
        <f t="shared" si="340"/>
        <v/>
      </c>
      <c r="CW83" s="386">
        <f t="shared" si="260"/>
        <v>0</v>
      </c>
      <c r="CX83" s="386" t="str">
        <f t="shared" si="341"/>
        <v/>
      </c>
      <c r="CY83" s="387" t="str">
        <f t="shared" si="342"/>
        <v/>
      </c>
      <c r="CZ83" s="682" t="str">
        <f t="shared" si="343"/>
        <v/>
      </c>
      <c r="DA83" s="4" t="str">
        <f t="shared" si="344"/>
        <v/>
      </c>
      <c r="DB83" s="386" t="str">
        <f t="shared" si="345"/>
        <v/>
      </c>
      <c r="DC83" s="386">
        <f t="shared" si="261"/>
        <v>0</v>
      </c>
      <c r="DD83" s="386" t="str">
        <f t="shared" si="346"/>
        <v/>
      </c>
      <c r="DE83" s="387" t="str">
        <f t="shared" si="347"/>
        <v/>
      </c>
      <c r="DF83" s="682">
        <f t="shared" si="348"/>
        <v>0</v>
      </c>
      <c r="DG83" s="4">
        <f t="shared" si="349"/>
        <v>0</v>
      </c>
      <c r="DH83" s="386">
        <f t="shared" si="350"/>
        <v>571</v>
      </c>
      <c r="DI83" s="386">
        <f t="shared" si="367"/>
        <v>571</v>
      </c>
      <c r="DJ83" s="386">
        <f t="shared" si="352"/>
        <v>263.23100000000005</v>
      </c>
      <c r="DK83" s="387">
        <f t="shared" si="353"/>
        <v>4661821.0100000016</v>
      </c>
      <c r="DL83" s="682"/>
      <c r="DM83" s="4" t="str">
        <f t="shared" si="354"/>
        <v/>
      </c>
      <c r="DN83" s="386" t="str">
        <f t="shared" si="355"/>
        <v/>
      </c>
      <c r="DO83" s="386">
        <f t="shared" si="368"/>
        <v>0</v>
      </c>
      <c r="DP83" s="386" t="str">
        <f t="shared" si="357"/>
        <v/>
      </c>
      <c r="DQ83" s="387" t="str">
        <f t="shared" si="358"/>
        <v/>
      </c>
    </row>
    <row r="84" spans="1:121" x14ac:dyDescent="0.25">
      <c r="A84" t="s">
        <v>283</v>
      </c>
      <c r="B84" t="s">
        <v>33</v>
      </c>
      <c r="C84" s="383" t="s">
        <v>34</v>
      </c>
      <c r="D84" t="s">
        <v>270</v>
      </c>
      <c r="E84" s="383" t="s">
        <v>271</v>
      </c>
      <c r="F84" t="s">
        <v>284</v>
      </c>
      <c r="G84" s="383" t="s">
        <v>285</v>
      </c>
      <c r="H84" s="385" t="str">
        <f t="shared" si="264"/>
        <v/>
      </c>
      <c r="I84" s="386" t="str">
        <f t="shared" si="265"/>
        <v/>
      </c>
      <c r="J84" s="386" t="str">
        <f t="shared" si="266"/>
        <v/>
      </c>
      <c r="K84" s="386">
        <f t="shared" si="267"/>
        <v>0</v>
      </c>
      <c r="L84" s="386" t="str">
        <f t="shared" si="268"/>
        <v/>
      </c>
      <c r="M84" s="387" t="str">
        <f t="shared" si="269"/>
        <v/>
      </c>
      <c r="N84" s="385"/>
      <c r="O84" s="386"/>
      <c r="P84" s="386"/>
      <c r="Q84" s="386"/>
      <c r="R84" s="386"/>
      <c r="S84" s="387"/>
      <c r="T84" s="385" t="str">
        <f t="shared" si="270"/>
        <v/>
      </c>
      <c r="U84" s="386" t="str">
        <f t="shared" si="271"/>
        <v/>
      </c>
      <c r="V84" s="386" t="str">
        <f t="shared" si="272"/>
        <v/>
      </c>
      <c r="W84" s="386">
        <f t="shared" si="273"/>
        <v>0</v>
      </c>
      <c r="X84" s="386" t="str">
        <f t="shared" si="274"/>
        <v/>
      </c>
      <c r="Y84" s="387" t="str">
        <f t="shared" si="275"/>
        <v/>
      </c>
      <c r="Z84" s="3" t="str">
        <f t="shared" si="276"/>
        <v/>
      </c>
      <c r="AA84" s="4" t="str">
        <f t="shared" si="277"/>
        <v/>
      </c>
      <c r="AB84" s="386" t="str">
        <f t="shared" si="278"/>
        <v/>
      </c>
      <c r="AC84" s="386">
        <f t="shared" si="279"/>
        <v>0</v>
      </c>
      <c r="AD84" s="386" t="str">
        <f t="shared" si="280"/>
        <v/>
      </c>
      <c r="AE84" s="387" t="str">
        <f t="shared" si="281"/>
        <v/>
      </c>
      <c r="AF84" s="682" t="str">
        <f t="shared" si="282"/>
        <v/>
      </c>
      <c r="AG84" s="4" t="str">
        <f t="shared" si="283"/>
        <v/>
      </c>
      <c r="AH84" s="386" t="str">
        <f t="shared" si="284"/>
        <v/>
      </c>
      <c r="AI84" s="386">
        <f t="shared" si="359"/>
        <v>0</v>
      </c>
      <c r="AJ84" s="386" t="str">
        <f t="shared" si="286"/>
        <v/>
      </c>
      <c r="AK84" s="387" t="str">
        <f t="shared" si="287"/>
        <v/>
      </c>
      <c r="AL84" s="385"/>
      <c r="AM84" s="386"/>
      <c r="AN84" s="386"/>
      <c r="AO84" s="386"/>
      <c r="AP84" s="386"/>
      <c r="AQ84" s="387"/>
      <c r="AR84" s="682">
        <f t="shared" si="288"/>
        <v>0</v>
      </c>
      <c r="AS84" s="4">
        <f t="shared" si="289"/>
        <v>0</v>
      </c>
      <c r="AT84" s="386">
        <f t="shared" si="290"/>
        <v>1125</v>
      </c>
      <c r="AU84" s="386">
        <f t="shared" si="360"/>
        <v>1125</v>
      </c>
      <c r="AV84" s="386">
        <f t="shared" si="292"/>
        <v>798.18750000000011</v>
      </c>
      <c r="AW84" s="387">
        <f t="shared" si="293"/>
        <v>13569187.500000002</v>
      </c>
      <c r="AX84" s="682" t="str">
        <f t="shared" si="294"/>
        <v/>
      </c>
      <c r="AY84" s="4" t="str">
        <f t="shared" si="295"/>
        <v/>
      </c>
      <c r="AZ84" s="386" t="str">
        <f t="shared" si="296"/>
        <v/>
      </c>
      <c r="BA84" s="386">
        <f t="shared" si="361"/>
        <v>0</v>
      </c>
      <c r="BB84" s="386" t="str">
        <f t="shared" si="298"/>
        <v/>
      </c>
      <c r="BC84" s="387" t="str">
        <f t="shared" si="299"/>
        <v/>
      </c>
      <c r="BD84" s="682" t="str">
        <f t="shared" si="300"/>
        <v/>
      </c>
      <c r="BE84" s="4" t="str">
        <f t="shared" si="301"/>
        <v/>
      </c>
      <c r="BF84" s="386" t="str">
        <f t="shared" si="302"/>
        <v/>
      </c>
      <c r="BG84" s="386">
        <f t="shared" si="362"/>
        <v>0</v>
      </c>
      <c r="BH84" s="386" t="str">
        <f t="shared" si="303"/>
        <v/>
      </c>
      <c r="BI84" s="387" t="str">
        <f t="shared" si="304"/>
        <v/>
      </c>
      <c r="BJ84" s="682" t="str">
        <f t="shared" si="305"/>
        <v/>
      </c>
      <c r="BK84" s="4" t="str">
        <f t="shared" si="306"/>
        <v/>
      </c>
      <c r="BL84" s="386" t="str">
        <f t="shared" si="307"/>
        <v/>
      </c>
      <c r="BM84" s="386">
        <f t="shared" si="363"/>
        <v>0</v>
      </c>
      <c r="BN84" s="386" t="str">
        <f t="shared" si="308"/>
        <v/>
      </c>
      <c r="BO84" s="387" t="str">
        <f t="shared" si="309"/>
        <v/>
      </c>
      <c r="BP84" s="682">
        <f t="shared" si="310"/>
        <v>0</v>
      </c>
      <c r="BQ84" s="4">
        <f t="shared" si="311"/>
        <v>0</v>
      </c>
      <c r="BR84" s="386">
        <f t="shared" si="312"/>
        <v>2659.5</v>
      </c>
      <c r="BS84" s="386">
        <f t="shared" si="364"/>
        <v>2659.5</v>
      </c>
      <c r="BT84" s="386">
        <f t="shared" si="314"/>
        <v>1080.847</v>
      </c>
      <c r="BU84" s="387">
        <f t="shared" si="315"/>
        <v>14051011</v>
      </c>
      <c r="BV84" s="682" t="str">
        <f t="shared" si="316"/>
        <v/>
      </c>
      <c r="BW84" s="4" t="str">
        <f t="shared" si="317"/>
        <v/>
      </c>
      <c r="BX84" s="386" t="str">
        <f t="shared" si="318"/>
        <v/>
      </c>
      <c r="BY84" s="386">
        <f t="shared" si="258"/>
        <v>0</v>
      </c>
      <c r="BZ84" s="386" t="str">
        <f t="shared" si="319"/>
        <v/>
      </c>
      <c r="CA84" s="387" t="str">
        <f t="shared" si="320"/>
        <v/>
      </c>
      <c r="CB84" s="682" t="str">
        <f t="shared" si="321"/>
        <v/>
      </c>
      <c r="CC84" s="4" t="str">
        <f t="shared" si="322"/>
        <v/>
      </c>
      <c r="CD84" s="386" t="str">
        <f t="shared" si="323"/>
        <v/>
      </c>
      <c r="CE84" s="386">
        <f t="shared" si="259"/>
        <v>0</v>
      </c>
      <c r="CF84" s="386" t="str">
        <f t="shared" si="324"/>
        <v/>
      </c>
      <c r="CG84" s="387" t="str">
        <f t="shared" si="325"/>
        <v/>
      </c>
      <c r="CH84" s="682">
        <f t="shared" si="326"/>
        <v>0</v>
      </c>
      <c r="CI84" s="4">
        <f t="shared" si="327"/>
        <v>0</v>
      </c>
      <c r="CJ84" s="386">
        <f t="shared" si="328"/>
        <v>30</v>
      </c>
      <c r="CK84" s="386">
        <f t="shared" si="365"/>
        <v>30</v>
      </c>
      <c r="CL84" s="386">
        <f t="shared" si="330"/>
        <v>12.48</v>
      </c>
      <c r="CM84" s="387">
        <f t="shared" si="331"/>
        <v>292531.20000000001</v>
      </c>
      <c r="CN84" s="682" t="str">
        <f t="shared" si="332"/>
        <v/>
      </c>
      <c r="CO84" s="4" t="str">
        <f t="shared" si="333"/>
        <v/>
      </c>
      <c r="CP84" s="386" t="str">
        <f t="shared" si="334"/>
        <v/>
      </c>
      <c r="CQ84" s="386">
        <f t="shared" si="366"/>
        <v>0</v>
      </c>
      <c r="CR84" s="386" t="str">
        <f t="shared" si="336"/>
        <v/>
      </c>
      <c r="CS84" s="387" t="str">
        <f t="shared" si="337"/>
        <v/>
      </c>
      <c r="CT84" s="682" t="str">
        <f t="shared" si="338"/>
        <v/>
      </c>
      <c r="CU84" s="4" t="str">
        <f t="shared" si="339"/>
        <v/>
      </c>
      <c r="CV84" s="386" t="str">
        <f t="shared" si="340"/>
        <v/>
      </c>
      <c r="CW84" s="386">
        <f t="shared" si="260"/>
        <v>0</v>
      </c>
      <c r="CX84" s="386" t="str">
        <f t="shared" si="341"/>
        <v/>
      </c>
      <c r="CY84" s="387" t="str">
        <f t="shared" si="342"/>
        <v/>
      </c>
      <c r="CZ84" s="682" t="str">
        <f t="shared" si="343"/>
        <v/>
      </c>
      <c r="DA84" s="4" t="str">
        <f t="shared" si="344"/>
        <v/>
      </c>
      <c r="DB84" s="386" t="str">
        <f t="shared" si="345"/>
        <v/>
      </c>
      <c r="DC84" s="386">
        <f t="shared" si="261"/>
        <v>0</v>
      </c>
      <c r="DD84" s="386" t="str">
        <f t="shared" si="346"/>
        <v/>
      </c>
      <c r="DE84" s="387" t="str">
        <f t="shared" si="347"/>
        <v/>
      </c>
      <c r="DF84" s="682">
        <f t="shared" si="348"/>
        <v>0</v>
      </c>
      <c r="DG84" s="4">
        <f t="shared" si="349"/>
        <v>0</v>
      </c>
      <c r="DH84" s="386">
        <f t="shared" si="350"/>
        <v>260</v>
      </c>
      <c r="DI84" s="386">
        <f t="shared" si="367"/>
        <v>260</v>
      </c>
      <c r="DJ84" s="386">
        <f t="shared" si="352"/>
        <v>119.86000000000001</v>
      </c>
      <c r="DK84" s="387">
        <f t="shared" si="353"/>
        <v>2122720.6000000006</v>
      </c>
      <c r="DL84" s="682"/>
      <c r="DM84" s="4" t="str">
        <f t="shared" si="354"/>
        <v/>
      </c>
      <c r="DN84" s="386" t="str">
        <f t="shared" si="355"/>
        <v/>
      </c>
      <c r="DO84" s="386">
        <f t="shared" si="368"/>
        <v>0</v>
      </c>
      <c r="DP84" s="386" t="str">
        <f t="shared" si="357"/>
        <v/>
      </c>
      <c r="DQ84" s="387" t="str">
        <f t="shared" si="358"/>
        <v/>
      </c>
    </row>
    <row r="85" spans="1:121" x14ac:dyDescent="0.25">
      <c r="A85" t="s">
        <v>286</v>
      </c>
      <c r="B85" t="s">
        <v>33</v>
      </c>
      <c r="C85" s="383" t="s">
        <v>34</v>
      </c>
      <c r="D85" t="s">
        <v>270</v>
      </c>
      <c r="E85" s="383" t="s">
        <v>271</v>
      </c>
      <c r="F85" t="s">
        <v>287</v>
      </c>
      <c r="G85" s="383" t="s">
        <v>288</v>
      </c>
      <c r="H85" s="385">
        <f t="shared" si="264"/>
        <v>90</v>
      </c>
      <c r="I85" s="386">
        <f t="shared" si="265"/>
        <v>0</v>
      </c>
      <c r="J85" s="386">
        <f t="shared" si="266"/>
        <v>98.5</v>
      </c>
      <c r="K85" s="386">
        <f t="shared" si="267"/>
        <v>98.5</v>
      </c>
      <c r="L85" s="386">
        <f t="shared" si="268"/>
        <v>124.875</v>
      </c>
      <c r="M85" s="387">
        <f t="shared" si="269"/>
        <v>2060437.5</v>
      </c>
      <c r="N85" s="385"/>
      <c r="O85" s="386"/>
      <c r="P85" s="386"/>
      <c r="Q85" s="386"/>
      <c r="R85" s="386"/>
      <c r="S85" s="387"/>
      <c r="T85" s="385">
        <f t="shared" si="270"/>
        <v>70</v>
      </c>
      <c r="U85" s="386">
        <f t="shared" si="271"/>
        <v>0</v>
      </c>
      <c r="V85" s="386">
        <f t="shared" si="272"/>
        <v>78</v>
      </c>
      <c r="W85" s="386">
        <f t="shared" si="273"/>
        <v>78</v>
      </c>
      <c r="X85" s="386">
        <f t="shared" si="274"/>
        <v>39</v>
      </c>
      <c r="Y85" s="387">
        <f t="shared" si="275"/>
        <v>585000</v>
      </c>
      <c r="Z85" s="3" t="str">
        <f t="shared" si="276"/>
        <v/>
      </c>
      <c r="AA85" s="4" t="str">
        <f t="shared" si="277"/>
        <v/>
      </c>
      <c r="AB85" s="386" t="str">
        <f t="shared" si="278"/>
        <v/>
      </c>
      <c r="AC85" s="386">
        <f t="shared" si="279"/>
        <v>0</v>
      </c>
      <c r="AD85" s="386" t="str">
        <f t="shared" si="280"/>
        <v/>
      </c>
      <c r="AE85" s="387" t="str">
        <f t="shared" si="281"/>
        <v/>
      </c>
      <c r="AF85" s="682">
        <f t="shared" si="282"/>
        <v>0</v>
      </c>
      <c r="AG85" s="4">
        <f t="shared" si="283"/>
        <v>0</v>
      </c>
      <c r="AH85" s="386">
        <f t="shared" si="284"/>
        <v>705.25</v>
      </c>
      <c r="AI85" s="386">
        <f t="shared" si="359"/>
        <v>705.25</v>
      </c>
      <c r="AJ85" s="386">
        <f t="shared" si="286"/>
        <v>761.46749999999997</v>
      </c>
      <c r="AK85" s="387">
        <f t="shared" si="287"/>
        <v>15229350</v>
      </c>
      <c r="AL85" s="385"/>
      <c r="AM85" s="386"/>
      <c r="AN85" s="386"/>
      <c r="AO85" s="386"/>
      <c r="AP85" s="386"/>
      <c r="AQ85" s="387"/>
      <c r="AR85" s="682">
        <f t="shared" si="288"/>
        <v>1490</v>
      </c>
      <c r="AS85" s="4">
        <f t="shared" si="289"/>
        <v>401</v>
      </c>
      <c r="AT85" s="386">
        <f t="shared" si="290"/>
        <v>1074</v>
      </c>
      <c r="AU85" s="386">
        <f t="shared" si="360"/>
        <v>1475</v>
      </c>
      <c r="AV85" s="386">
        <f t="shared" si="292"/>
        <v>3166.7350000000006</v>
      </c>
      <c r="AW85" s="387">
        <f t="shared" si="293"/>
        <v>53834495.000000007</v>
      </c>
      <c r="AX85" s="682" t="str">
        <f t="shared" si="294"/>
        <v/>
      </c>
      <c r="AY85" s="4" t="str">
        <f t="shared" si="295"/>
        <v/>
      </c>
      <c r="AZ85" s="386" t="str">
        <f t="shared" si="296"/>
        <v/>
      </c>
      <c r="BA85" s="386">
        <f t="shared" si="361"/>
        <v>0</v>
      </c>
      <c r="BB85" s="386" t="str">
        <f t="shared" si="298"/>
        <v/>
      </c>
      <c r="BC85" s="387" t="str">
        <f t="shared" si="299"/>
        <v/>
      </c>
      <c r="BD85" s="682" t="str">
        <f t="shared" si="300"/>
        <v/>
      </c>
      <c r="BE85" s="4" t="str">
        <f t="shared" si="301"/>
        <v/>
      </c>
      <c r="BF85" s="386" t="str">
        <f t="shared" si="302"/>
        <v/>
      </c>
      <c r="BG85" s="386">
        <f t="shared" si="362"/>
        <v>0</v>
      </c>
      <c r="BH85" s="386" t="str">
        <f t="shared" si="303"/>
        <v/>
      </c>
      <c r="BI85" s="387" t="str">
        <f t="shared" si="304"/>
        <v/>
      </c>
      <c r="BJ85" s="682" t="str">
        <f t="shared" si="305"/>
        <v/>
      </c>
      <c r="BK85" s="4" t="str">
        <f t="shared" si="306"/>
        <v/>
      </c>
      <c r="BL85" s="386" t="str">
        <f t="shared" si="307"/>
        <v/>
      </c>
      <c r="BM85" s="386">
        <f t="shared" si="363"/>
        <v>0</v>
      </c>
      <c r="BN85" s="386" t="str">
        <f t="shared" si="308"/>
        <v/>
      </c>
      <c r="BO85" s="387" t="str">
        <f t="shared" si="309"/>
        <v/>
      </c>
      <c r="BP85" s="682">
        <f t="shared" si="310"/>
        <v>0</v>
      </c>
      <c r="BQ85" s="4">
        <f t="shared" si="311"/>
        <v>0</v>
      </c>
      <c r="BR85" s="386">
        <f t="shared" si="312"/>
        <v>2375</v>
      </c>
      <c r="BS85" s="386">
        <f t="shared" si="364"/>
        <v>2375</v>
      </c>
      <c r="BT85" s="386">
        <f t="shared" si="314"/>
        <v>1250.1030000000001</v>
      </c>
      <c r="BU85" s="387">
        <f t="shared" si="315"/>
        <v>16251338.999999998</v>
      </c>
      <c r="BV85" s="682" t="str">
        <f t="shared" si="316"/>
        <v/>
      </c>
      <c r="BW85" s="4" t="str">
        <f t="shared" si="317"/>
        <v/>
      </c>
      <c r="BX85" s="386" t="str">
        <f t="shared" si="318"/>
        <v/>
      </c>
      <c r="BY85" s="386">
        <f t="shared" si="258"/>
        <v>0</v>
      </c>
      <c r="BZ85" s="386" t="str">
        <f t="shared" si="319"/>
        <v/>
      </c>
      <c r="CA85" s="387" t="str">
        <f t="shared" si="320"/>
        <v/>
      </c>
      <c r="CB85" s="682" t="str">
        <f t="shared" si="321"/>
        <v/>
      </c>
      <c r="CC85" s="4" t="str">
        <f t="shared" si="322"/>
        <v/>
      </c>
      <c r="CD85" s="386" t="str">
        <f t="shared" si="323"/>
        <v/>
      </c>
      <c r="CE85" s="386">
        <f t="shared" si="259"/>
        <v>0</v>
      </c>
      <c r="CF85" s="386" t="str">
        <f t="shared" si="324"/>
        <v/>
      </c>
      <c r="CG85" s="387" t="str">
        <f t="shared" si="325"/>
        <v/>
      </c>
      <c r="CH85" s="682">
        <f t="shared" si="326"/>
        <v>0</v>
      </c>
      <c r="CI85" s="4">
        <f t="shared" si="327"/>
        <v>0</v>
      </c>
      <c r="CJ85" s="386">
        <f t="shared" si="328"/>
        <v>288</v>
      </c>
      <c r="CK85" s="386">
        <f t="shared" si="365"/>
        <v>288</v>
      </c>
      <c r="CL85" s="386">
        <f t="shared" si="330"/>
        <v>119.80800000000002</v>
      </c>
      <c r="CM85" s="387">
        <f t="shared" si="331"/>
        <v>2808299.5200000005</v>
      </c>
      <c r="CN85" s="682" t="str">
        <f t="shared" si="332"/>
        <v/>
      </c>
      <c r="CO85" s="4" t="str">
        <f t="shared" si="333"/>
        <v/>
      </c>
      <c r="CP85" s="386" t="str">
        <f t="shared" si="334"/>
        <v/>
      </c>
      <c r="CQ85" s="386">
        <f t="shared" si="366"/>
        <v>0</v>
      </c>
      <c r="CR85" s="386" t="str">
        <f t="shared" si="336"/>
        <v/>
      </c>
      <c r="CS85" s="387" t="str">
        <f t="shared" si="337"/>
        <v/>
      </c>
      <c r="CT85" s="682" t="str">
        <f t="shared" si="338"/>
        <v/>
      </c>
      <c r="CU85" s="4" t="str">
        <f t="shared" si="339"/>
        <v/>
      </c>
      <c r="CV85" s="386" t="str">
        <f t="shared" si="340"/>
        <v/>
      </c>
      <c r="CW85" s="386">
        <f t="shared" si="260"/>
        <v>0</v>
      </c>
      <c r="CX85" s="386" t="str">
        <f t="shared" si="341"/>
        <v/>
      </c>
      <c r="CY85" s="387" t="str">
        <f t="shared" si="342"/>
        <v/>
      </c>
      <c r="CZ85" s="682" t="str">
        <f t="shared" si="343"/>
        <v/>
      </c>
      <c r="DA85" s="4" t="str">
        <f t="shared" si="344"/>
        <v/>
      </c>
      <c r="DB85" s="386" t="str">
        <f t="shared" si="345"/>
        <v/>
      </c>
      <c r="DC85" s="386">
        <f t="shared" si="261"/>
        <v>0</v>
      </c>
      <c r="DD85" s="386" t="str">
        <f t="shared" si="346"/>
        <v/>
      </c>
      <c r="DE85" s="387" t="str">
        <f t="shared" si="347"/>
        <v/>
      </c>
      <c r="DF85" s="682">
        <f t="shared" si="348"/>
        <v>0</v>
      </c>
      <c r="DG85" s="4">
        <f t="shared" si="349"/>
        <v>0</v>
      </c>
      <c r="DH85" s="386">
        <f t="shared" si="350"/>
        <v>198</v>
      </c>
      <c r="DI85" s="386">
        <f t="shared" si="367"/>
        <v>198</v>
      </c>
      <c r="DJ85" s="386">
        <f t="shared" si="352"/>
        <v>91.27800000000002</v>
      </c>
      <c r="DK85" s="387">
        <f t="shared" si="353"/>
        <v>1616533.3800000004</v>
      </c>
      <c r="DL85" s="682"/>
      <c r="DM85" s="4" t="str">
        <f t="shared" si="354"/>
        <v/>
      </c>
      <c r="DN85" s="386" t="str">
        <f t="shared" si="355"/>
        <v/>
      </c>
      <c r="DO85" s="386">
        <f t="shared" si="368"/>
        <v>0</v>
      </c>
      <c r="DP85" s="386" t="str">
        <f t="shared" si="357"/>
        <v/>
      </c>
      <c r="DQ85" s="387" t="str">
        <f t="shared" si="358"/>
        <v/>
      </c>
    </row>
    <row r="86" spans="1:121" x14ac:dyDescent="0.25">
      <c r="A86" t="s">
        <v>289</v>
      </c>
      <c r="B86" t="s">
        <v>33</v>
      </c>
      <c r="C86" s="383" t="s">
        <v>34</v>
      </c>
      <c r="D86" t="s">
        <v>270</v>
      </c>
      <c r="E86" s="383" t="s">
        <v>271</v>
      </c>
      <c r="F86" t="s">
        <v>290</v>
      </c>
      <c r="G86" s="383" t="s">
        <v>291</v>
      </c>
      <c r="H86" s="385">
        <f t="shared" si="264"/>
        <v>41</v>
      </c>
      <c r="I86" s="386">
        <f t="shared" si="265"/>
        <v>0</v>
      </c>
      <c r="J86" s="386">
        <f t="shared" si="266"/>
        <v>41.660000000000004</v>
      </c>
      <c r="K86" s="386">
        <f t="shared" si="267"/>
        <v>41.660000000000004</v>
      </c>
      <c r="L86" s="386">
        <f t="shared" si="268"/>
        <v>3.7949999999999995</v>
      </c>
      <c r="M86" s="387">
        <f t="shared" si="269"/>
        <v>62617.499999999993</v>
      </c>
      <c r="N86" s="385"/>
      <c r="O86" s="386"/>
      <c r="P86" s="386"/>
      <c r="Q86" s="386"/>
      <c r="R86" s="386"/>
      <c r="S86" s="387"/>
      <c r="T86" s="385" t="str">
        <f t="shared" si="270"/>
        <v/>
      </c>
      <c r="U86" s="386" t="str">
        <f t="shared" si="271"/>
        <v/>
      </c>
      <c r="V86" s="386" t="str">
        <f t="shared" si="272"/>
        <v/>
      </c>
      <c r="W86" s="386">
        <f t="shared" si="273"/>
        <v>0</v>
      </c>
      <c r="X86" s="386" t="str">
        <f t="shared" si="274"/>
        <v/>
      </c>
      <c r="Y86" s="387" t="str">
        <f t="shared" si="275"/>
        <v/>
      </c>
      <c r="Z86" s="3" t="str">
        <f t="shared" si="276"/>
        <v/>
      </c>
      <c r="AA86" s="4" t="str">
        <f t="shared" si="277"/>
        <v/>
      </c>
      <c r="AB86" s="386" t="str">
        <f t="shared" si="278"/>
        <v/>
      </c>
      <c r="AC86" s="386">
        <f t="shared" si="279"/>
        <v>0</v>
      </c>
      <c r="AD86" s="386" t="str">
        <f t="shared" si="280"/>
        <v/>
      </c>
      <c r="AE86" s="387" t="str">
        <f t="shared" si="281"/>
        <v/>
      </c>
      <c r="AF86" s="682">
        <f t="shared" si="282"/>
        <v>0</v>
      </c>
      <c r="AG86" s="4">
        <f t="shared" si="283"/>
        <v>0</v>
      </c>
      <c r="AH86" s="386">
        <f t="shared" si="284"/>
        <v>1200</v>
      </c>
      <c r="AI86" s="386">
        <f t="shared" si="359"/>
        <v>1200</v>
      </c>
      <c r="AJ86" s="386">
        <f t="shared" si="286"/>
        <v>1566</v>
      </c>
      <c r="AK86" s="387">
        <f t="shared" si="287"/>
        <v>31320000</v>
      </c>
      <c r="AL86" s="385"/>
      <c r="AM86" s="386"/>
      <c r="AN86" s="386"/>
      <c r="AO86" s="386"/>
      <c r="AP86" s="386"/>
      <c r="AQ86" s="387"/>
      <c r="AR86" s="682">
        <f t="shared" si="288"/>
        <v>597</v>
      </c>
      <c r="AS86" s="4">
        <f t="shared" si="289"/>
        <v>0.5</v>
      </c>
      <c r="AT86" s="386">
        <f t="shared" si="290"/>
        <v>621.29999999999995</v>
      </c>
      <c r="AU86" s="386">
        <f t="shared" si="360"/>
        <v>621.79999999999995</v>
      </c>
      <c r="AV86" s="386">
        <f t="shared" si="292"/>
        <v>346.35</v>
      </c>
      <c r="AW86" s="387">
        <f t="shared" si="293"/>
        <v>5887950</v>
      </c>
      <c r="AX86" s="682" t="str">
        <f t="shared" si="294"/>
        <v/>
      </c>
      <c r="AY86" s="4" t="str">
        <f t="shared" si="295"/>
        <v/>
      </c>
      <c r="AZ86" s="386" t="str">
        <f t="shared" si="296"/>
        <v/>
      </c>
      <c r="BA86" s="386">
        <f t="shared" si="361"/>
        <v>0</v>
      </c>
      <c r="BB86" s="386" t="str">
        <f t="shared" si="298"/>
        <v/>
      </c>
      <c r="BC86" s="387" t="str">
        <f t="shared" si="299"/>
        <v/>
      </c>
      <c r="BD86" s="682" t="str">
        <f t="shared" si="300"/>
        <v/>
      </c>
      <c r="BE86" s="4" t="str">
        <f t="shared" si="301"/>
        <v/>
      </c>
      <c r="BF86" s="386" t="str">
        <f t="shared" si="302"/>
        <v/>
      </c>
      <c r="BG86" s="386">
        <f t="shared" si="362"/>
        <v>0</v>
      </c>
      <c r="BH86" s="386" t="str">
        <f t="shared" si="303"/>
        <v/>
      </c>
      <c r="BI86" s="387" t="str">
        <f t="shared" si="304"/>
        <v/>
      </c>
      <c r="BJ86" s="682">
        <f t="shared" si="305"/>
        <v>0</v>
      </c>
      <c r="BK86" s="4">
        <f t="shared" si="306"/>
        <v>105</v>
      </c>
      <c r="BL86" s="386">
        <f t="shared" si="307"/>
        <v>0</v>
      </c>
      <c r="BM86" s="386">
        <f t="shared" si="363"/>
        <v>105</v>
      </c>
      <c r="BN86" s="386">
        <f t="shared" si="308"/>
        <v>57.225000000000001</v>
      </c>
      <c r="BO86" s="387">
        <f t="shared" si="309"/>
        <v>801150</v>
      </c>
      <c r="BP86" s="682">
        <f t="shared" si="310"/>
        <v>0</v>
      </c>
      <c r="BQ86" s="4">
        <f t="shared" si="311"/>
        <v>146</v>
      </c>
      <c r="BR86" s="386">
        <f t="shared" si="312"/>
        <v>575.5</v>
      </c>
      <c r="BS86" s="386">
        <f t="shared" si="364"/>
        <v>721.5</v>
      </c>
      <c r="BT86" s="386">
        <f t="shared" si="314"/>
        <v>262.42349999999999</v>
      </c>
      <c r="BU86" s="387">
        <f t="shared" si="315"/>
        <v>3411505.5</v>
      </c>
      <c r="BV86" s="682" t="str">
        <f t="shared" si="316"/>
        <v/>
      </c>
      <c r="BW86" s="4" t="str">
        <f t="shared" si="317"/>
        <v/>
      </c>
      <c r="BX86" s="386" t="str">
        <f t="shared" si="318"/>
        <v/>
      </c>
      <c r="BY86" s="386">
        <f t="shared" si="258"/>
        <v>0</v>
      </c>
      <c r="BZ86" s="386" t="str">
        <f t="shared" si="319"/>
        <v/>
      </c>
      <c r="CA86" s="387" t="str">
        <f t="shared" si="320"/>
        <v/>
      </c>
      <c r="CB86" s="682" t="str">
        <f t="shared" si="321"/>
        <v/>
      </c>
      <c r="CC86" s="4" t="str">
        <f t="shared" si="322"/>
        <v/>
      </c>
      <c r="CD86" s="386" t="str">
        <f t="shared" si="323"/>
        <v/>
      </c>
      <c r="CE86" s="386">
        <f t="shared" si="259"/>
        <v>0</v>
      </c>
      <c r="CF86" s="386" t="str">
        <f t="shared" si="324"/>
        <v/>
      </c>
      <c r="CG86" s="387" t="str">
        <f t="shared" si="325"/>
        <v/>
      </c>
      <c r="CH86" s="682">
        <f t="shared" si="326"/>
        <v>0</v>
      </c>
      <c r="CI86" s="4">
        <f t="shared" si="327"/>
        <v>65</v>
      </c>
      <c r="CJ86" s="386">
        <f t="shared" si="328"/>
        <v>1263</v>
      </c>
      <c r="CK86" s="386">
        <f t="shared" si="365"/>
        <v>1328</v>
      </c>
      <c r="CL86" s="386">
        <f t="shared" si="330"/>
        <v>795.80799999999999</v>
      </c>
      <c r="CM86" s="387">
        <f t="shared" si="331"/>
        <v>18653739.520000003</v>
      </c>
      <c r="CN86" s="682" t="str">
        <f t="shared" si="332"/>
        <v/>
      </c>
      <c r="CO86" s="4" t="str">
        <f t="shared" si="333"/>
        <v/>
      </c>
      <c r="CP86" s="386" t="str">
        <f t="shared" si="334"/>
        <v/>
      </c>
      <c r="CQ86" s="386">
        <f t="shared" si="366"/>
        <v>0</v>
      </c>
      <c r="CR86" s="386" t="str">
        <f t="shared" si="336"/>
        <v/>
      </c>
      <c r="CS86" s="387" t="str">
        <f t="shared" si="337"/>
        <v/>
      </c>
      <c r="CT86" s="682" t="str">
        <f t="shared" si="338"/>
        <v/>
      </c>
      <c r="CU86" s="4" t="str">
        <f t="shared" si="339"/>
        <v/>
      </c>
      <c r="CV86" s="386" t="str">
        <f t="shared" si="340"/>
        <v/>
      </c>
      <c r="CW86" s="386">
        <f t="shared" si="260"/>
        <v>0</v>
      </c>
      <c r="CX86" s="386" t="str">
        <f t="shared" si="341"/>
        <v/>
      </c>
      <c r="CY86" s="387" t="str">
        <f t="shared" si="342"/>
        <v/>
      </c>
      <c r="CZ86" s="682" t="str">
        <f t="shared" si="343"/>
        <v/>
      </c>
      <c r="DA86" s="4" t="str">
        <f t="shared" si="344"/>
        <v/>
      </c>
      <c r="DB86" s="386" t="str">
        <f t="shared" si="345"/>
        <v/>
      </c>
      <c r="DC86" s="386">
        <f t="shared" si="261"/>
        <v>0</v>
      </c>
      <c r="DD86" s="386" t="str">
        <f t="shared" si="346"/>
        <v/>
      </c>
      <c r="DE86" s="387" t="str">
        <f t="shared" si="347"/>
        <v/>
      </c>
      <c r="DF86" s="682">
        <f t="shared" si="348"/>
        <v>0</v>
      </c>
      <c r="DG86" s="4">
        <f t="shared" si="349"/>
        <v>0</v>
      </c>
      <c r="DH86" s="386">
        <f t="shared" si="350"/>
        <v>725</v>
      </c>
      <c r="DI86" s="386">
        <f t="shared" si="367"/>
        <v>725</v>
      </c>
      <c r="DJ86" s="386">
        <f t="shared" si="352"/>
        <v>334.22500000000008</v>
      </c>
      <c r="DK86" s="387">
        <f t="shared" si="353"/>
        <v>5919124.7500000019</v>
      </c>
      <c r="DL86" s="682"/>
      <c r="DM86" s="4" t="str">
        <f t="shared" si="354"/>
        <v/>
      </c>
      <c r="DN86" s="386" t="str">
        <f t="shared" si="355"/>
        <v/>
      </c>
      <c r="DO86" s="386">
        <f t="shared" si="368"/>
        <v>0</v>
      </c>
      <c r="DP86" s="386" t="str">
        <f t="shared" si="357"/>
        <v/>
      </c>
      <c r="DQ86" s="387" t="str">
        <f t="shared" si="358"/>
        <v/>
      </c>
    </row>
    <row r="87" spans="1:121" x14ac:dyDescent="0.25">
      <c r="A87" t="s">
        <v>292</v>
      </c>
      <c r="B87" t="s">
        <v>33</v>
      </c>
      <c r="C87" s="383" t="s">
        <v>34</v>
      </c>
      <c r="D87" t="s">
        <v>270</v>
      </c>
      <c r="E87" s="383" t="s">
        <v>271</v>
      </c>
      <c r="F87" t="s">
        <v>293</v>
      </c>
      <c r="G87" s="383" t="s">
        <v>294</v>
      </c>
      <c r="H87" s="385">
        <f t="shared" si="264"/>
        <v>15</v>
      </c>
      <c r="I87" s="386">
        <f t="shared" si="265"/>
        <v>0</v>
      </c>
      <c r="J87" s="386">
        <f t="shared" si="266"/>
        <v>15</v>
      </c>
      <c r="K87" s="386">
        <f t="shared" si="267"/>
        <v>15</v>
      </c>
      <c r="L87" s="386">
        <f t="shared" si="268"/>
        <v>11.25</v>
      </c>
      <c r="M87" s="387">
        <f t="shared" si="269"/>
        <v>185625</v>
      </c>
      <c r="N87" s="385"/>
      <c r="O87" s="386"/>
      <c r="P87" s="386"/>
      <c r="Q87" s="386"/>
      <c r="R87" s="386"/>
      <c r="S87" s="387"/>
      <c r="T87" s="385" t="str">
        <f t="shared" si="270"/>
        <v/>
      </c>
      <c r="U87" s="386" t="str">
        <f t="shared" si="271"/>
        <v/>
      </c>
      <c r="V87" s="386" t="str">
        <f t="shared" si="272"/>
        <v/>
      </c>
      <c r="W87" s="386">
        <f t="shared" si="273"/>
        <v>0</v>
      </c>
      <c r="X87" s="386" t="str">
        <f t="shared" si="274"/>
        <v/>
      </c>
      <c r="Y87" s="387" t="str">
        <f t="shared" si="275"/>
        <v/>
      </c>
      <c r="Z87" s="3" t="str">
        <f t="shared" si="276"/>
        <v/>
      </c>
      <c r="AA87" s="4" t="str">
        <f t="shared" si="277"/>
        <v/>
      </c>
      <c r="AB87" s="386" t="str">
        <f t="shared" si="278"/>
        <v/>
      </c>
      <c r="AC87" s="386">
        <f t="shared" si="279"/>
        <v>0</v>
      </c>
      <c r="AD87" s="386" t="str">
        <f t="shared" si="280"/>
        <v/>
      </c>
      <c r="AE87" s="387" t="str">
        <f t="shared" si="281"/>
        <v/>
      </c>
      <c r="AF87" s="682">
        <f t="shared" si="282"/>
        <v>0</v>
      </c>
      <c r="AG87" s="4">
        <f t="shared" si="283"/>
        <v>45</v>
      </c>
      <c r="AH87" s="386">
        <f t="shared" si="284"/>
        <v>800</v>
      </c>
      <c r="AI87" s="386">
        <f t="shared" si="359"/>
        <v>845</v>
      </c>
      <c r="AJ87" s="386">
        <f t="shared" si="286"/>
        <v>1239.7499999999998</v>
      </c>
      <c r="AK87" s="387">
        <f t="shared" si="287"/>
        <v>24794999.999999996</v>
      </c>
      <c r="AL87" s="385"/>
      <c r="AM87" s="386"/>
      <c r="AN87" s="386"/>
      <c r="AO87" s="386"/>
      <c r="AP87" s="386"/>
      <c r="AQ87" s="387"/>
      <c r="AR87" s="682">
        <f t="shared" si="288"/>
        <v>380</v>
      </c>
      <c r="AS87" s="4">
        <f t="shared" si="289"/>
        <v>0</v>
      </c>
      <c r="AT87" s="386">
        <f t="shared" si="290"/>
        <v>1425</v>
      </c>
      <c r="AU87" s="386">
        <f t="shared" si="360"/>
        <v>1425</v>
      </c>
      <c r="AV87" s="386">
        <f t="shared" si="292"/>
        <v>798.1875</v>
      </c>
      <c r="AW87" s="387">
        <f t="shared" si="293"/>
        <v>13569187.5</v>
      </c>
      <c r="AX87" s="682" t="str">
        <f t="shared" si="294"/>
        <v/>
      </c>
      <c r="AY87" s="4" t="str">
        <f t="shared" si="295"/>
        <v/>
      </c>
      <c r="AZ87" s="386" t="str">
        <f t="shared" si="296"/>
        <v/>
      </c>
      <c r="BA87" s="386">
        <f t="shared" si="361"/>
        <v>0</v>
      </c>
      <c r="BB87" s="386" t="str">
        <f t="shared" si="298"/>
        <v/>
      </c>
      <c r="BC87" s="387" t="str">
        <f t="shared" si="299"/>
        <v/>
      </c>
      <c r="BD87" s="682" t="str">
        <f t="shared" si="300"/>
        <v/>
      </c>
      <c r="BE87" s="4" t="str">
        <f t="shared" si="301"/>
        <v/>
      </c>
      <c r="BF87" s="386" t="str">
        <f t="shared" si="302"/>
        <v/>
      </c>
      <c r="BG87" s="386">
        <f t="shared" si="362"/>
        <v>0</v>
      </c>
      <c r="BH87" s="386" t="str">
        <f t="shared" si="303"/>
        <v/>
      </c>
      <c r="BI87" s="387" t="str">
        <f t="shared" si="304"/>
        <v/>
      </c>
      <c r="BJ87" s="682" t="str">
        <f t="shared" si="305"/>
        <v/>
      </c>
      <c r="BK87" s="4" t="str">
        <f t="shared" si="306"/>
        <v/>
      </c>
      <c r="BL87" s="386" t="str">
        <f t="shared" si="307"/>
        <v/>
      </c>
      <c r="BM87" s="386">
        <f t="shared" si="363"/>
        <v>0</v>
      </c>
      <c r="BN87" s="386" t="str">
        <f t="shared" si="308"/>
        <v/>
      </c>
      <c r="BO87" s="387" t="str">
        <f t="shared" si="309"/>
        <v/>
      </c>
      <c r="BP87" s="682">
        <f t="shared" si="310"/>
        <v>0</v>
      </c>
      <c r="BQ87" s="4">
        <f t="shared" si="311"/>
        <v>0</v>
      </c>
      <c r="BR87" s="386">
        <f t="shared" si="312"/>
        <v>4300</v>
      </c>
      <c r="BS87" s="386">
        <f t="shared" si="364"/>
        <v>4300</v>
      </c>
      <c r="BT87" s="386">
        <f t="shared" si="314"/>
        <v>1638.6</v>
      </c>
      <c r="BU87" s="387">
        <f t="shared" si="315"/>
        <v>21301800</v>
      </c>
      <c r="BV87" s="682" t="str">
        <f t="shared" si="316"/>
        <v/>
      </c>
      <c r="BW87" s="4" t="str">
        <f t="shared" si="317"/>
        <v/>
      </c>
      <c r="BX87" s="386" t="str">
        <f t="shared" si="318"/>
        <v/>
      </c>
      <c r="BY87" s="386">
        <f t="shared" si="258"/>
        <v>0</v>
      </c>
      <c r="BZ87" s="386" t="str">
        <f t="shared" si="319"/>
        <v/>
      </c>
      <c r="CA87" s="387" t="str">
        <f t="shared" si="320"/>
        <v/>
      </c>
      <c r="CB87" s="682" t="str">
        <f t="shared" si="321"/>
        <v/>
      </c>
      <c r="CC87" s="4" t="str">
        <f t="shared" si="322"/>
        <v/>
      </c>
      <c r="CD87" s="386" t="str">
        <f t="shared" si="323"/>
        <v/>
      </c>
      <c r="CE87" s="386">
        <f t="shared" si="259"/>
        <v>0</v>
      </c>
      <c r="CF87" s="386" t="str">
        <f t="shared" si="324"/>
        <v/>
      </c>
      <c r="CG87" s="387" t="str">
        <f t="shared" si="325"/>
        <v/>
      </c>
      <c r="CH87" s="682" t="str">
        <f t="shared" si="326"/>
        <v/>
      </c>
      <c r="CI87" s="4" t="str">
        <f t="shared" si="327"/>
        <v/>
      </c>
      <c r="CJ87" s="386" t="str">
        <f t="shared" si="328"/>
        <v/>
      </c>
      <c r="CK87" s="386">
        <f t="shared" si="365"/>
        <v>0</v>
      </c>
      <c r="CL87" s="386" t="str">
        <f t="shared" si="330"/>
        <v/>
      </c>
      <c r="CM87" s="387" t="str">
        <f t="shared" si="331"/>
        <v/>
      </c>
      <c r="CN87" s="682" t="str">
        <f t="shared" si="332"/>
        <v/>
      </c>
      <c r="CO87" s="4" t="str">
        <f t="shared" si="333"/>
        <v/>
      </c>
      <c r="CP87" s="386" t="str">
        <f t="shared" si="334"/>
        <v/>
      </c>
      <c r="CQ87" s="386">
        <f t="shared" si="366"/>
        <v>0</v>
      </c>
      <c r="CR87" s="386" t="str">
        <f t="shared" si="336"/>
        <v/>
      </c>
      <c r="CS87" s="387" t="str">
        <f t="shared" si="337"/>
        <v/>
      </c>
      <c r="CT87" s="682" t="str">
        <f t="shared" si="338"/>
        <v/>
      </c>
      <c r="CU87" s="4" t="str">
        <f t="shared" si="339"/>
        <v/>
      </c>
      <c r="CV87" s="386" t="str">
        <f t="shared" si="340"/>
        <v/>
      </c>
      <c r="CW87" s="386">
        <f t="shared" si="260"/>
        <v>0</v>
      </c>
      <c r="CX87" s="386" t="str">
        <f t="shared" si="341"/>
        <v/>
      </c>
      <c r="CY87" s="387" t="str">
        <f t="shared" si="342"/>
        <v/>
      </c>
      <c r="CZ87" s="682" t="str">
        <f t="shared" si="343"/>
        <v/>
      </c>
      <c r="DA87" s="4" t="str">
        <f t="shared" si="344"/>
        <v/>
      </c>
      <c r="DB87" s="386" t="str">
        <f t="shared" si="345"/>
        <v/>
      </c>
      <c r="DC87" s="386">
        <f t="shared" si="261"/>
        <v>0</v>
      </c>
      <c r="DD87" s="386" t="str">
        <f t="shared" si="346"/>
        <v/>
      </c>
      <c r="DE87" s="387" t="str">
        <f t="shared" si="347"/>
        <v/>
      </c>
      <c r="DF87" s="682">
        <f t="shared" si="348"/>
        <v>0</v>
      </c>
      <c r="DG87" s="4">
        <f t="shared" si="349"/>
        <v>0</v>
      </c>
      <c r="DH87" s="386">
        <f t="shared" si="350"/>
        <v>5</v>
      </c>
      <c r="DI87" s="386">
        <f t="shared" si="367"/>
        <v>5</v>
      </c>
      <c r="DJ87" s="386">
        <f t="shared" si="352"/>
        <v>2.3050000000000002</v>
      </c>
      <c r="DK87" s="387">
        <f t="shared" si="353"/>
        <v>40821.550000000003</v>
      </c>
      <c r="DL87" s="682"/>
      <c r="DM87" s="4" t="str">
        <f t="shared" si="354"/>
        <v/>
      </c>
      <c r="DN87" s="386" t="str">
        <f t="shared" si="355"/>
        <v/>
      </c>
      <c r="DO87" s="386">
        <f t="shared" si="368"/>
        <v>0</v>
      </c>
      <c r="DP87" s="386" t="str">
        <f t="shared" si="357"/>
        <v/>
      </c>
      <c r="DQ87" s="387" t="str">
        <f t="shared" si="358"/>
        <v/>
      </c>
    </row>
    <row r="88" spans="1:121" x14ac:dyDescent="0.25">
      <c r="A88" t="s">
        <v>295</v>
      </c>
      <c r="B88" t="s">
        <v>33</v>
      </c>
      <c r="C88" s="383" t="s">
        <v>34</v>
      </c>
      <c r="D88" t="s">
        <v>270</v>
      </c>
      <c r="E88" s="383" t="s">
        <v>271</v>
      </c>
      <c r="F88" t="s">
        <v>296</v>
      </c>
      <c r="G88" s="383" t="s">
        <v>297</v>
      </c>
      <c r="H88" s="385" t="str">
        <f t="shared" si="264"/>
        <v/>
      </c>
      <c r="I88" s="386" t="str">
        <f t="shared" si="265"/>
        <v/>
      </c>
      <c r="J88" s="386" t="str">
        <f t="shared" si="266"/>
        <v/>
      </c>
      <c r="K88" s="386">
        <f t="shared" si="267"/>
        <v>0</v>
      </c>
      <c r="L88" s="386" t="str">
        <f t="shared" si="268"/>
        <v/>
      </c>
      <c r="M88" s="387" t="str">
        <f t="shared" si="269"/>
        <v/>
      </c>
      <c r="N88" s="385"/>
      <c r="O88" s="386"/>
      <c r="P88" s="386"/>
      <c r="Q88" s="386"/>
      <c r="R88" s="386"/>
      <c r="S88" s="387"/>
      <c r="T88" s="385" t="str">
        <f t="shared" si="270"/>
        <v/>
      </c>
      <c r="U88" s="386" t="str">
        <f t="shared" si="271"/>
        <v/>
      </c>
      <c r="V88" s="386" t="str">
        <f t="shared" si="272"/>
        <v/>
      </c>
      <c r="W88" s="386">
        <f t="shared" si="273"/>
        <v>0</v>
      </c>
      <c r="X88" s="386" t="str">
        <f t="shared" si="274"/>
        <v/>
      </c>
      <c r="Y88" s="387" t="str">
        <f t="shared" si="275"/>
        <v/>
      </c>
      <c r="Z88" s="3">
        <f t="shared" si="276"/>
        <v>0</v>
      </c>
      <c r="AA88" s="4">
        <f t="shared" si="277"/>
        <v>0</v>
      </c>
      <c r="AB88" s="386">
        <f t="shared" si="278"/>
        <v>46</v>
      </c>
      <c r="AC88" s="386">
        <f t="shared" si="279"/>
        <v>46</v>
      </c>
      <c r="AD88" s="386" t="str">
        <f t="shared" si="280"/>
        <v/>
      </c>
      <c r="AE88" s="387">
        <f t="shared" si="281"/>
        <v>366804</v>
      </c>
      <c r="AF88" s="682">
        <f t="shared" si="282"/>
        <v>0</v>
      </c>
      <c r="AG88" s="4">
        <f t="shared" si="283"/>
        <v>0</v>
      </c>
      <c r="AH88" s="386">
        <f t="shared" si="284"/>
        <v>505</v>
      </c>
      <c r="AI88" s="386">
        <f t="shared" si="359"/>
        <v>505</v>
      </c>
      <c r="AJ88" s="386">
        <f t="shared" si="286"/>
        <v>526.78499999999997</v>
      </c>
      <c r="AK88" s="387">
        <f t="shared" si="287"/>
        <v>10535700</v>
      </c>
      <c r="AL88" s="385"/>
      <c r="AM88" s="386"/>
      <c r="AN88" s="386"/>
      <c r="AO88" s="386"/>
      <c r="AP88" s="386"/>
      <c r="AQ88" s="387"/>
      <c r="AR88" s="682">
        <f t="shared" si="288"/>
        <v>86</v>
      </c>
      <c r="AS88" s="4">
        <f t="shared" si="289"/>
        <v>0</v>
      </c>
      <c r="AT88" s="386">
        <f t="shared" si="290"/>
        <v>317</v>
      </c>
      <c r="AU88" s="386">
        <f t="shared" si="360"/>
        <v>317</v>
      </c>
      <c r="AV88" s="386">
        <f t="shared" si="292"/>
        <v>224.91149999999999</v>
      </c>
      <c r="AW88" s="387">
        <f t="shared" si="293"/>
        <v>3823495.5</v>
      </c>
      <c r="AX88" s="682" t="str">
        <f t="shared" si="294"/>
        <v/>
      </c>
      <c r="AY88" s="4" t="str">
        <f t="shared" si="295"/>
        <v/>
      </c>
      <c r="AZ88" s="386" t="str">
        <f t="shared" si="296"/>
        <v/>
      </c>
      <c r="BA88" s="386">
        <f t="shared" si="361"/>
        <v>0</v>
      </c>
      <c r="BB88" s="386" t="str">
        <f t="shared" si="298"/>
        <v/>
      </c>
      <c r="BC88" s="387" t="str">
        <f t="shared" si="299"/>
        <v/>
      </c>
      <c r="BD88" s="682" t="str">
        <f t="shared" si="300"/>
        <v/>
      </c>
      <c r="BE88" s="4" t="str">
        <f t="shared" si="301"/>
        <v/>
      </c>
      <c r="BF88" s="386" t="str">
        <f t="shared" si="302"/>
        <v/>
      </c>
      <c r="BG88" s="386">
        <f t="shared" si="362"/>
        <v>0</v>
      </c>
      <c r="BH88" s="386" t="str">
        <f t="shared" si="303"/>
        <v/>
      </c>
      <c r="BI88" s="387" t="str">
        <f t="shared" si="304"/>
        <v/>
      </c>
      <c r="BJ88" s="682">
        <f t="shared" si="305"/>
        <v>0</v>
      </c>
      <c r="BK88" s="4">
        <f t="shared" si="306"/>
        <v>189</v>
      </c>
      <c r="BL88" s="386">
        <f t="shared" si="307"/>
        <v>0</v>
      </c>
      <c r="BM88" s="386">
        <f t="shared" si="363"/>
        <v>189</v>
      </c>
      <c r="BN88" s="386">
        <f t="shared" si="308"/>
        <v>85.221000000000004</v>
      </c>
      <c r="BO88" s="387">
        <f t="shared" si="309"/>
        <v>1193094</v>
      </c>
      <c r="BP88" s="682">
        <f t="shared" si="310"/>
        <v>0</v>
      </c>
      <c r="BQ88" s="4">
        <f t="shared" si="311"/>
        <v>0</v>
      </c>
      <c r="BR88" s="386">
        <f t="shared" si="312"/>
        <v>459</v>
      </c>
      <c r="BS88" s="386">
        <f t="shared" si="364"/>
        <v>459</v>
      </c>
      <c r="BT88" s="386">
        <f t="shared" si="314"/>
        <v>212.43</v>
      </c>
      <c r="BU88" s="387">
        <f t="shared" si="315"/>
        <v>2761590</v>
      </c>
      <c r="BV88" s="682">
        <f t="shared" si="316"/>
        <v>55</v>
      </c>
      <c r="BW88" s="4">
        <f t="shared" si="317"/>
        <v>29</v>
      </c>
      <c r="BX88" s="386">
        <f t="shared" si="318"/>
        <v>14</v>
      </c>
      <c r="BY88" s="386">
        <f t="shared" ref="BY88" si="369">SUM(BW88:BX88)</f>
        <v>43</v>
      </c>
      <c r="BZ88" s="386">
        <f t="shared" si="319"/>
        <v>0</v>
      </c>
      <c r="CA88" s="387">
        <f t="shared" si="320"/>
        <v>235440</v>
      </c>
      <c r="CB88" s="682" t="str">
        <f t="shared" si="321"/>
        <v/>
      </c>
      <c r="CC88" s="4" t="str">
        <f t="shared" si="322"/>
        <v/>
      </c>
      <c r="CD88" s="386" t="str">
        <f t="shared" si="323"/>
        <v/>
      </c>
      <c r="CE88" s="386">
        <f t="shared" si="259"/>
        <v>0</v>
      </c>
      <c r="CF88" s="386" t="str">
        <f t="shared" si="324"/>
        <v/>
      </c>
      <c r="CG88" s="387" t="str">
        <f t="shared" si="325"/>
        <v/>
      </c>
      <c r="CH88" s="682">
        <f t="shared" si="326"/>
        <v>0</v>
      </c>
      <c r="CI88" s="4">
        <f t="shared" si="327"/>
        <v>0</v>
      </c>
      <c r="CJ88" s="386">
        <f t="shared" si="328"/>
        <v>559</v>
      </c>
      <c r="CK88" s="386">
        <f t="shared" si="365"/>
        <v>559</v>
      </c>
      <c r="CL88" s="386">
        <f t="shared" si="330"/>
        <v>232.54400000000001</v>
      </c>
      <c r="CM88" s="387">
        <f t="shared" si="331"/>
        <v>5450831.3600000003</v>
      </c>
      <c r="CN88" s="682">
        <f t="shared" si="332"/>
        <v>0</v>
      </c>
      <c r="CO88" s="4">
        <f t="shared" si="333"/>
        <v>0</v>
      </c>
      <c r="CP88" s="386">
        <f t="shared" si="334"/>
        <v>152</v>
      </c>
      <c r="CQ88" s="386">
        <f t="shared" si="366"/>
        <v>152</v>
      </c>
      <c r="CR88" s="386">
        <f t="shared" si="336"/>
        <v>31.540000000000006</v>
      </c>
      <c r="CS88" s="387">
        <f t="shared" si="337"/>
        <v>548165.20000000007</v>
      </c>
      <c r="CT88" s="682" t="str">
        <f t="shared" si="338"/>
        <v/>
      </c>
      <c r="CU88" s="4" t="str">
        <f t="shared" si="339"/>
        <v/>
      </c>
      <c r="CV88" s="386" t="str">
        <f t="shared" si="340"/>
        <v/>
      </c>
      <c r="CW88" s="386">
        <f t="shared" si="260"/>
        <v>0</v>
      </c>
      <c r="CX88" s="386" t="str">
        <f t="shared" si="341"/>
        <v/>
      </c>
      <c r="CY88" s="387" t="str">
        <f t="shared" si="342"/>
        <v/>
      </c>
      <c r="CZ88" s="682" t="str">
        <f t="shared" si="343"/>
        <v/>
      </c>
      <c r="DA88" s="4" t="str">
        <f t="shared" si="344"/>
        <v/>
      </c>
      <c r="DB88" s="386" t="str">
        <f t="shared" si="345"/>
        <v/>
      </c>
      <c r="DC88" s="386">
        <f t="shared" si="261"/>
        <v>0</v>
      </c>
      <c r="DD88" s="386" t="str">
        <f t="shared" si="346"/>
        <v/>
      </c>
      <c r="DE88" s="387" t="str">
        <f t="shared" si="347"/>
        <v/>
      </c>
      <c r="DF88" s="682">
        <f t="shared" si="348"/>
        <v>0</v>
      </c>
      <c r="DG88" s="4">
        <f t="shared" si="349"/>
        <v>0</v>
      </c>
      <c r="DH88" s="386">
        <f t="shared" si="350"/>
        <v>447</v>
      </c>
      <c r="DI88" s="386">
        <f t="shared" si="367"/>
        <v>447</v>
      </c>
      <c r="DJ88" s="386">
        <f t="shared" si="352"/>
        <v>206.06700000000004</v>
      </c>
      <c r="DK88" s="387">
        <f t="shared" si="353"/>
        <v>3649446.5700000012</v>
      </c>
      <c r="DL88" s="682"/>
      <c r="DM88" s="4" t="str">
        <f t="shared" si="354"/>
        <v/>
      </c>
      <c r="DN88" s="386" t="str">
        <f t="shared" si="355"/>
        <v/>
      </c>
      <c r="DO88" s="386">
        <f t="shared" si="368"/>
        <v>0</v>
      </c>
      <c r="DP88" s="386" t="str">
        <f t="shared" si="357"/>
        <v/>
      </c>
      <c r="DQ88" s="387" t="str">
        <f t="shared" si="358"/>
        <v/>
      </c>
    </row>
    <row r="89" spans="1:121" x14ac:dyDescent="0.25">
      <c r="A89" t="s">
        <v>298</v>
      </c>
      <c r="B89" t="s">
        <v>33</v>
      </c>
      <c r="C89" s="383" t="s">
        <v>34</v>
      </c>
      <c r="D89" t="s">
        <v>270</v>
      </c>
      <c r="E89" s="383" t="s">
        <v>271</v>
      </c>
      <c r="F89" t="s">
        <v>299</v>
      </c>
      <c r="G89" s="383" t="s">
        <v>300</v>
      </c>
      <c r="H89" s="385" t="str">
        <f t="shared" si="264"/>
        <v/>
      </c>
      <c r="I89" s="386" t="str">
        <f t="shared" si="265"/>
        <v/>
      </c>
      <c r="J89" s="386" t="str">
        <f t="shared" si="266"/>
        <v/>
      </c>
      <c r="K89" s="386">
        <f t="shared" si="267"/>
        <v>0</v>
      </c>
      <c r="L89" s="386" t="str">
        <f t="shared" si="268"/>
        <v/>
      </c>
      <c r="M89" s="387" t="str">
        <f t="shared" si="269"/>
        <v/>
      </c>
      <c r="N89" s="385"/>
      <c r="O89" s="386"/>
      <c r="P89" s="386"/>
      <c r="Q89" s="386"/>
      <c r="R89" s="386"/>
      <c r="S89" s="387"/>
      <c r="T89" s="385">
        <f t="shared" si="270"/>
        <v>0</v>
      </c>
      <c r="U89" s="386">
        <f t="shared" si="271"/>
        <v>0</v>
      </c>
      <c r="V89" s="386">
        <f t="shared" si="272"/>
        <v>50</v>
      </c>
      <c r="W89" s="386">
        <f t="shared" si="273"/>
        <v>50</v>
      </c>
      <c r="X89" s="386">
        <f t="shared" si="274"/>
        <v>32.25</v>
      </c>
      <c r="Y89" s="387">
        <f t="shared" si="275"/>
        <v>516000</v>
      </c>
      <c r="Z89" s="3">
        <f t="shared" si="276"/>
        <v>0</v>
      </c>
      <c r="AA89" s="4">
        <f t="shared" si="277"/>
        <v>0</v>
      </c>
      <c r="AB89" s="386">
        <f t="shared" si="278"/>
        <v>50</v>
      </c>
      <c r="AC89" s="386">
        <f t="shared" si="279"/>
        <v>50</v>
      </c>
      <c r="AD89" s="386" t="str">
        <f t="shared" si="280"/>
        <v/>
      </c>
      <c r="AE89" s="387">
        <f t="shared" si="281"/>
        <v>398700</v>
      </c>
      <c r="AF89" s="682">
        <f t="shared" si="282"/>
        <v>0</v>
      </c>
      <c r="AG89" s="4">
        <f t="shared" si="283"/>
        <v>0</v>
      </c>
      <c r="AH89" s="386">
        <f t="shared" si="284"/>
        <v>70</v>
      </c>
      <c r="AI89" s="386">
        <f t="shared" si="359"/>
        <v>70</v>
      </c>
      <c r="AJ89" s="386">
        <f t="shared" si="286"/>
        <v>78.3</v>
      </c>
      <c r="AK89" s="387">
        <f t="shared" si="287"/>
        <v>1566000</v>
      </c>
      <c r="AL89" s="385"/>
      <c r="AM89" s="386"/>
      <c r="AN89" s="386"/>
      <c r="AO89" s="386"/>
      <c r="AP89" s="386"/>
      <c r="AQ89" s="387"/>
      <c r="AR89" s="682" t="str">
        <f t="shared" si="288"/>
        <v/>
      </c>
      <c r="AS89" s="4" t="str">
        <f t="shared" si="289"/>
        <v/>
      </c>
      <c r="AT89" s="386" t="str">
        <f t="shared" si="290"/>
        <v/>
      </c>
      <c r="AU89" s="386">
        <f t="shared" si="360"/>
        <v>0</v>
      </c>
      <c r="AV89" s="386" t="str">
        <f t="shared" si="292"/>
        <v/>
      </c>
      <c r="AW89" s="387" t="str">
        <f t="shared" si="293"/>
        <v/>
      </c>
      <c r="AX89" s="682" t="str">
        <f t="shared" si="294"/>
        <v/>
      </c>
      <c r="AY89" s="4" t="str">
        <f t="shared" si="295"/>
        <v/>
      </c>
      <c r="AZ89" s="386" t="str">
        <f t="shared" si="296"/>
        <v/>
      </c>
      <c r="BA89" s="386">
        <f t="shared" si="361"/>
        <v>0</v>
      </c>
      <c r="BB89" s="386" t="str">
        <f t="shared" si="298"/>
        <v/>
      </c>
      <c r="BC89" s="387" t="str">
        <f t="shared" si="299"/>
        <v/>
      </c>
      <c r="BD89" s="682">
        <f t="shared" si="300"/>
        <v>0</v>
      </c>
      <c r="BE89" s="4">
        <f t="shared" si="301"/>
        <v>20</v>
      </c>
      <c r="BF89" s="386">
        <f t="shared" si="302"/>
        <v>0</v>
      </c>
      <c r="BG89" s="386">
        <f t="shared" si="362"/>
        <v>20</v>
      </c>
      <c r="BH89" s="386">
        <f t="shared" si="303"/>
        <v>0</v>
      </c>
      <c r="BI89" s="387">
        <f t="shared" si="304"/>
        <v>30000</v>
      </c>
      <c r="BJ89" s="682" t="str">
        <f t="shared" si="305"/>
        <v/>
      </c>
      <c r="BK89" s="4" t="str">
        <f t="shared" si="306"/>
        <v/>
      </c>
      <c r="BL89" s="386" t="str">
        <f t="shared" si="307"/>
        <v/>
      </c>
      <c r="BM89" s="386">
        <f t="shared" si="363"/>
        <v>0</v>
      </c>
      <c r="BN89" s="386" t="str">
        <f t="shared" si="308"/>
        <v/>
      </c>
      <c r="BO89" s="387" t="str">
        <f t="shared" si="309"/>
        <v/>
      </c>
      <c r="BP89" s="682">
        <f t="shared" si="310"/>
        <v>0</v>
      </c>
      <c r="BQ89" s="4">
        <f t="shared" si="311"/>
        <v>0</v>
      </c>
      <c r="BR89" s="386">
        <f t="shared" si="312"/>
        <v>130</v>
      </c>
      <c r="BS89" s="386">
        <f t="shared" si="364"/>
        <v>130</v>
      </c>
      <c r="BT89" s="386">
        <f t="shared" si="314"/>
        <v>56.94</v>
      </c>
      <c r="BU89" s="387">
        <f t="shared" si="315"/>
        <v>740220</v>
      </c>
      <c r="BV89" s="682" t="str">
        <f t="shared" si="316"/>
        <v/>
      </c>
      <c r="BW89" s="4" t="str">
        <f t="shared" si="317"/>
        <v/>
      </c>
      <c r="BX89" s="386" t="str">
        <f t="shared" si="318"/>
        <v/>
      </c>
      <c r="BY89" s="386">
        <f t="shared" ref="BY89:BY127" si="370">SUM(BW89:BX89)</f>
        <v>0</v>
      </c>
      <c r="BZ89" s="386" t="str">
        <f t="shared" si="319"/>
        <v/>
      </c>
      <c r="CA89" s="387" t="str">
        <f t="shared" si="320"/>
        <v/>
      </c>
      <c r="CB89" s="682" t="str">
        <f t="shared" si="321"/>
        <v/>
      </c>
      <c r="CC89" s="4" t="str">
        <f t="shared" si="322"/>
        <v/>
      </c>
      <c r="CD89" s="386" t="str">
        <f t="shared" si="323"/>
        <v/>
      </c>
      <c r="CE89" s="386">
        <f t="shared" si="259"/>
        <v>0</v>
      </c>
      <c r="CF89" s="386" t="str">
        <f t="shared" si="324"/>
        <v/>
      </c>
      <c r="CG89" s="387" t="str">
        <f t="shared" si="325"/>
        <v/>
      </c>
      <c r="CH89" s="682">
        <f t="shared" si="326"/>
        <v>0</v>
      </c>
      <c r="CI89" s="4">
        <f t="shared" si="327"/>
        <v>0</v>
      </c>
      <c r="CJ89" s="386">
        <f t="shared" si="328"/>
        <v>80</v>
      </c>
      <c r="CK89" s="386">
        <f t="shared" si="365"/>
        <v>80</v>
      </c>
      <c r="CL89" s="386">
        <f t="shared" si="330"/>
        <v>33.28</v>
      </c>
      <c r="CM89" s="387">
        <f t="shared" si="331"/>
        <v>780083.20000000007</v>
      </c>
      <c r="CN89" s="682">
        <f t="shared" si="332"/>
        <v>0</v>
      </c>
      <c r="CO89" s="4">
        <f t="shared" si="333"/>
        <v>0</v>
      </c>
      <c r="CP89" s="386">
        <f t="shared" si="334"/>
        <v>350</v>
      </c>
      <c r="CQ89" s="386">
        <f t="shared" si="366"/>
        <v>350</v>
      </c>
      <c r="CR89" s="386">
        <f t="shared" si="336"/>
        <v>72.625000000000014</v>
      </c>
      <c r="CS89" s="387">
        <f t="shared" si="337"/>
        <v>1262222.5</v>
      </c>
      <c r="CT89" s="682" t="str">
        <f t="shared" si="338"/>
        <v/>
      </c>
      <c r="CU89" s="4" t="str">
        <f t="shared" si="339"/>
        <v/>
      </c>
      <c r="CV89" s="386" t="str">
        <f t="shared" si="340"/>
        <v/>
      </c>
      <c r="CW89" s="386">
        <f t="shared" si="260"/>
        <v>0</v>
      </c>
      <c r="CX89" s="386" t="str">
        <f t="shared" si="341"/>
        <v/>
      </c>
      <c r="CY89" s="387" t="str">
        <f t="shared" si="342"/>
        <v/>
      </c>
      <c r="CZ89" s="682" t="str">
        <f t="shared" si="343"/>
        <v/>
      </c>
      <c r="DA89" s="4" t="str">
        <f t="shared" si="344"/>
        <v/>
      </c>
      <c r="DB89" s="386" t="str">
        <f t="shared" si="345"/>
        <v/>
      </c>
      <c r="DC89" s="386">
        <f t="shared" si="261"/>
        <v>0</v>
      </c>
      <c r="DD89" s="386" t="str">
        <f t="shared" si="346"/>
        <v/>
      </c>
      <c r="DE89" s="387" t="str">
        <f t="shared" si="347"/>
        <v/>
      </c>
      <c r="DF89" s="682">
        <f t="shared" si="348"/>
        <v>0</v>
      </c>
      <c r="DG89" s="4">
        <f t="shared" si="349"/>
        <v>0</v>
      </c>
      <c r="DH89" s="386">
        <f t="shared" si="350"/>
        <v>300</v>
      </c>
      <c r="DI89" s="386">
        <f t="shared" si="367"/>
        <v>300</v>
      </c>
      <c r="DJ89" s="386">
        <f t="shared" si="352"/>
        <v>138.30000000000001</v>
      </c>
      <c r="DK89" s="387">
        <f t="shared" si="353"/>
        <v>2449293</v>
      </c>
      <c r="DL89" s="682"/>
      <c r="DM89" s="4" t="str">
        <f t="shared" si="354"/>
        <v/>
      </c>
      <c r="DN89" s="386" t="str">
        <f t="shared" si="355"/>
        <v/>
      </c>
      <c r="DO89" s="386">
        <f t="shared" si="368"/>
        <v>0</v>
      </c>
      <c r="DP89" s="386" t="str">
        <f t="shared" si="357"/>
        <v/>
      </c>
      <c r="DQ89" s="387" t="str">
        <f t="shared" si="358"/>
        <v/>
      </c>
    </row>
    <row r="90" spans="1:121" x14ac:dyDescent="0.25">
      <c r="A90" t="s">
        <v>301</v>
      </c>
      <c r="B90" t="s">
        <v>33</v>
      </c>
      <c r="C90" s="383" t="s">
        <v>34</v>
      </c>
      <c r="D90" t="s">
        <v>270</v>
      </c>
      <c r="E90" s="383" t="s">
        <v>271</v>
      </c>
      <c r="F90" t="s">
        <v>302</v>
      </c>
      <c r="G90" s="383" t="s">
        <v>303</v>
      </c>
      <c r="H90" s="385" t="str">
        <f t="shared" si="264"/>
        <v/>
      </c>
      <c r="I90" s="386" t="str">
        <f t="shared" si="265"/>
        <v/>
      </c>
      <c r="J90" s="386" t="str">
        <f t="shared" si="266"/>
        <v/>
      </c>
      <c r="K90" s="386">
        <f t="shared" si="267"/>
        <v>0</v>
      </c>
      <c r="L90" s="386" t="str">
        <f t="shared" si="268"/>
        <v/>
      </c>
      <c r="M90" s="387" t="str">
        <f t="shared" si="269"/>
        <v/>
      </c>
      <c r="N90" s="385"/>
      <c r="O90" s="386"/>
      <c r="P90" s="386"/>
      <c r="Q90" s="386"/>
      <c r="R90" s="386"/>
      <c r="S90" s="387"/>
      <c r="T90" s="385" t="str">
        <f t="shared" si="270"/>
        <v/>
      </c>
      <c r="U90" s="386" t="str">
        <f t="shared" si="271"/>
        <v/>
      </c>
      <c r="V90" s="386" t="str">
        <f t="shared" si="272"/>
        <v/>
      </c>
      <c r="W90" s="386">
        <f t="shared" si="273"/>
        <v>0</v>
      </c>
      <c r="X90" s="386" t="str">
        <f t="shared" si="274"/>
        <v/>
      </c>
      <c r="Y90" s="387" t="str">
        <f t="shared" si="275"/>
        <v/>
      </c>
      <c r="Z90" s="3" t="str">
        <f t="shared" si="276"/>
        <v/>
      </c>
      <c r="AA90" s="4" t="str">
        <f t="shared" si="277"/>
        <v/>
      </c>
      <c r="AB90" s="386" t="str">
        <f t="shared" si="278"/>
        <v/>
      </c>
      <c r="AC90" s="386">
        <f t="shared" si="279"/>
        <v>0</v>
      </c>
      <c r="AD90" s="386" t="str">
        <f t="shared" si="280"/>
        <v/>
      </c>
      <c r="AE90" s="387" t="str">
        <f t="shared" si="281"/>
        <v/>
      </c>
      <c r="AF90" s="682">
        <f t="shared" si="282"/>
        <v>0</v>
      </c>
      <c r="AG90" s="4">
        <f t="shared" si="283"/>
        <v>460</v>
      </c>
      <c r="AH90" s="386">
        <f t="shared" si="284"/>
        <v>140</v>
      </c>
      <c r="AI90" s="386">
        <f t="shared" si="359"/>
        <v>600</v>
      </c>
      <c r="AJ90" s="386">
        <f t="shared" si="286"/>
        <v>1718.25</v>
      </c>
      <c r="AK90" s="387">
        <f t="shared" si="287"/>
        <v>34365000</v>
      </c>
      <c r="AL90" s="385"/>
      <c r="AM90" s="386"/>
      <c r="AN90" s="386"/>
      <c r="AO90" s="386"/>
      <c r="AP90" s="386"/>
      <c r="AQ90" s="387"/>
      <c r="AR90" s="682" t="str">
        <f t="shared" si="288"/>
        <v/>
      </c>
      <c r="AS90" s="4" t="str">
        <f t="shared" si="289"/>
        <v/>
      </c>
      <c r="AT90" s="386" t="str">
        <f t="shared" si="290"/>
        <v/>
      </c>
      <c r="AU90" s="386">
        <f t="shared" si="360"/>
        <v>0</v>
      </c>
      <c r="AV90" s="386" t="str">
        <f t="shared" si="292"/>
        <v/>
      </c>
      <c r="AW90" s="387" t="str">
        <f t="shared" si="293"/>
        <v/>
      </c>
      <c r="AX90" s="682" t="str">
        <f t="shared" si="294"/>
        <v/>
      </c>
      <c r="AY90" s="4" t="str">
        <f t="shared" si="295"/>
        <v/>
      </c>
      <c r="AZ90" s="386" t="str">
        <f t="shared" si="296"/>
        <v/>
      </c>
      <c r="BA90" s="386">
        <f t="shared" si="361"/>
        <v>0</v>
      </c>
      <c r="BB90" s="386" t="str">
        <f t="shared" si="298"/>
        <v/>
      </c>
      <c r="BC90" s="387" t="str">
        <f t="shared" si="299"/>
        <v/>
      </c>
      <c r="BD90" s="682">
        <f t="shared" si="300"/>
        <v>0</v>
      </c>
      <c r="BE90" s="4">
        <f t="shared" si="301"/>
        <v>300</v>
      </c>
      <c r="BF90" s="386">
        <f t="shared" si="302"/>
        <v>300</v>
      </c>
      <c r="BG90" s="386">
        <f t="shared" si="362"/>
        <v>600</v>
      </c>
      <c r="BH90" s="386">
        <f t="shared" si="303"/>
        <v>1200</v>
      </c>
      <c r="BI90" s="387">
        <f t="shared" si="304"/>
        <v>20400000</v>
      </c>
      <c r="BJ90" s="682" t="str">
        <f t="shared" si="305"/>
        <v/>
      </c>
      <c r="BK90" s="4" t="str">
        <f t="shared" si="306"/>
        <v/>
      </c>
      <c r="BL90" s="386" t="str">
        <f t="shared" si="307"/>
        <v/>
      </c>
      <c r="BM90" s="386">
        <f t="shared" si="363"/>
        <v>0</v>
      </c>
      <c r="BN90" s="386" t="str">
        <f t="shared" si="308"/>
        <v/>
      </c>
      <c r="BO90" s="387" t="str">
        <f t="shared" si="309"/>
        <v/>
      </c>
      <c r="BP90" s="682">
        <f t="shared" si="310"/>
        <v>0</v>
      </c>
      <c r="BQ90" s="4">
        <f t="shared" si="311"/>
        <v>1100</v>
      </c>
      <c r="BR90" s="386">
        <f t="shared" si="312"/>
        <v>6105</v>
      </c>
      <c r="BS90" s="386">
        <f t="shared" si="364"/>
        <v>7205</v>
      </c>
      <c r="BT90" s="386">
        <f t="shared" si="314"/>
        <v>7281.8700000000008</v>
      </c>
      <c r="BU90" s="387">
        <f t="shared" si="315"/>
        <v>94664310</v>
      </c>
      <c r="BV90" s="682" t="str">
        <f t="shared" si="316"/>
        <v/>
      </c>
      <c r="BW90" s="4" t="str">
        <f t="shared" si="317"/>
        <v/>
      </c>
      <c r="BX90" s="386" t="str">
        <f t="shared" si="318"/>
        <v/>
      </c>
      <c r="BY90" s="386">
        <f t="shared" si="370"/>
        <v>0</v>
      </c>
      <c r="BZ90" s="386" t="str">
        <f t="shared" si="319"/>
        <v/>
      </c>
      <c r="CA90" s="387" t="str">
        <f t="shared" si="320"/>
        <v/>
      </c>
      <c r="CB90" s="682" t="str">
        <f t="shared" si="321"/>
        <v/>
      </c>
      <c r="CC90" s="4" t="str">
        <f t="shared" si="322"/>
        <v/>
      </c>
      <c r="CD90" s="386" t="str">
        <f t="shared" si="323"/>
        <v/>
      </c>
      <c r="CE90" s="386">
        <f t="shared" si="259"/>
        <v>0</v>
      </c>
      <c r="CF90" s="386" t="str">
        <f t="shared" si="324"/>
        <v/>
      </c>
      <c r="CG90" s="387" t="str">
        <f t="shared" si="325"/>
        <v/>
      </c>
      <c r="CH90" s="682">
        <f t="shared" si="326"/>
        <v>0</v>
      </c>
      <c r="CI90" s="4">
        <f t="shared" si="327"/>
        <v>0</v>
      </c>
      <c r="CJ90" s="386">
        <f t="shared" si="328"/>
        <v>350</v>
      </c>
      <c r="CK90" s="386">
        <f t="shared" si="365"/>
        <v>350</v>
      </c>
      <c r="CL90" s="386">
        <f t="shared" si="330"/>
        <v>145.60000000000002</v>
      </c>
      <c r="CM90" s="387">
        <f t="shared" si="331"/>
        <v>3412864.0000000009</v>
      </c>
      <c r="CN90" s="682">
        <f t="shared" si="332"/>
        <v>0</v>
      </c>
      <c r="CO90" s="4">
        <f t="shared" si="333"/>
        <v>197</v>
      </c>
      <c r="CP90" s="386">
        <f t="shared" si="334"/>
        <v>244</v>
      </c>
      <c r="CQ90" s="386">
        <f t="shared" si="366"/>
        <v>441</v>
      </c>
      <c r="CR90" s="386">
        <f t="shared" si="336"/>
        <v>868.18000000000006</v>
      </c>
      <c r="CS90" s="387">
        <f t="shared" si="337"/>
        <v>15088968.4</v>
      </c>
      <c r="CT90" s="682" t="str">
        <f t="shared" si="338"/>
        <v/>
      </c>
      <c r="CU90" s="4" t="str">
        <f t="shared" si="339"/>
        <v/>
      </c>
      <c r="CV90" s="386" t="str">
        <f t="shared" si="340"/>
        <v/>
      </c>
      <c r="CW90" s="386">
        <f t="shared" si="260"/>
        <v>0</v>
      </c>
      <c r="CX90" s="386" t="str">
        <f t="shared" si="341"/>
        <v/>
      </c>
      <c r="CY90" s="387" t="str">
        <f t="shared" si="342"/>
        <v/>
      </c>
      <c r="CZ90" s="682" t="str">
        <f t="shared" si="343"/>
        <v/>
      </c>
      <c r="DA90" s="4" t="str">
        <f t="shared" si="344"/>
        <v/>
      </c>
      <c r="DB90" s="386" t="str">
        <f t="shared" si="345"/>
        <v/>
      </c>
      <c r="DC90" s="386">
        <f t="shared" si="261"/>
        <v>0</v>
      </c>
      <c r="DD90" s="386" t="str">
        <f t="shared" si="346"/>
        <v/>
      </c>
      <c r="DE90" s="387" t="str">
        <f t="shared" si="347"/>
        <v/>
      </c>
      <c r="DF90" s="682">
        <f t="shared" si="348"/>
        <v>0</v>
      </c>
      <c r="DG90" s="4">
        <f t="shared" si="349"/>
        <v>324</v>
      </c>
      <c r="DH90" s="386">
        <f t="shared" si="350"/>
        <v>343</v>
      </c>
      <c r="DI90" s="386">
        <f t="shared" si="367"/>
        <v>667</v>
      </c>
      <c r="DJ90" s="386">
        <f t="shared" si="352"/>
        <v>1651.7630000000001</v>
      </c>
      <c r="DK90" s="387">
        <f t="shared" si="353"/>
        <v>28371475.130000003</v>
      </c>
      <c r="DL90" s="682"/>
      <c r="DM90" s="4" t="str">
        <f t="shared" si="354"/>
        <v/>
      </c>
      <c r="DN90" s="386" t="str">
        <f t="shared" si="355"/>
        <v/>
      </c>
      <c r="DO90" s="386">
        <f t="shared" si="368"/>
        <v>0</v>
      </c>
      <c r="DP90" s="386" t="str">
        <f t="shared" si="357"/>
        <v/>
      </c>
      <c r="DQ90" s="387" t="str">
        <f t="shared" si="358"/>
        <v/>
      </c>
    </row>
    <row r="91" spans="1:121" x14ac:dyDescent="0.25">
      <c r="A91" t="s">
        <v>304</v>
      </c>
      <c r="B91" t="s">
        <v>33</v>
      </c>
      <c r="C91" s="383" t="s">
        <v>34</v>
      </c>
      <c r="D91" t="s">
        <v>270</v>
      </c>
      <c r="E91" s="383" t="s">
        <v>271</v>
      </c>
      <c r="F91" t="s">
        <v>305</v>
      </c>
      <c r="G91" s="383" t="s">
        <v>306</v>
      </c>
      <c r="H91" s="385" t="str">
        <f t="shared" si="264"/>
        <v/>
      </c>
      <c r="I91" s="386" t="str">
        <f t="shared" si="265"/>
        <v/>
      </c>
      <c r="J91" s="386" t="str">
        <f t="shared" si="266"/>
        <v/>
      </c>
      <c r="K91" s="386">
        <f t="shared" si="267"/>
        <v>0</v>
      </c>
      <c r="L91" s="386" t="str">
        <f t="shared" si="268"/>
        <v/>
      </c>
      <c r="M91" s="387" t="str">
        <f t="shared" si="269"/>
        <v/>
      </c>
      <c r="N91" s="385"/>
      <c r="O91" s="386"/>
      <c r="P91" s="386"/>
      <c r="Q91" s="386"/>
      <c r="R91" s="386"/>
      <c r="S91" s="387"/>
      <c r="T91" s="385" t="str">
        <f t="shared" si="270"/>
        <v/>
      </c>
      <c r="U91" s="386" t="str">
        <f t="shared" si="271"/>
        <v/>
      </c>
      <c r="V91" s="386" t="str">
        <f t="shared" si="272"/>
        <v/>
      </c>
      <c r="W91" s="386">
        <f t="shared" si="273"/>
        <v>0</v>
      </c>
      <c r="X91" s="386" t="str">
        <f t="shared" si="274"/>
        <v/>
      </c>
      <c r="Y91" s="387" t="str">
        <f t="shared" si="275"/>
        <v/>
      </c>
      <c r="Z91" s="3">
        <f t="shared" si="276"/>
        <v>0</v>
      </c>
      <c r="AA91" s="4">
        <f t="shared" si="277"/>
        <v>0</v>
      </c>
      <c r="AB91" s="386">
        <f t="shared" si="278"/>
        <v>15</v>
      </c>
      <c r="AC91" s="386">
        <f t="shared" si="279"/>
        <v>15</v>
      </c>
      <c r="AD91" s="386" t="str">
        <f t="shared" si="280"/>
        <v/>
      </c>
      <c r="AE91" s="387">
        <f t="shared" si="281"/>
        <v>179415</v>
      </c>
      <c r="AF91" s="682">
        <f t="shared" si="282"/>
        <v>0</v>
      </c>
      <c r="AG91" s="4">
        <f t="shared" si="283"/>
        <v>0</v>
      </c>
      <c r="AH91" s="386">
        <f t="shared" si="284"/>
        <v>1300</v>
      </c>
      <c r="AI91" s="386">
        <f t="shared" si="359"/>
        <v>1300</v>
      </c>
      <c r="AJ91" s="386">
        <f t="shared" si="286"/>
        <v>1337.625</v>
      </c>
      <c r="AK91" s="387">
        <f t="shared" si="287"/>
        <v>26752500</v>
      </c>
      <c r="AL91" s="385"/>
      <c r="AM91" s="386"/>
      <c r="AN91" s="386"/>
      <c r="AO91" s="386"/>
      <c r="AP91" s="386"/>
      <c r="AQ91" s="387"/>
      <c r="AR91" s="682" t="str">
        <f t="shared" si="288"/>
        <v/>
      </c>
      <c r="AS91" s="4" t="str">
        <f t="shared" si="289"/>
        <v/>
      </c>
      <c r="AT91" s="386" t="str">
        <f t="shared" si="290"/>
        <v/>
      </c>
      <c r="AU91" s="386">
        <f t="shared" si="360"/>
        <v>0</v>
      </c>
      <c r="AV91" s="386" t="str">
        <f t="shared" si="292"/>
        <v/>
      </c>
      <c r="AW91" s="387" t="str">
        <f t="shared" si="293"/>
        <v/>
      </c>
      <c r="AX91" s="682" t="str">
        <f t="shared" si="294"/>
        <v/>
      </c>
      <c r="AY91" s="4" t="str">
        <f t="shared" si="295"/>
        <v/>
      </c>
      <c r="AZ91" s="386" t="str">
        <f t="shared" si="296"/>
        <v/>
      </c>
      <c r="BA91" s="386">
        <f t="shared" si="361"/>
        <v>0</v>
      </c>
      <c r="BB91" s="386" t="str">
        <f t="shared" si="298"/>
        <v/>
      </c>
      <c r="BC91" s="387" t="str">
        <f t="shared" si="299"/>
        <v/>
      </c>
      <c r="BD91" s="682" t="str">
        <f t="shared" si="300"/>
        <v/>
      </c>
      <c r="BE91" s="4" t="str">
        <f t="shared" si="301"/>
        <v/>
      </c>
      <c r="BF91" s="386" t="str">
        <f t="shared" si="302"/>
        <v/>
      </c>
      <c r="BG91" s="386">
        <f t="shared" si="362"/>
        <v>0</v>
      </c>
      <c r="BH91" s="386" t="str">
        <f t="shared" si="303"/>
        <v/>
      </c>
      <c r="BI91" s="387" t="str">
        <f t="shared" si="304"/>
        <v/>
      </c>
      <c r="BJ91" s="682" t="str">
        <f t="shared" si="305"/>
        <v/>
      </c>
      <c r="BK91" s="4" t="str">
        <f t="shared" si="306"/>
        <v/>
      </c>
      <c r="BL91" s="386" t="str">
        <f t="shared" si="307"/>
        <v/>
      </c>
      <c r="BM91" s="386">
        <f t="shared" si="363"/>
        <v>0</v>
      </c>
      <c r="BN91" s="386" t="str">
        <f t="shared" si="308"/>
        <v/>
      </c>
      <c r="BO91" s="387" t="str">
        <f t="shared" si="309"/>
        <v/>
      </c>
      <c r="BP91" s="682">
        <f t="shared" si="310"/>
        <v>0</v>
      </c>
      <c r="BQ91" s="4">
        <f t="shared" si="311"/>
        <v>0</v>
      </c>
      <c r="BR91" s="386">
        <f t="shared" si="312"/>
        <v>2736</v>
      </c>
      <c r="BS91" s="386">
        <f t="shared" si="364"/>
        <v>2736</v>
      </c>
      <c r="BT91" s="386">
        <f t="shared" si="314"/>
        <v>2396.7360000000003</v>
      </c>
      <c r="BU91" s="387">
        <f t="shared" si="315"/>
        <v>31157568.000000004</v>
      </c>
      <c r="BV91" s="682" t="str">
        <f t="shared" si="316"/>
        <v/>
      </c>
      <c r="BW91" s="4" t="str">
        <f t="shared" si="317"/>
        <v/>
      </c>
      <c r="BX91" s="386" t="str">
        <f t="shared" si="318"/>
        <v/>
      </c>
      <c r="BY91" s="386">
        <f t="shared" si="370"/>
        <v>0</v>
      </c>
      <c r="BZ91" s="386" t="str">
        <f t="shared" si="319"/>
        <v/>
      </c>
      <c r="CA91" s="387" t="str">
        <f t="shared" si="320"/>
        <v/>
      </c>
      <c r="CB91" s="682" t="str">
        <f t="shared" si="321"/>
        <v/>
      </c>
      <c r="CC91" s="4" t="str">
        <f t="shared" si="322"/>
        <v/>
      </c>
      <c r="CD91" s="386" t="str">
        <f t="shared" si="323"/>
        <v/>
      </c>
      <c r="CE91" s="386">
        <f t="shared" si="259"/>
        <v>0</v>
      </c>
      <c r="CF91" s="386" t="str">
        <f t="shared" si="324"/>
        <v/>
      </c>
      <c r="CG91" s="387" t="str">
        <f t="shared" si="325"/>
        <v/>
      </c>
      <c r="CH91" s="682">
        <f t="shared" si="326"/>
        <v>0</v>
      </c>
      <c r="CI91" s="4">
        <f t="shared" si="327"/>
        <v>0</v>
      </c>
      <c r="CJ91" s="386">
        <f t="shared" si="328"/>
        <v>880</v>
      </c>
      <c r="CK91" s="386">
        <f t="shared" si="365"/>
        <v>880</v>
      </c>
      <c r="CL91" s="386">
        <f t="shared" si="330"/>
        <v>366.08000000000004</v>
      </c>
      <c r="CM91" s="387">
        <f t="shared" si="331"/>
        <v>8580915.2000000011</v>
      </c>
      <c r="CN91" s="682">
        <f t="shared" si="332"/>
        <v>0</v>
      </c>
      <c r="CO91" s="4">
        <f t="shared" si="333"/>
        <v>1.8</v>
      </c>
      <c r="CP91" s="386">
        <f t="shared" si="334"/>
        <v>108.5</v>
      </c>
      <c r="CQ91" s="386">
        <f t="shared" si="366"/>
        <v>110.3</v>
      </c>
      <c r="CR91" s="386">
        <f t="shared" si="336"/>
        <v>141.93</v>
      </c>
      <c r="CS91" s="387">
        <f t="shared" si="337"/>
        <v>2466743.4</v>
      </c>
      <c r="CT91" s="682" t="str">
        <f t="shared" si="338"/>
        <v/>
      </c>
      <c r="CU91" s="4" t="str">
        <f t="shared" si="339"/>
        <v/>
      </c>
      <c r="CV91" s="386" t="str">
        <f t="shared" si="340"/>
        <v/>
      </c>
      <c r="CW91" s="386">
        <f t="shared" si="260"/>
        <v>0</v>
      </c>
      <c r="CX91" s="386" t="str">
        <f t="shared" si="341"/>
        <v/>
      </c>
      <c r="CY91" s="387" t="str">
        <f t="shared" si="342"/>
        <v/>
      </c>
      <c r="CZ91" s="682" t="str">
        <f t="shared" si="343"/>
        <v/>
      </c>
      <c r="DA91" s="4" t="str">
        <f t="shared" si="344"/>
        <v/>
      </c>
      <c r="DB91" s="386" t="str">
        <f t="shared" si="345"/>
        <v/>
      </c>
      <c r="DC91" s="386">
        <f t="shared" si="261"/>
        <v>0</v>
      </c>
      <c r="DD91" s="386" t="str">
        <f t="shared" si="346"/>
        <v/>
      </c>
      <c r="DE91" s="387" t="str">
        <f t="shared" si="347"/>
        <v/>
      </c>
      <c r="DF91" s="682">
        <f t="shared" si="348"/>
        <v>0</v>
      </c>
      <c r="DG91" s="4">
        <f t="shared" si="349"/>
        <v>0</v>
      </c>
      <c r="DH91" s="386">
        <f t="shared" si="350"/>
        <v>1448</v>
      </c>
      <c r="DI91" s="386">
        <f t="shared" si="367"/>
        <v>1448</v>
      </c>
      <c r="DJ91" s="386">
        <f t="shared" si="352"/>
        <v>333.76400000000007</v>
      </c>
      <c r="DK91" s="387">
        <f t="shared" si="353"/>
        <v>5910960.4400000013</v>
      </c>
      <c r="DL91" s="682"/>
      <c r="DM91" s="4" t="str">
        <f t="shared" si="354"/>
        <v/>
      </c>
      <c r="DN91" s="386" t="str">
        <f t="shared" si="355"/>
        <v/>
      </c>
      <c r="DO91" s="386">
        <f t="shared" si="368"/>
        <v>0</v>
      </c>
      <c r="DP91" s="386" t="str">
        <f t="shared" si="357"/>
        <v/>
      </c>
      <c r="DQ91" s="387" t="str">
        <f t="shared" si="358"/>
        <v/>
      </c>
    </row>
    <row r="92" spans="1:121" x14ac:dyDescent="0.25">
      <c r="A92" t="s">
        <v>307</v>
      </c>
      <c r="B92" t="s">
        <v>33</v>
      </c>
      <c r="C92" s="383" t="s">
        <v>34</v>
      </c>
      <c r="D92" t="s">
        <v>270</v>
      </c>
      <c r="E92" s="383" t="s">
        <v>271</v>
      </c>
      <c r="F92" t="s">
        <v>308</v>
      </c>
      <c r="G92" s="383" t="s">
        <v>309</v>
      </c>
      <c r="H92" s="385" t="str">
        <f t="shared" si="264"/>
        <v/>
      </c>
      <c r="I92" s="386" t="str">
        <f t="shared" si="265"/>
        <v/>
      </c>
      <c r="J92" s="386" t="str">
        <f t="shared" si="266"/>
        <v/>
      </c>
      <c r="K92" s="386">
        <f t="shared" si="267"/>
        <v>0</v>
      </c>
      <c r="L92" s="386" t="str">
        <f t="shared" si="268"/>
        <v/>
      </c>
      <c r="M92" s="387" t="str">
        <f t="shared" si="269"/>
        <v/>
      </c>
      <c r="N92" s="385"/>
      <c r="O92" s="386"/>
      <c r="P92" s="386"/>
      <c r="Q92" s="386"/>
      <c r="R92" s="386"/>
      <c r="S92" s="387"/>
      <c r="T92" s="385" t="str">
        <f t="shared" si="270"/>
        <v/>
      </c>
      <c r="U92" s="386" t="str">
        <f t="shared" si="271"/>
        <v/>
      </c>
      <c r="V92" s="386" t="str">
        <f t="shared" si="272"/>
        <v/>
      </c>
      <c r="W92" s="386">
        <f t="shared" si="273"/>
        <v>0</v>
      </c>
      <c r="X92" s="386" t="str">
        <f t="shared" si="274"/>
        <v/>
      </c>
      <c r="Y92" s="387" t="str">
        <f t="shared" si="275"/>
        <v/>
      </c>
      <c r="Z92" s="3" t="str">
        <f t="shared" si="276"/>
        <v/>
      </c>
      <c r="AA92" s="4" t="str">
        <f t="shared" si="277"/>
        <v/>
      </c>
      <c r="AB92" s="386" t="str">
        <f t="shared" si="278"/>
        <v/>
      </c>
      <c r="AC92" s="386">
        <f t="shared" si="279"/>
        <v>0</v>
      </c>
      <c r="AD92" s="386" t="str">
        <f t="shared" si="280"/>
        <v/>
      </c>
      <c r="AE92" s="387" t="str">
        <f t="shared" si="281"/>
        <v/>
      </c>
      <c r="AF92" s="682" t="str">
        <f t="shared" si="282"/>
        <v/>
      </c>
      <c r="AG92" s="4" t="str">
        <f t="shared" si="283"/>
        <v/>
      </c>
      <c r="AH92" s="386" t="str">
        <f t="shared" si="284"/>
        <v/>
      </c>
      <c r="AI92" s="386">
        <f t="shared" si="359"/>
        <v>0</v>
      </c>
      <c r="AJ92" s="386" t="str">
        <f t="shared" si="286"/>
        <v/>
      </c>
      <c r="AK92" s="387" t="str">
        <f t="shared" si="287"/>
        <v/>
      </c>
      <c r="AL92" s="385"/>
      <c r="AM92" s="386"/>
      <c r="AN92" s="386"/>
      <c r="AO92" s="386"/>
      <c r="AP92" s="386"/>
      <c r="AQ92" s="387"/>
      <c r="AR92" s="682" t="str">
        <f t="shared" si="288"/>
        <v/>
      </c>
      <c r="AS92" s="4" t="str">
        <f t="shared" si="289"/>
        <v/>
      </c>
      <c r="AT92" s="386" t="str">
        <f t="shared" si="290"/>
        <v/>
      </c>
      <c r="AU92" s="386">
        <f t="shared" si="360"/>
        <v>0</v>
      </c>
      <c r="AV92" s="386" t="str">
        <f t="shared" si="292"/>
        <v/>
      </c>
      <c r="AW92" s="387" t="str">
        <f t="shared" si="293"/>
        <v/>
      </c>
      <c r="AX92" s="682" t="str">
        <f t="shared" si="294"/>
        <v/>
      </c>
      <c r="AY92" s="4" t="str">
        <f t="shared" si="295"/>
        <v/>
      </c>
      <c r="AZ92" s="386" t="str">
        <f t="shared" si="296"/>
        <v/>
      </c>
      <c r="BA92" s="386">
        <f t="shared" si="361"/>
        <v>0</v>
      </c>
      <c r="BB92" s="386" t="str">
        <f t="shared" si="298"/>
        <v/>
      </c>
      <c r="BC92" s="387" t="str">
        <f t="shared" si="299"/>
        <v/>
      </c>
      <c r="BD92" s="682" t="str">
        <f t="shared" si="300"/>
        <v/>
      </c>
      <c r="BE92" s="4" t="str">
        <f t="shared" si="301"/>
        <v/>
      </c>
      <c r="BF92" s="386" t="str">
        <f t="shared" si="302"/>
        <v/>
      </c>
      <c r="BG92" s="386">
        <f t="shared" si="362"/>
        <v>0</v>
      </c>
      <c r="BH92" s="386" t="str">
        <f t="shared" si="303"/>
        <v/>
      </c>
      <c r="BI92" s="387" t="str">
        <f t="shared" si="304"/>
        <v/>
      </c>
      <c r="BJ92" s="682" t="str">
        <f t="shared" si="305"/>
        <v/>
      </c>
      <c r="BK92" s="4" t="str">
        <f t="shared" si="306"/>
        <v/>
      </c>
      <c r="BL92" s="386" t="str">
        <f t="shared" si="307"/>
        <v/>
      </c>
      <c r="BM92" s="386">
        <f t="shared" si="363"/>
        <v>0</v>
      </c>
      <c r="BN92" s="386" t="str">
        <f t="shared" si="308"/>
        <v/>
      </c>
      <c r="BO92" s="387" t="str">
        <f t="shared" si="309"/>
        <v/>
      </c>
      <c r="BP92" s="682">
        <f t="shared" si="310"/>
        <v>0</v>
      </c>
      <c r="BQ92" s="4">
        <f t="shared" si="311"/>
        <v>2438</v>
      </c>
      <c r="BR92" s="386">
        <f t="shared" si="312"/>
        <v>25</v>
      </c>
      <c r="BS92" s="386">
        <f t="shared" si="364"/>
        <v>2463</v>
      </c>
      <c r="BT92" s="386">
        <f t="shared" si="314"/>
        <v>10689.050000000001</v>
      </c>
      <c r="BU92" s="387">
        <f t="shared" si="315"/>
        <v>138957650</v>
      </c>
      <c r="BV92" s="682" t="str">
        <f t="shared" si="316"/>
        <v/>
      </c>
      <c r="BW92" s="4" t="str">
        <f t="shared" si="317"/>
        <v/>
      </c>
      <c r="BX92" s="386" t="str">
        <f t="shared" si="318"/>
        <v/>
      </c>
      <c r="BY92" s="386">
        <f t="shared" si="370"/>
        <v>0</v>
      </c>
      <c r="BZ92" s="386" t="str">
        <f t="shared" si="319"/>
        <v/>
      </c>
      <c r="CA92" s="387" t="str">
        <f t="shared" si="320"/>
        <v/>
      </c>
      <c r="CB92" s="682" t="str">
        <f t="shared" si="321"/>
        <v/>
      </c>
      <c r="CC92" s="4" t="str">
        <f t="shared" si="322"/>
        <v/>
      </c>
      <c r="CD92" s="386" t="str">
        <f t="shared" si="323"/>
        <v/>
      </c>
      <c r="CE92" s="386">
        <f t="shared" si="259"/>
        <v>0</v>
      </c>
      <c r="CF92" s="386" t="str">
        <f t="shared" si="324"/>
        <v/>
      </c>
      <c r="CG92" s="387" t="str">
        <f t="shared" si="325"/>
        <v/>
      </c>
      <c r="CH92" s="682">
        <f t="shared" si="326"/>
        <v>0</v>
      </c>
      <c r="CI92" s="4">
        <f t="shared" si="327"/>
        <v>0</v>
      </c>
      <c r="CJ92" s="386">
        <f t="shared" si="328"/>
        <v>50</v>
      </c>
      <c r="CK92" s="386">
        <f t="shared" si="365"/>
        <v>50</v>
      </c>
      <c r="CL92" s="386">
        <f t="shared" si="330"/>
        <v>20.8</v>
      </c>
      <c r="CM92" s="387">
        <f t="shared" si="331"/>
        <v>487552</v>
      </c>
      <c r="CN92" s="682" t="str">
        <f t="shared" si="332"/>
        <v/>
      </c>
      <c r="CO92" s="4" t="str">
        <f t="shared" si="333"/>
        <v/>
      </c>
      <c r="CP92" s="386" t="str">
        <f t="shared" si="334"/>
        <v/>
      </c>
      <c r="CQ92" s="386">
        <f t="shared" si="366"/>
        <v>0</v>
      </c>
      <c r="CR92" s="386" t="str">
        <f t="shared" si="336"/>
        <v/>
      </c>
      <c r="CS92" s="387" t="str">
        <f t="shared" si="337"/>
        <v/>
      </c>
      <c r="CT92" s="682" t="str">
        <f t="shared" si="338"/>
        <v/>
      </c>
      <c r="CU92" s="4" t="str">
        <f t="shared" si="339"/>
        <v/>
      </c>
      <c r="CV92" s="386" t="str">
        <f t="shared" si="340"/>
        <v/>
      </c>
      <c r="CW92" s="386">
        <f t="shared" si="260"/>
        <v>0</v>
      </c>
      <c r="CX92" s="386" t="str">
        <f t="shared" si="341"/>
        <v/>
      </c>
      <c r="CY92" s="387" t="str">
        <f t="shared" si="342"/>
        <v/>
      </c>
      <c r="CZ92" s="682" t="str">
        <f t="shared" si="343"/>
        <v/>
      </c>
      <c r="DA92" s="4" t="str">
        <f t="shared" si="344"/>
        <v/>
      </c>
      <c r="DB92" s="386" t="str">
        <f t="shared" si="345"/>
        <v/>
      </c>
      <c r="DC92" s="386">
        <f t="shared" si="261"/>
        <v>0</v>
      </c>
      <c r="DD92" s="386" t="str">
        <f t="shared" si="346"/>
        <v/>
      </c>
      <c r="DE92" s="387" t="str">
        <f t="shared" si="347"/>
        <v/>
      </c>
      <c r="DF92" s="682">
        <f t="shared" si="348"/>
        <v>0</v>
      </c>
      <c r="DG92" s="4">
        <f t="shared" si="349"/>
        <v>0</v>
      </c>
      <c r="DH92" s="386">
        <f t="shared" si="350"/>
        <v>45</v>
      </c>
      <c r="DI92" s="386">
        <f t="shared" si="367"/>
        <v>45</v>
      </c>
      <c r="DJ92" s="386">
        <f t="shared" si="352"/>
        <v>20.745000000000005</v>
      </c>
      <c r="DK92" s="387">
        <f t="shared" si="353"/>
        <v>367393.95000000007</v>
      </c>
      <c r="DL92" s="682"/>
      <c r="DM92" s="4" t="str">
        <f t="shared" si="354"/>
        <v/>
      </c>
      <c r="DN92" s="386" t="str">
        <f t="shared" si="355"/>
        <v/>
      </c>
      <c r="DO92" s="386">
        <f t="shared" si="368"/>
        <v>0</v>
      </c>
      <c r="DP92" s="386" t="str">
        <f t="shared" si="357"/>
        <v/>
      </c>
      <c r="DQ92" s="387" t="str">
        <f t="shared" si="358"/>
        <v/>
      </c>
    </row>
    <row r="93" spans="1:121" x14ac:dyDescent="0.25">
      <c r="A93" t="s">
        <v>310</v>
      </c>
      <c r="B93" t="s">
        <v>33</v>
      </c>
      <c r="C93" s="383" t="s">
        <v>34</v>
      </c>
      <c r="D93" t="s">
        <v>270</v>
      </c>
      <c r="E93" s="383" t="s">
        <v>271</v>
      </c>
      <c r="F93" t="s">
        <v>311</v>
      </c>
      <c r="G93" s="383" t="s">
        <v>312</v>
      </c>
      <c r="H93" s="385" t="str">
        <f t="shared" si="264"/>
        <v/>
      </c>
      <c r="I93" s="386" t="str">
        <f t="shared" si="265"/>
        <v/>
      </c>
      <c r="J93" s="386" t="str">
        <f t="shared" si="266"/>
        <v/>
      </c>
      <c r="K93" s="386">
        <f t="shared" si="267"/>
        <v>0</v>
      </c>
      <c r="L93" s="386" t="str">
        <f t="shared" si="268"/>
        <v/>
      </c>
      <c r="M93" s="387" t="str">
        <f t="shared" si="269"/>
        <v/>
      </c>
      <c r="N93" s="385"/>
      <c r="O93" s="386"/>
      <c r="P93" s="386"/>
      <c r="Q93" s="386"/>
      <c r="R93" s="386"/>
      <c r="S93" s="387"/>
      <c r="T93" s="385" t="str">
        <f t="shared" si="270"/>
        <v/>
      </c>
      <c r="U93" s="386" t="str">
        <f t="shared" si="271"/>
        <v/>
      </c>
      <c r="V93" s="386" t="str">
        <f t="shared" si="272"/>
        <v/>
      </c>
      <c r="W93" s="386">
        <f t="shared" si="273"/>
        <v>0</v>
      </c>
      <c r="X93" s="386" t="str">
        <f t="shared" si="274"/>
        <v/>
      </c>
      <c r="Y93" s="387" t="str">
        <f t="shared" si="275"/>
        <v/>
      </c>
      <c r="Z93" s="3" t="str">
        <f t="shared" si="276"/>
        <v/>
      </c>
      <c r="AA93" s="4" t="str">
        <f t="shared" si="277"/>
        <v/>
      </c>
      <c r="AB93" s="386" t="str">
        <f t="shared" si="278"/>
        <v/>
      </c>
      <c r="AC93" s="386">
        <f t="shared" si="279"/>
        <v>0</v>
      </c>
      <c r="AD93" s="386" t="str">
        <f t="shared" si="280"/>
        <v/>
      </c>
      <c r="AE93" s="387" t="str">
        <f t="shared" si="281"/>
        <v/>
      </c>
      <c r="AF93" s="682">
        <f t="shared" si="282"/>
        <v>0</v>
      </c>
      <c r="AG93" s="4">
        <f t="shared" si="283"/>
        <v>0</v>
      </c>
      <c r="AH93" s="386">
        <f t="shared" si="284"/>
        <v>2339</v>
      </c>
      <c r="AI93" s="386">
        <f t="shared" si="359"/>
        <v>2339</v>
      </c>
      <c r="AJ93" s="386">
        <f t="shared" si="286"/>
        <v>2914.9349999999999</v>
      </c>
      <c r="AK93" s="387">
        <f t="shared" si="287"/>
        <v>58298700</v>
      </c>
      <c r="AL93" s="385"/>
      <c r="AM93" s="386"/>
      <c r="AN93" s="386"/>
      <c r="AO93" s="386"/>
      <c r="AP93" s="386"/>
      <c r="AQ93" s="387"/>
      <c r="AR93" s="682">
        <f t="shared" si="288"/>
        <v>307</v>
      </c>
      <c r="AS93" s="4">
        <f t="shared" si="289"/>
        <v>0</v>
      </c>
      <c r="AT93" s="386">
        <f t="shared" si="290"/>
        <v>1459</v>
      </c>
      <c r="AU93" s="386">
        <f t="shared" si="360"/>
        <v>1459</v>
      </c>
      <c r="AV93" s="386">
        <f t="shared" si="292"/>
        <v>818.99950000000013</v>
      </c>
      <c r="AW93" s="387">
        <f t="shared" si="293"/>
        <v>13922991.500000002</v>
      </c>
      <c r="AX93" s="682" t="str">
        <f t="shared" si="294"/>
        <v/>
      </c>
      <c r="AY93" s="4" t="str">
        <f t="shared" si="295"/>
        <v/>
      </c>
      <c r="AZ93" s="386" t="str">
        <f t="shared" si="296"/>
        <v/>
      </c>
      <c r="BA93" s="386">
        <f t="shared" si="361"/>
        <v>0</v>
      </c>
      <c r="BB93" s="386" t="str">
        <f t="shared" si="298"/>
        <v/>
      </c>
      <c r="BC93" s="387" t="str">
        <f t="shared" si="299"/>
        <v/>
      </c>
      <c r="BD93" s="682" t="str">
        <f t="shared" si="300"/>
        <v/>
      </c>
      <c r="BE93" s="4" t="str">
        <f t="shared" si="301"/>
        <v/>
      </c>
      <c r="BF93" s="386" t="str">
        <f t="shared" si="302"/>
        <v/>
      </c>
      <c r="BG93" s="386">
        <f t="shared" si="362"/>
        <v>0</v>
      </c>
      <c r="BH93" s="386" t="str">
        <f t="shared" si="303"/>
        <v/>
      </c>
      <c r="BI93" s="387" t="str">
        <f t="shared" si="304"/>
        <v/>
      </c>
      <c r="BJ93" s="682" t="str">
        <f t="shared" si="305"/>
        <v/>
      </c>
      <c r="BK93" s="4" t="str">
        <f t="shared" si="306"/>
        <v/>
      </c>
      <c r="BL93" s="386" t="str">
        <f t="shared" si="307"/>
        <v/>
      </c>
      <c r="BM93" s="386">
        <f t="shared" si="363"/>
        <v>0</v>
      </c>
      <c r="BN93" s="386" t="str">
        <f t="shared" si="308"/>
        <v/>
      </c>
      <c r="BO93" s="387" t="str">
        <f t="shared" si="309"/>
        <v/>
      </c>
      <c r="BP93" s="682">
        <f t="shared" si="310"/>
        <v>0</v>
      </c>
      <c r="BQ93" s="4">
        <f t="shared" si="311"/>
        <v>0</v>
      </c>
      <c r="BR93" s="386">
        <f t="shared" si="312"/>
        <v>2872</v>
      </c>
      <c r="BS93" s="386">
        <f t="shared" si="364"/>
        <v>2872</v>
      </c>
      <c r="BT93" s="386">
        <f t="shared" si="314"/>
        <v>1093.2400000000002</v>
      </c>
      <c r="BU93" s="387">
        <f t="shared" si="315"/>
        <v>14212120.000000002</v>
      </c>
      <c r="BV93" s="682" t="str">
        <f t="shared" si="316"/>
        <v/>
      </c>
      <c r="BW93" s="4" t="str">
        <f t="shared" si="317"/>
        <v/>
      </c>
      <c r="BX93" s="386" t="str">
        <f t="shared" si="318"/>
        <v/>
      </c>
      <c r="BY93" s="386">
        <f t="shared" si="370"/>
        <v>0</v>
      </c>
      <c r="BZ93" s="386" t="str">
        <f t="shared" si="319"/>
        <v/>
      </c>
      <c r="CA93" s="387" t="str">
        <f t="shared" si="320"/>
        <v/>
      </c>
      <c r="CB93" s="682" t="str">
        <f t="shared" si="321"/>
        <v/>
      </c>
      <c r="CC93" s="4" t="str">
        <f t="shared" si="322"/>
        <v/>
      </c>
      <c r="CD93" s="386" t="str">
        <f t="shared" si="323"/>
        <v/>
      </c>
      <c r="CE93" s="386">
        <f t="shared" si="259"/>
        <v>0</v>
      </c>
      <c r="CF93" s="386" t="str">
        <f t="shared" si="324"/>
        <v/>
      </c>
      <c r="CG93" s="387" t="str">
        <f t="shared" si="325"/>
        <v/>
      </c>
      <c r="CH93" s="682">
        <f t="shared" si="326"/>
        <v>0</v>
      </c>
      <c r="CI93" s="4">
        <f t="shared" si="327"/>
        <v>0</v>
      </c>
      <c r="CJ93" s="386">
        <f t="shared" si="328"/>
        <v>302</v>
      </c>
      <c r="CK93" s="386">
        <f t="shared" si="365"/>
        <v>302</v>
      </c>
      <c r="CL93" s="386">
        <f t="shared" si="330"/>
        <v>125.63200000000001</v>
      </c>
      <c r="CM93" s="387">
        <f t="shared" si="331"/>
        <v>2944814.08</v>
      </c>
      <c r="CN93" s="682" t="str">
        <f t="shared" si="332"/>
        <v/>
      </c>
      <c r="CO93" s="4" t="str">
        <f t="shared" si="333"/>
        <v/>
      </c>
      <c r="CP93" s="386" t="str">
        <f t="shared" si="334"/>
        <v/>
      </c>
      <c r="CQ93" s="386">
        <f t="shared" si="366"/>
        <v>0</v>
      </c>
      <c r="CR93" s="386" t="str">
        <f t="shared" si="336"/>
        <v/>
      </c>
      <c r="CS93" s="387" t="str">
        <f t="shared" si="337"/>
        <v/>
      </c>
      <c r="CT93" s="682" t="str">
        <f t="shared" si="338"/>
        <v/>
      </c>
      <c r="CU93" s="4" t="str">
        <f t="shared" si="339"/>
        <v/>
      </c>
      <c r="CV93" s="386" t="str">
        <f t="shared" si="340"/>
        <v/>
      </c>
      <c r="CW93" s="386">
        <f t="shared" si="260"/>
        <v>0</v>
      </c>
      <c r="CX93" s="386" t="str">
        <f t="shared" si="341"/>
        <v/>
      </c>
      <c r="CY93" s="387" t="str">
        <f t="shared" si="342"/>
        <v/>
      </c>
      <c r="CZ93" s="682" t="str">
        <f t="shared" si="343"/>
        <v/>
      </c>
      <c r="DA93" s="4" t="str">
        <f t="shared" si="344"/>
        <v/>
      </c>
      <c r="DB93" s="386" t="str">
        <f t="shared" si="345"/>
        <v/>
      </c>
      <c r="DC93" s="386">
        <f t="shared" si="261"/>
        <v>0</v>
      </c>
      <c r="DD93" s="386" t="str">
        <f t="shared" si="346"/>
        <v/>
      </c>
      <c r="DE93" s="387" t="str">
        <f t="shared" si="347"/>
        <v/>
      </c>
      <c r="DF93" s="682">
        <f t="shared" si="348"/>
        <v>0</v>
      </c>
      <c r="DG93" s="4">
        <f t="shared" si="349"/>
        <v>0</v>
      </c>
      <c r="DH93" s="386">
        <f t="shared" si="350"/>
        <v>1800</v>
      </c>
      <c r="DI93" s="386">
        <f t="shared" si="367"/>
        <v>1800</v>
      </c>
      <c r="DJ93" s="386">
        <f t="shared" si="352"/>
        <v>829.80000000000018</v>
      </c>
      <c r="DK93" s="387">
        <f t="shared" si="353"/>
        <v>14695758.000000002</v>
      </c>
      <c r="DL93" s="682"/>
      <c r="DM93" s="4">
        <f t="shared" si="354"/>
        <v>0</v>
      </c>
      <c r="DN93" s="386">
        <f t="shared" si="355"/>
        <v>1202</v>
      </c>
      <c r="DO93" s="386">
        <f t="shared" si="368"/>
        <v>1202</v>
      </c>
      <c r="DP93" s="386">
        <f t="shared" si="357"/>
        <v>627.44399999999985</v>
      </c>
      <c r="DQ93" s="387">
        <f t="shared" si="358"/>
        <v>1916372.6399999997</v>
      </c>
    </row>
    <row r="94" spans="1:121" x14ac:dyDescent="0.25">
      <c r="A94" t="s">
        <v>313</v>
      </c>
      <c r="B94" t="s">
        <v>33</v>
      </c>
      <c r="C94" s="383" t="s">
        <v>34</v>
      </c>
      <c r="D94" t="s">
        <v>270</v>
      </c>
      <c r="E94" s="383" t="s">
        <v>271</v>
      </c>
      <c r="F94" t="s">
        <v>314</v>
      </c>
      <c r="G94" s="383" t="s">
        <v>315</v>
      </c>
      <c r="H94" s="385" t="str">
        <f t="shared" si="264"/>
        <v/>
      </c>
      <c r="I94" s="386" t="str">
        <f t="shared" si="265"/>
        <v/>
      </c>
      <c r="J94" s="386" t="str">
        <f t="shared" si="266"/>
        <v/>
      </c>
      <c r="K94" s="386">
        <f t="shared" si="267"/>
        <v>0</v>
      </c>
      <c r="L94" s="386" t="str">
        <f t="shared" si="268"/>
        <v/>
      </c>
      <c r="M94" s="387" t="str">
        <f t="shared" si="269"/>
        <v/>
      </c>
      <c r="N94" s="385"/>
      <c r="O94" s="386"/>
      <c r="P94" s="386"/>
      <c r="Q94" s="386"/>
      <c r="R94" s="386"/>
      <c r="S94" s="387"/>
      <c r="T94" s="385">
        <f t="shared" si="270"/>
        <v>305</v>
      </c>
      <c r="U94" s="386">
        <f t="shared" si="271"/>
        <v>0</v>
      </c>
      <c r="V94" s="386">
        <f t="shared" si="272"/>
        <v>329</v>
      </c>
      <c r="W94" s="386">
        <f t="shared" si="273"/>
        <v>329</v>
      </c>
      <c r="X94" s="386">
        <f t="shared" si="274"/>
        <v>43.75</v>
      </c>
      <c r="Y94" s="387">
        <f t="shared" si="275"/>
        <v>656250</v>
      </c>
      <c r="Z94" s="3">
        <f t="shared" si="276"/>
        <v>0</v>
      </c>
      <c r="AA94" s="4">
        <f t="shared" si="277"/>
        <v>0</v>
      </c>
      <c r="AB94" s="386">
        <f t="shared" si="278"/>
        <v>110</v>
      </c>
      <c r="AC94" s="386">
        <f t="shared" si="279"/>
        <v>110</v>
      </c>
      <c r="AD94" s="386" t="str">
        <f t="shared" si="280"/>
        <v/>
      </c>
      <c r="AE94" s="387">
        <f t="shared" si="281"/>
        <v>877140.00000000012</v>
      </c>
      <c r="AF94" s="682">
        <f t="shared" si="282"/>
        <v>0</v>
      </c>
      <c r="AG94" s="4">
        <f t="shared" si="283"/>
        <v>328</v>
      </c>
      <c r="AH94" s="386">
        <f t="shared" si="284"/>
        <v>533</v>
      </c>
      <c r="AI94" s="386">
        <f t="shared" si="359"/>
        <v>861</v>
      </c>
      <c r="AJ94" s="386">
        <f t="shared" si="286"/>
        <v>676.42499999999995</v>
      </c>
      <c r="AK94" s="387">
        <f t="shared" si="287"/>
        <v>13528500</v>
      </c>
      <c r="AL94" s="385"/>
      <c r="AM94" s="386"/>
      <c r="AN94" s="386"/>
      <c r="AO94" s="386"/>
      <c r="AP94" s="386"/>
      <c r="AQ94" s="387"/>
      <c r="AR94" s="682" t="str">
        <f t="shared" si="288"/>
        <v/>
      </c>
      <c r="AS94" s="4" t="str">
        <f t="shared" si="289"/>
        <v/>
      </c>
      <c r="AT94" s="386" t="str">
        <f t="shared" si="290"/>
        <v/>
      </c>
      <c r="AU94" s="386">
        <f t="shared" si="360"/>
        <v>0</v>
      </c>
      <c r="AV94" s="386" t="str">
        <f t="shared" si="292"/>
        <v/>
      </c>
      <c r="AW94" s="387" t="str">
        <f t="shared" si="293"/>
        <v/>
      </c>
      <c r="AX94" s="682" t="str">
        <f t="shared" si="294"/>
        <v/>
      </c>
      <c r="AY94" s="4" t="str">
        <f t="shared" si="295"/>
        <v/>
      </c>
      <c r="AZ94" s="386" t="str">
        <f t="shared" si="296"/>
        <v/>
      </c>
      <c r="BA94" s="386">
        <f t="shared" si="361"/>
        <v>0</v>
      </c>
      <c r="BB94" s="386" t="str">
        <f t="shared" si="298"/>
        <v/>
      </c>
      <c r="BC94" s="387" t="str">
        <f t="shared" si="299"/>
        <v/>
      </c>
      <c r="BD94" s="682">
        <f t="shared" si="300"/>
        <v>0</v>
      </c>
      <c r="BE94" s="4">
        <f t="shared" si="301"/>
        <v>20</v>
      </c>
      <c r="BF94" s="386">
        <f t="shared" si="302"/>
        <v>20</v>
      </c>
      <c r="BG94" s="386">
        <f t="shared" si="362"/>
        <v>40</v>
      </c>
      <c r="BH94" s="386">
        <f t="shared" si="303"/>
        <v>0</v>
      </c>
      <c r="BI94" s="387">
        <f t="shared" si="304"/>
        <v>300000</v>
      </c>
      <c r="BJ94" s="682" t="str">
        <f t="shared" si="305"/>
        <v/>
      </c>
      <c r="BK94" s="4" t="str">
        <f t="shared" si="306"/>
        <v/>
      </c>
      <c r="BL94" s="386" t="str">
        <f t="shared" si="307"/>
        <v/>
      </c>
      <c r="BM94" s="386">
        <f t="shared" si="363"/>
        <v>0</v>
      </c>
      <c r="BN94" s="386" t="str">
        <f t="shared" si="308"/>
        <v/>
      </c>
      <c r="BO94" s="387" t="str">
        <f t="shared" si="309"/>
        <v/>
      </c>
      <c r="BP94" s="682">
        <f t="shared" si="310"/>
        <v>0</v>
      </c>
      <c r="BQ94" s="4">
        <f t="shared" si="311"/>
        <v>582</v>
      </c>
      <c r="BR94" s="386">
        <f t="shared" si="312"/>
        <v>276</v>
      </c>
      <c r="BS94" s="386">
        <f t="shared" si="364"/>
        <v>858</v>
      </c>
      <c r="BT94" s="386">
        <f t="shared" si="314"/>
        <v>2210.2139999999999</v>
      </c>
      <c r="BU94" s="387">
        <f t="shared" si="315"/>
        <v>28732782</v>
      </c>
      <c r="BV94" s="682" t="str">
        <f t="shared" si="316"/>
        <v/>
      </c>
      <c r="BW94" s="4" t="str">
        <f t="shared" si="317"/>
        <v/>
      </c>
      <c r="BX94" s="386" t="str">
        <f t="shared" si="318"/>
        <v/>
      </c>
      <c r="BY94" s="386">
        <f t="shared" si="370"/>
        <v>0</v>
      </c>
      <c r="BZ94" s="386" t="str">
        <f t="shared" si="319"/>
        <v/>
      </c>
      <c r="CA94" s="387" t="str">
        <f t="shared" si="320"/>
        <v/>
      </c>
      <c r="CB94" s="682" t="str">
        <f t="shared" si="321"/>
        <v/>
      </c>
      <c r="CC94" s="4" t="str">
        <f t="shared" si="322"/>
        <v/>
      </c>
      <c r="CD94" s="386" t="str">
        <f t="shared" si="323"/>
        <v/>
      </c>
      <c r="CE94" s="386">
        <f t="shared" si="259"/>
        <v>0</v>
      </c>
      <c r="CF94" s="386" t="str">
        <f t="shared" si="324"/>
        <v/>
      </c>
      <c r="CG94" s="387" t="str">
        <f t="shared" si="325"/>
        <v/>
      </c>
      <c r="CH94" s="682">
        <f t="shared" si="326"/>
        <v>0</v>
      </c>
      <c r="CI94" s="4">
        <f t="shared" si="327"/>
        <v>0</v>
      </c>
      <c r="CJ94" s="386">
        <f t="shared" si="328"/>
        <v>265</v>
      </c>
      <c r="CK94" s="386">
        <f t="shared" si="365"/>
        <v>265</v>
      </c>
      <c r="CL94" s="386">
        <f t="shared" si="330"/>
        <v>110.24000000000001</v>
      </c>
      <c r="CM94" s="387">
        <f t="shared" si="331"/>
        <v>2584025.6000000006</v>
      </c>
      <c r="CN94" s="682">
        <f t="shared" si="332"/>
        <v>0</v>
      </c>
      <c r="CO94" s="4">
        <f t="shared" si="333"/>
        <v>50</v>
      </c>
      <c r="CP94" s="386">
        <f t="shared" si="334"/>
        <v>738</v>
      </c>
      <c r="CQ94" s="386">
        <f t="shared" si="366"/>
        <v>788</v>
      </c>
      <c r="CR94" s="386">
        <f t="shared" si="336"/>
        <v>354.41000000000008</v>
      </c>
      <c r="CS94" s="387">
        <f t="shared" si="337"/>
        <v>6225645.8000000007</v>
      </c>
      <c r="CT94" s="682" t="str">
        <f t="shared" si="338"/>
        <v/>
      </c>
      <c r="CU94" s="4" t="str">
        <f t="shared" si="339"/>
        <v/>
      </c>
      <c r="CV94" s="386" t="str">
        <f t="shared" si="340"/>
        <v/>
      </c>
      <c r="CW94" s="386">
        <f t="shared" si="260"/>
        <v>0</v>
      </c>
      <c r="CX94" s="386" t="str">
        <f t="shared" si="341"/>
        <v/>
      </c>
      <c r="CY94" s="387" t="str">
        <f t="shared" si="342"/>
        <v/>
      </c>
      <c r="CZ94" s="682" t="str">
        <f t="shared" si="343"/>
        <v/>
      </c>
      <c r="DA94" s="4" t="str">
        <f t="shared" si="344"/>
        <v/>
      </c>
      <c r="DB94" s="386" t="str">
        <f t="shared" si="345"/>
        <v/>
      </c>
      <c r="DC94" s="386">
        <f t="shared" si="261"/>
        <v>0</v>
      </c>
      <c r="DD94" s="386" t="str">
        <f t="shared" si="346"/>
        <v/>
      </c>
      <c r="DE94" s="387" t="str">
        <f t="shared" si="347"/>
        <v/>
      </c>
      <c r="DF94" s="682" t="str">
        <f t="shared" si="348"/>
        <v/>
      </c>
      <c r="DG94" s="4" t="str">
        <f t="shared" si="349"/>
        <v/>
      </c>
      <c r="DH94" s="386" t="str">
        <f t="shared" si="350"/>
        <v/>
      </c>
      <c r="DI94" s="386">
        <f t="shared" si="367"/>
        <v>0</v>
      </c>
      <c r="DJ94" s="386" t="str">
        <f t="shared" si="352"/>
        <v/>
      </c>
      <c r="DK94" s="387" t="str">
        <f t="shared" si="353"/>
        <v/>
      </c>
      <c r="DL94" s="682"/>
      <c r="DM94" s="4" t="str">
        <f t="shared" si="354"/>
        <v/>
      </c>
      <c r="DN94" s="386" t="str">
        <f t="shared" si="355"/>
        <v/>
      </c>
      <c r="DO94" s="386">
        <f t="shared" si="368"/>
        <v>0</v>
      </c>
      <c r="DP94" s="386" t="str">
        <f t="shared" si="357"/>
        <v/>
      </c>
      <c r="DQ94" s="387" t="str">
        <f t="shared" si="358"/>
        <v/>
      </c>
    </row>
    <row r="95" spans="1:121" x14ac:dyDescent="0.25">
      <c r="A95" t="s">
        <v>316</v>
      </c>
      <c r="B95" t="s">
        <v>33</v>
      </c>
      <c r="C95" s="383" t="s">
        <v>34</v>
      </c>
      <c r="D95" t="s">
        <v>270</v>
      </c>
      <c r="E95" s="383" t="s">
        <v>271</v>
      </c>
      <c r="F95" t="s">
        <v>317</v>
      </c>
      <c r="G95" s="383" t="s">
        <v>53</v>
      </c>
      <c r="H95" s="385" t="str">
        <f t="shared" si="264"/>
        <v/>
      </c>
      <c r="I95" s="386" t="str">
        <f t="shared" si="265"/>
        <v/>
      </c>
      <c r="J95" s="386" t="str">
        <f t="shared" si="266"/>
        <v/>
      </c>
      <c r="K95" s="386">
        <f t="shared" si="267"/>
        <v>0</v>
      </c>
      <c r="L95" s="386" t="str">
        <f t="shared" si="268"/>
        <v/>
      </c>
      <c r="M95" s="387" t="str">
        <f t="shared" si="269"/>
        <v/>
      </c>
      <c r="N95" s="385"/>
      <c r="O95" s="386"/>
      <c r="P95" s="386"/>
      <c r="Q95" s="386"/>
      <c r="R95" s="386"/>
      <c r="S95" s="387"/>
      <c r="T95" s="385">
        <f t="shared" si="270"/>
        <v>420</v>
      </c>
      <c r="U95" s="386">
        <f t="shared" si="271"/>
        <v>0</v>
      </c>
      <c r="V95" s="386">
        <f t="shared" si="272"/>
        <v>225</v>
      </c>
      <c r="W95" s="386">
        <f t="shared" si="273"/>
        <v>225</v>
      </c>
      <c r="X95" s="386">
        <f t="shared" si="274"/>
        <v>50.725000000000001</v>
      </c>
      <c r="Y95" s="387">
        <f t="shared" si="275"/>
        <v>786237.50000000012</v>
      </c>
      <c r="Z95" s="3" t="str">
        <f t="shared" si="276"/>
        <v/>
      </c>
      <c r="AA95" s="4" t="str">
        <f t="shared" si="277"/>
        <v/>
      </c>
      <c r="AB95" s="386" t="str">
        <f t="shared" si="278"/>
        <v/>
      </c>
      <c r="AC95" s="386">
        <f t="shared" si="279"/>
        <v>0</v>
      </c>
      <c r="AD95" s="386" t="str">
        <f t="shared" si="280"/>
        <v/>
      </c>
      <c r="AE95" s="387" t="str">
        <f t="shared" si="281"/>
        <v/>
      </c>
      <c r="AF95" s="682">
        <f t="shared" si="282"/>
        <v>0</v>
      </c>
      <c r="AG95" s="4">
        <f t="shared" si="283"/>
        <v>0</v>
      </c>
      <c r="AH95" s="386">
        <f t="shared" si="284"/>
        <v>179</v>
      </c>
      <c r="AI95" s="386">
        <f t="shared" si="359"/>
        <v>179</v>
      </c>
      <c r="AJ95" s="386">
        <f t="shared" si="286"/>
        <v>126.58499999999998</v>
      </c>
      <c r="AK95" s="387">
        <f t="shared" si="287"/>
        <v>2531699.9999999995</v>
      </c>
      <c r="AL95" s="385"/>
      <c r="AM95" s="386"/>
      <c r="AN95" s="386"/>
      <c r="AO95" s="386"/>
      <c r="AP95" s="386"/>
      <c r="AQ95" s="387"/>
      <c r="AR95" s="682" t="str">
        <f t="shared" si="288"/>
        <v/>
      </c>
      <c r="AS95" s="4" t="str">
        <f t="shared" si="289"/>
        <v/>
      </c>
      <c r="AT95" s="386" t="str">
        <f t="shared" si="290"/>
        <v/>
      </c>
      <c r="AU95" s="386">
        <f t="shared" si="360"/>
        <v>0</v>
      </c>
      <c r="AV95" s="386" t="str">
        <f t="shared" si="292"/>
        <v/>
      </c>
      <c r="AW95" s="387" t="str">
        <f t="shared" si="293"/>
        <v/>
      </c>
      <c r="AX95" s="682" t="str">
        <f t="shared" si="294"/>
        <v/>
      </c>
      <c r="AY95" s="4" t="str">
        <f t="shared" si="295"/>
        <v/>
      </c>
      <c r="AZ95" s="386" t="str">
        <f t="shared" si="296"/>
        <v/>
      </c>
      <c r="BA95" s="386">
        <f t="shared" si="361"/>
        <v>0</v>
      </c>
      <c r="BB95" s="386" t="str">
        <f t="shared" si="298"/>
        <v/>
      </c>
      <c r="BC95" s="387" t="str">
        <f t="shared" si="299"/>
        <v/>
      </c>
      <c r="BD95" s="682" t="str">
        <f t="shared" si="300"/>
        <v/>
      </c>
      <c r="BE95" s="4" t="str">
        <f t="shared" si="301"/>
        <v/>
      </c>
      <c r="BF95" s="386" t="str">
        <f t="shared" si="302"/>
        <v/>
      </c>
      <c r="BG95" s="386">
        <f t="shared" si="362"/>
        <v>0</v>
      </c>
      <c r="BH95" s="386" t="str">
        <f t="shared" si="303"/>
        <v/>
      </c>
      <c r="BI95" s="387" t="str">
        <f t="shared" si="304"/>
        <v/>
      </c>
      <c r="BJ95" s="682" t="str">
        <f t="shared" si="305"/>
        <v/>
      </c>
      <c r="BK95" s="4" t="str">
        <f t="shared" si="306"/>
        <v/>
      </c>
      <c r="BL95" s="386" t="str">
        <f t="shared" si="307"/>
        <v/>
      </c>
      <c r="BM95" s="386">
        <f t="shared" si="363"/>
        <v>0</v>
      </c>
      <c r="BN95" s="386" t="str">
        <f t="shared" si="308"/>
        <v/>
      </c>
      <c r="BO95" s="387" t="str">
        <f t="shared" si="309"/>
        <v/>
      </c>
      <c r="BP95" s="682">
        <f t="shared" si="310"/>
        <v>0</v>
      </c>
      <c r="BQ95" s="4">
        <f t="shared" si="311"/>
        <v>15</v>
      </c>
      <c r="BR95" s="386">
        <f t="shared" si="312"/>
        <v>1164.7</v>
      </c>
      <c r="BS95" s="386">
        <f t="shared" si="364"/>
        <v>1179.7</v>
      </c>
      <c r="BT95" s="386">
        <f t="shared" si="314"/>
        <v>730.62600000000009</v>
      </c>
      <c r="BU95" s="387">
        <f t="shared" si="315"/>
        <v>9498138.0000000019</v>
      </c>
      <c r="BV95" s="682" t="str">
        <f t="shared" si="316"/>
        <v/>
      </c>
      <c r="BW95" s="4" t="str">
        <f t="shared" si="317"/>
        <v/>
      </c>
      <c r="BX95" s="386" t="str">
        <f t="shared" si="318"/>
        <v/>
      </c>
      <c r="BY95" s="386">
        <f t="shared" si="370"/>
        <v>0</v>
      </c>
      <c r="BZ95" s="386" t="str">
        <f t="shared" si="319"/>
        <v/>
      </c>
      <c r="CA95" s="387" t="str">
        <f t="shared" si="320"/>
        <v/>
      </c>
      <c r="CB95" s="682" t="str">
        <f t="shared" si="321"/>
        <v/>
      </c>
      <c r="CC95" s="4" t="str">
        <f t="shared" si="322"/>
        <v/>
      </c>
      <c r="CD95" s="386" t="str">
        <f t="shared" si="323"/>
        <v/>
      </c>
      <c r="CE95" s="386">
        <f t="shared" si="259"/>
        <v>0</v>
      </c>
      <c r="CF95" s="386" t="str">
        <f t="shared" si="324"/>
        <v/>
      </c>
      <c r="CG95" s="387" t="str">
        <f t="shared" si="325"/>
        <v/>
      </c>
      <c r="CH95" s="682">
        <f t="shared" si="326"/>
        <v>0</v>
      </c>
      <c r="CI95" s="4">
        <f t="shared" si="327"/>
        <v>0</v>
      </c>
      <c r="CJ95" s="386">
        <f t="shared" si="328"/>
        <v>780</v>
      </c>
      <c r="CK95" s="386">
        <f t="shared" si="365"/>
        <v>780</v>
      </c>
      <c r="CL95" s="386">
        <f t="shared" si="330"/>
        <v>324.48</v>
      </c>
      <c r="CM95" s="387">
        <f t="shared" si="331"/>
        <v>7605811.2000000011</v>
      </c>
      <c r="CN95" s="682">
        <f t="shared" si="332"/>
        <v>0</v>
      </c>
      <c r="CO95" s="4">
        <f t="shared" si="333"/>
        <v>10</v>
      </c>
      <c r="CP95" s="386">
        <f t="shared" si="334"/>
        <v>30</v>
      </c>
      <c r="CQ95" s="386">
        <f t="shared" si="366"/>
        <v>40</v>
      </c>
      <c r="CR95" s="386">
        <f t="shared" si="336"/>
        <v>40.891000000000005</v>
      </c>
      <c r="CS95" s="387">
        <f t="shared" si="337"/>
        <v>710685.58</v>
      </c>
      <c r="CT95" s="682" t="str">
        <f t="shared" si="338"/>
        <v/>
      </c>
      <c r="CU95" s="4" t="str">
        <f t="shared" si="339"/>
        <v/>
      </c>
      <c r="CV95" s="386" t="str">
        <f t="shared" si="340"/>
        <v/>
      </c>
      <c r="CW95" s="386">
        <f t="shared" si="260"/>
        <v>0</v>
      </c>
      <c r="CX95" s="386" t="str">
        <f t="shared" si="341"/>
        <v/>
      </c>
      <c r="CY95" s="387" t="str">
        <f t="shared" si="342"/>
        <v/>
      </c>
      <c r="CZ95" s="682" t="str">
        <f t="shared" si="343"/>
        <v/>
      </c>
      <c r="DA95" s="4" t="str">
        <f t="shared" si="344"/>
        <v/>
      </c>
      <c r="DB95" s="386" t="str">
        <f t="shared" si="345"/>
        <v/>
      </c>
      <c r="DC95" s="386">
        <f t="shared" si="261"/>
        <v>0</v>
      </c>
      <c r="DD95" s="386" t="str">
        <f t="shared" si="346"/>
        <v/>
      </c>
      <c r="DE95" s="387" t="str">
        <f t="shared" si="347"/>
        <v/>
      </c>
      <c r="DF95" s="682">
        <f t="shared" si="348"/>
        <v>0</v>
      </c>
      <c r="DG95" s="4">
        <f t="shared" si="349"/>
        <v>0</v>
      </c>
      <c r="DH95" s="386">
        <f t="shared" si="350"/>
        <v>432.1</v>
      </c>
      <c r="DI95" s="386">
        <f t="shared" si="367"/>
        <v>432.1</v>
      </c>
      <c r="DJ95" s="386">
        <f t="shared" si="352"/>
        <v>199.19810000000004</v>
      </c>
      <c r="DK95" s="387">
        <f t="shared" si="353"/>
        <v>3527798.3510000007</v>
      </c>
      <c r="DL95" s="682"/>
      <c r="DM95" s="4">
        <f t="shared" si="354"/>
        <v>0</v>
      </c>
      <c r="DN95" s="386">
        <f t="shared" si="355"/>
        <v>583.54999999999995</v>
      </c>
      <c r="DO95" s="386">
        <f t="shared" si="368"/>
        <v>583.54999999999995</v>
      </c>
      <c r="DP95" s="386">
        <f t="shared" si="357"/>
        <v>634.61062499999991</v>
      </c>
      <c r="DQ95" s="387">
        <f t="shared" si="358"/>
        <v>1938261.325</v>
      </c>
    </row>
    <row r="96" spans="1:121" x14ac:dyDescent="0.25">
      <c r="A96" t="s">
        <v>318</v>
      </c>
      <c r="B96" t="s">
        <v>33</v>
      </c>
      <c r="C96" s="383" t="s">
        <v>34</v>
      </c>
      <c r="D96" t="s">
        <v>270</v>
      </c>
      <c r="E96" s="383" t="s">
        <v>271</v>
      </c>
      <c r="F96" t="s">
        <v>319</v>
      </c>
      <c r="G96" s="383" t="s">
        <v>320</v>
      </c>
      <c r="H96" s="385" t="str">
        <f t="shared" si="264"/>
        <v/>
      </c>
      <c r="I96" s="386" t="str">
        <f t="shared" si="265"/>
        <v/>
      </c>
      <c r="J96" s="386" t="str">
        <f t="shared" si="266"/>
        <v/>
      </c>
      <c r="K96" s="386">
        <f t="shared" si="267"/>
        <v>0</v>
      </c>
      <c r="L96" s="386" t="str">
        <f t="shared" si="268"/>
        <v/>
      </c>
      <c r="M96" s="387" t="str">
        <f t="shared" si="269"/>
        <v/>
      </c>
      <c r="N96" s="385"/>
      <c r="O96" s="386"/>
      <c r="P96" s="386"/>
      <c r="Q96" s="386"/>
      <c r="R96" s="386"/>
      <c r="S96" s="387"/>
      <c r="T96" s="385">
        <f t="shared" si="270"/>
        <v>0</v>
      </c>
      <c r="U96" s="386">
        <f t="shared" si="271"/>
        <v>85.84</v>
      </c>
      <c r="V96" s="386">
        <f t="shared" si="272"/>
        <v>98.6</v>
      </c>
      <c r="W96" s="386">
        <f t="shared" si="273"/>
        <v>184.44</v>
      </c>
      <c r="X96" s="386">
        <f t="shared" si="274"/>
        <v>0</v>
      </c>
      <c r="Y96" s="387">
        <f t="shared" si="275"/>
        <v>0</v>
      </c>
      <c r="Z96" s="3" t="str">
        <f t="shared" si="276"/>
        <v/>
      </c>
      <c r="AA96" s="4" t="str">
        <f t="shared" si="277"/>
        <v/>
      </c>
      <c r="AB96" s="386" t="str">
        <f t="shared" si="278"/>
        <v/>
      </c>
      <c r="AC96" s="386">
        <f t="shared" si="279"/>
        <v>0</v>
      </c>
      <c r="AD96" s="386" t="str">
        <f t="shared" si="280"/>
        <v/>
      </c>
      <c r="AE96" s="387" t="str">
        <f t="shared" si="281"/>
        <v/>
      </c>
      <c r="AF96" s="682">
        <f t="shared" si="282"/>
        <v>0</v>
      </c>
      <c r="AG96" s="4">
        <f t="shared" si="283"/>
        <v>248.5</v>
      </c>
      <c r="AH96" s="386">
        <f t="shared" si="284"/>
        <v>0</v>
      </c>
      <c r="AI96" s="386">
        <f t="shared" si="359"/>
        <v>248.5</v>
      </c>
      <c r="AJ96" s="386">
        <f t="shared" si="286"/>
        <v>802.57499999999993</v>
      </c>
      <c r="AK96" s="387">
        <f t="shared" si="287"/>
        <v>16051499.999999998</v>
      </c>
      <c r="AL96" s="385"/>
      <c r="AM96" s="386"/>
      <c r="AN96" s="386"/>
      <c r="AO96" s="386"/>
      <c r="AP96" s="386"/>
      <c r="AQ96" s="387"/>
      <c r="AR96" s="682" t="str">
        <f t="shared" si="288"/>
        <v/>
      </c>
      <c r="AS96" s="4" t="str">
        <f t="shared" si="289"/>
        <v/>
      </c>
      <c r="AT96" s="386" t="str">
        <f t="shared" si="290"/>
        <v/>
      </c>
      <c r="AU96" s="386">
        <f t="shared" si="360"/>
        <v>0</v>
      </c>
      <c r="AV96" s="386" t="str">
        <f t="shared" si="292"/>
        <v/>
      </c>
      <c r="AW96" s="387" t="str">
        <f t="shared" si="293"/>
        <v/>
      </c>
      <c r="AX96" s="682" t="str">
        <f t="shared" si="294"/>
        <v/>
      </c>
      <c r="AY96" s="4" t="str">
        <f t="shared" si="295"/>
        <v/>
      </c>
      <c r="AZ96" s="386" t="str">
        <f t="shared" si="296"/>
        <v/>
      </c>
      <c r="BA96" s="386">
        <f t="shared" si="361"/>
        <v>0</v>
      </c>
      <c r="BB96" s="386" t="str">
        <f t="shared" si="298"/>
        <v/>
      </c>
      <c r="BC96" s="387" t="str">
        <f t="shared" si="299"/>
        <v/>
      </c>
      <c r="BD96" s="682" t="str">
        <f t="shared" si="300"/>
        <v/>
      </c>
      <c r="BE96" s="4" t="str">
        <f t="shared" si="301"/>
        <v/>
      </c>
      <c r="BF96" s="386" t="str">
        <f t="shared" si="302"/>
        <v/>
      </c>
      <c r="BG96" s="386">
        <f t="shared" si="362"/>
        <v>0</v>
      </c>
      <c r="BH96" s="386" t="str">
        <f t="shared" si="303"/>
        <v/>
      </c>
      <c r="BI96" s="387" t="str">
        <f t="shared" si="304"/>
        <v/>
      </c>
      <c r="BJ96" s="682" t="str">
        <f t="shared" si="305"/>
        <v/>
      </c>
      <c r="BK96" s="4" t="str">
        <f t="shared" si="306"/>
        <v/>
      </c>
      <c r="BL96" s="386" t="str">
        <f t="shared" si="307"/>
        <v/>
      </c>
      <c r="BM96" s="386">
        <f t="shared" si="363"/>
        <v>0</v>
      </c>
      <c r="BN96" s="386" t="str">
        <f t="shared" si="308"/>
        <v/>
      </c>
      <c r="BO96" s="387" t="str">
        <f t="shared" si="309"/>
        <v/>
      </c>
      <c r="BP96" s="682">
        <f t="shared" si="310"/>
        <v>0</v>
      </c>
      <c r="BQ96" s="4">
        <f t="shared" si="311"/>
        <v>217</v>
      </c>
      <c r="BR96" s="386">
        <f t="shared" si="312"/>
        <v>2562</v>
      </c>
      <c r="BS96" s="386">
        <f t="shared" si="364"/>
        <v>2779</v>
      </c>
      <c r="BT96" s="386">
        <f t="shared" si="314"/>
        <v>2072.616</v>
      </c>
      <c r="BU96" s="387">
        <f t="shared" si="315"/>
        <v>26944008</v>
      </c>
      <c r="BV96" s="682" t="str">
        <f t="shared" si="316"/>
        <v/>
      </c>
      <c r="BW96" s="4" t="str">
        <f t="shared" si="317"/>
        <v/>
      </c>
      <c r="BX96" s="386" t="str">
        <f t="shared" si="318"/>
        <v/>
      </c>
      <c r="BY96" s="386">
        <f t="shared" si="370"/>
        <v>0</v>
      </c>
      <c r="BZ96" s="386" t="str">
        <f t="shared" si="319"/>
        <v/>
      </c>
      <c r="CA96" s="387" t="str">
        <f t="shared" si="320"/>
        <v/>
      </c>
      <c r="CB96" s="682">
        <v>40</v>
      </c>
      <c r="CC96" s="4" t="str">
        <f t="shared" si="322"/>
        <v/>
      </c>
      <c r="CD96" s="386">
        <v>60</v>
      </c>
      <c r="CE96" s="386">
        <f t="shared" si="259"/>
        <v>60</v>
      </c>
      <c r="CF96" s="386">
        <v>14.25</v>
      </c>
      <c r="CG96" s="387">
        <v>336015</v>
      </c>
      <c r="CH96" s="682">
        <f t="shared" si="326"/>
        <v>0</v>
      </c>
      <c r="CI96" s="4">
        <f t="shared" si="327"/>
        <v>0</v>
      </c>
      <c r="CJ96" s="386">
        <f t="shared" si="328"/>
        <v>234</v>
      </c>
      <c r="CK96" s="386">
        <f t="shared" si="365"/>
        <v>234</v>
      </c>
      <c r="CL96" s="386">
        <f t="shared" si="330"/>
        <v>97.344000000000008</v>
      </c>
      <c r="CM96" s="387">
        <f t="shared" si="331"/>
        <v>2281743.3600000003</v>
      </c>
      <c r="CN96" s="682">
        <f t="shared" si="332"/>
        <v>0</v>
      </c>
      <c r="CO96" s="4">
        <f t="shared" si="333"/>
        <v>185</v>
      </c>
      <c r="CP96" s="386">
        <f t="shared" si="334"/>
        <v>217</v>
      </c>
      <c r="CQ96" s="386">
        <f t="shared" si="366"/>
        <v>402</v>
      </c>
      <c r="CR96" s="386">
        <f t="shared" si="336"/>
        <v>812.77750000000015</v>
      </c>
      <c r="CS96" s="387">
        <f t="shared" si="337"/>
        <v>14126072.949999999</v>
      </c>
      <c r="CT96" s="682" t="str">
        <f t="shared" si="338"/>
        <v/>
      </c>
      <c r="CU96" s="4" t="str">
        <f t="shared" si="339"/>
        <v/>
      </c>
      <c r="CV96" s="386" t="str">
        <f t="shared" si="340"/>
        <v/>
      </c>
      <c r="CW96" s="386">
        <f t="shared" si="260"/>
        <v>0</v>
      </c>
      <c r="CX96" s="386" t="str">
        <f t="shared" si="341"/>
        <v/>
      </c>
      <c r="CY96" s="387" t="str">
        <f t="shared" si="342"/>
        <v/>
      </c>
      <c r="CZ96" s="682" t="str">
        <f t="shared" si="343"/>
        <v/>
      </c>
      <c r="DA96" s="4" t="str">
        <f t="shared" si="344"/>
        <v/>
      </c>
      <c r="DB96" s="386" t="str">
        <f t="shared" si="345"/>
        <v/>
      </c>
      <c r="DC96" s="386">
        <f t="shared" si="261"/>
        <v>0</v>
      </c>
      <c r="DD96" s="386" t="str">
        <f t="shared" si="346"/>
        <v/>
      </c>
      <c r="DE96" s="387" t="str">
        <f t="shared" si="347"/>
        <v/>
      </c>
      <c r="DF96" s="682">
        <f t="shared" si="348"/>
        <v>0</v>
      </c>
      <c r="DG96" s="4">
        <f t="shared" si="349"/>
        <v>425</v>
      </c>
      <c r="DH96" s="386">
        <f t="shared" si="350"/>
        <v>783</v>
      </c>
      <c r="DI96" s="386">
        <f t="shared" si="367"/>
        <v>1208</v>
      </c>
      <c r="DJ96" s="386">
        <f t="shared" si="352"/>
        <v>2320.2130000000002</v>
      </c>
      <c r="DK96" s="387">
        <f t="shared" si="353"/>
        <v>41090972.230000004</v>
      </c>
      <c r="DL96" s="682"/>
      <c r="DM96" s="4" t="str">
        <f t="shared" si="354"/>
        <v/>
      </c>
      <c r="DN96" s="386" t="str">
        <f t="shared" si="355"/>
        <v/>
      </c>
      <c r="DO96" s="386">
        <f t="shared" si="368"/>
        <v>0</v>
      </c>
      <c r="DP96" s="386" t="str">
        <f t="shared" si="357"/>
        <v/>
      </c>
      <c r="DQ96" s="387" t="str">
        <f t="shared" si="358"/>
        <v/>
      </c>
    </row>
    <row r="97" spans="1:121" x14ac:dyDescent="0.25">
      <c r="A97" t="s">
        <v>321</v>
      </c>
      <c r="B97" t="s">
        <v>33</v>
      </c>
      <c r="C97" s="383" t="s">
        <v>34</v>
      </c>
      <c r="D97" t="s">
        <v>270</v>
      </c>
      <c r="E97" s="383" t="s">
        <v>271</v>
      </c>
      <c r="F97" t="s">
        <v>322</v>
      </c>
      <c r="G97" s="383" t="s">
        <v>323</v>
      </c>
      <c r="H97" s="385" t="str">
        <f t="shared" si="264"/>
        <v/>
      </c>
      <c r="I97" s="386" t="str">
        <f t="shared" si="265"/>
        <v/>
      </c>
      <c r="J97" s="386" t="str">
        <f t="shared" si="266"/>
        <v/>
      </c>
      <c r="K97" s="386">
        <f t="shared" si="267"/>
        <v>0</v>
      </c>
      <c r="L97" s="386" t="str">
        <f t="shared" si="268"/>
        <v/>
      </c>
      <c r="M97" s="387" t="str">
        <f t="shared" si="269"/>
        <v/>
      </c>
      <c r="N97" s="385"/>
      <c r="O97" s="386"/>
      <c r="P97" s="386"/>
      <c r="Q97" s="386"/>
      <c r="R97" s="386"/>
      <c r="S97" s="387"/>
      <c r="T97" s="385" t="str">
        <f t="shared" si="270"/>
        <v/>
      </c>
      <c r="U97" s="386" t="str">
        <f t="shared" si="271"/>
        <v/>
      </c>
      <c r="V97" s="386" t="str">
        <f t="shared" si="272"/>
        <v/>
      </c>
      <c r="W97" s="386">
        <f t="shared" si="273"/>
        <v>0</v>
      </c>
      <c r="X97" s="386" t="str">
        <f t="shared" si="274"/>
        <v/>
      </c>
      <c r="Y97" s="387" t="str">
        <f t="shared" si="275"/>
        <v/>
      </c>
      <c r="Z97" s="3" t="str">
        <f t="shared" si="276"/>
        <v/>
      </c>
      <c r="AA97" s="4" t="str">
        <f t="shared" si="277"/>
        <v/>
      </c>
      <c r="AB97" s="386" t="str">
        <f t="shared" si="278"/>
        <v/>
      </c>
      <c r="AC97" s="386">
        <f t="shared" si="279"/>
        <v>0</v>
      </c>
      <c r="AD97" s="386" t="str">
        <f t="shared" si="280"/>
        <v/>
      </c>
      <c r="AE97" s="387" t="str">
        <f t="shared" si="281"/>
        <v/>
      </c>
      <c r="AF97" s="682">
        <f t="shared" si="282"/>
        <v>0</v>
      </c>
      <c r="AG97" s="4">
        <f t="shared" si="283"/>
        <v>13</v>
      </c>
      <c r="AH97" s="386">
        <f t="shared" si="284"/>
        <v>0</v>
      </c>
      <c r="AI97" s="386">
        <f t="shared" si="359"/>
        <v>13</v>
      </c>
      <c r="AJ97" s="386">
        <f t="shared" si="286"/>
        <v>0</v>
      </c>
      <c r="AK97" s="387">
        <f t="shared" si="287"/>
        <v>0</v>
      </c>
      <c r="AL97" s="385">
        <v>46</v>
      </c>
      <c r="AM97" s="386">
        <v>57</v>
      </c>
      <c r="AN97" s="386"/>
      <c r="AO97" s="386">
        <f>SUM(AM97:AN97)</f>
        <v>57</v>
      </c>
      <c r="AP97" s="386">
        <v>53.92</v>
      </c>
      <c r="AQ97" s="387">
        <v>916674</v>
      </c>
      <c r="AR97" s="682" t="str">
        <f t="shared" si="288"/>
        <v/>
      </c>
      <c r="AS97" s="4" t="str">
        <f t="shared" si="289"/>
        <v/>
      </c>
      <c r="AT97" s="386" t="str">
        <f t="shared" si="290"/>
        <v/>
      </c>
      <c r="AU97" s="386">
        <f t="shared" si="360"/>
        <v>0</v>
      </c>
      <c r="AV97" s="386" t="str">
        <f t="shared" si="292"/>
        <v/>
      </c>
      <c r="AW97" s="387" t="str">
        <f t="shared" si="293"/>
        <v/>
      </c>
      <c r="AX97" s="682" t="str">
        <f t="shared" si="294"/>
        <v/>
      </c>
      <c r="AY97" s="4" t="str">
        <f t="shared" si="295"/>
        <v/>
      </c>
      <c r="AZ97" s="386" t="str">
        <f t="shared" si="296"/>
        <v/>
      </c>
      <c r="BA97" s="386">
        <f t="shared" si="361"/>
        <v>0</v>
      </c>
      <c r="BB97" s="386" t="str">
        <f t="shared" si="298"/>
        <v/>
      </c>
      <c r="BC97" s="387" t="str">
        <f t="shared" si="299"/>
        <v/>
      </c>
      <c r="BD97" s="682" t="str">
        <f t="shared" si="300"/>
        <v/>
      </c>
      <c r="BE97" s="4" t="str">
        <f t="shared" si="301"/>
        <v/>
      </c>
      <c r="BF97" s="386" t="str">
        <f t="shared" si="302"/>
        <v/>
      </c>
      <c r="BG97" s="386">
        <f t="shared" si="362"/>
        <v>0</v>
      </c>
      <c r="BH97" s="386" t="str">
        <f t="shared" si="303"/>
        <v/>
      </c>
      <c r="BI97" s="387" t="str">
        <f t="shared" si="304"/>
        <v/>
      </c>
      <c r="BJ97" s="682" t="str">
        <f t="shared" si="305"/>
        <v/>
      </c>
      <c r="BK97" s="4" t="str">
        <f t="shared" si="306"/>
        <v/>
      </c>
      <c r="BL97" s="386" t="str">
        <f t="shared" si="307"/>
        <v/>
      </c>
      <c r="BM97" s="386">
        <f t="shared" si="363"/>
        <v>0</v>
      </c>
      <c r="BN97" s="386" t="str">
        <f t="shared" si="308"/>
        <v/>
      </c>
      <c r="BO97" s="387" t="str">
        <f t="shared" si="309"/>
        <v/>
      </c>
      <c r="BP97" s="682">
        <f t="shared" si="310"/>
        <v>0</v>
      </c>
      <c r="BQ97" s="4">
        <f t="shared" si="311"/>
        <v>0</v>
      </c>
      <c r="BR97" s="386">
        <f t="shared" si="312"/>
        <v>140</v>
      </c>
      <c r="BS97" s="386">
        <f t="shared" si="364"/>
        <v>140</v>
      </c>
      <c r="BT97" s="386">
        <f t="shared" si="314"/>
        <v>102.39200000000001</v>
      </c>
      <c r="BU97" s="387">
        <f t="shared" si="315"/>
        <v>1331096.0000000002</v>
      </c>
      <c r="BV97" s="682" t="str">
        <f t="shared" si="316"/>
        <v/>
      </c>
      <c r="BW97" s="4" t="str">
        <f t="shared" si="317"/>
        <v/>
      </c>
      <c r="BX97" s="386" t="str">
        <f t="shared" si="318"/>
        <v/>
      </c>
      <c r="BY97" s="386">
        <f t="shared" si="370"/>
        <v>0</v>
      </c>
      <c r="BZ97" s="386" t="str">
        <f t="shared" si="319"/>
        <v/>
      </c>
      <c r="CA97" s="387" t="str">
        <f t="shared" si="320"/>
        <v/>
      </c>
      <c r="CB97" s="682" t="str">
        <f t="shared" ref="CB97:CB127" si="371">IFERROR(VLOOKUP(AE97,INENG_PANGASINAN,3,FALSE),"")</f>
        <v/>
      </c>
      <c r="CC97" s="4" t="str">
        <f t="shared" si="322"/>
        <v/>
      </c>
      <c r="CD97" s="386" t="str">
        <f t="shared" ref="CD97:CD127" si="372">IFERROR(VLOOKUP(AE97,INENG_PANGASINAN,8,FALSE),"")</f>
        <v/>
      </c>
      <c r="CE97" s="386">
        <f t="shared" si="259"/>
        <v>0</v>
      </c>
      <c r="CF97" s="386" t="str">
        <f t="shared" ref="CF97:CF127" si="373">IFERROR(VLOOKUP(AE97,INENG_PANGASINAN,16,FALSE),"")</f>
        <v/>
      </c>
      <c r="CG97" s="387" t="str">
        <f t="shared" ref="CG97:CG127" si="374">IFERROR(VLOOKUP(AE97,INENG_PANGASINAN,19,FALSE),"")</f>
        <v/>
      </c>
      <c r="CH97" s="682" t="str">
        <f t="shared" si="326"/>
        <v/>
      </c>
      <c r="CI97" s="4" t="str">
        <f t="shared" si="327"/>
        <v/>
      </c>
      <c r="CJ97" s="386" t="str">
        <f t="shared" si="328"/>
        <v/>
      </c>
      <c r="CK97" s="386">
        <f t="shared" si="365"/>
        <v>0</v>
      </c>
      <c r="CL97" s="386" t="str">
        <f t="shared" si="330"/>
        <v/>
      </c>
      <c r="CM97" s="387" t="str">
        <f t="shared" si="331"/>
        <v/>
      </c>
      <c r="CN97" s="682">
        <f t="shared" si="332"/>
        <v>0</v>
      </c>
      <c r="CO97" s="4">
        <f t="shared" si="333"/>
        <v>0</v>
      </c>
      <c r="CP97" s="386">
        <f t="shared" si="334"/>
        <v>185</v>
      </c>
      <c r="CQ97" s="386">
        <f t="shared" si="366"/>
        <v>185</v>
      </c>
      <c r="CR97" s="386">
        <f t="shared" si="336"/>
        <v>27.031000000000002</v>
      </c>
      <c r="CS97" s="387">
        <f t="shared" si="337"/>
        <v>581998.78</v>
      </c>
      <c r="CT97" s="682" t="str">
        <f t="shared" si="338"/>
        <v/>
      </c>
      <c r="CU97" s="4" t="str">
        <f t="shared" si="339"/>
        <v/>
      </c>
      <c r="CV97" s="386" t="str">
        <f t="shared" si="340"/>
        <v/>
      </c>
      <c r="CW97" s="386">
        <f t="shared" si="260"/>
        <v>0</v>
      </c>
      <c r="CX97" s="386" t="str">
        <f t="shared" si="341"/>
        <v/>
      </c>
      <c r="CY97" s="387" t="str">
        <f t="shared" si="342"/>
        <v/>
      </c>
      <c r="CZ97" s="682" t="str">
        <f t="shared" si="343"/>
        <v/>
      </c>
      <c r="DA97" s="4" t="str">
        <f t="shared" si="344"/>
        <v/>
      </c>
      <c r="DB97" s="386" t="str">
        <f t="shared" si="345"/>
        <v/>
      </c>
      <c r="DC97" s="386">
        <f t="shared" si="261"/>
        <v>0</v>
      </c>
      <c r="DD97" s="386" t="str">
        <f t="shared" si="346"/>
        <v/>
      </c>
      <c r="DE97" s="387" t="str">
        <f t="shared" si="347"/>
        <v/>
      </c>
      <c r="DF97" s="682" t="str">
        <f t="shared" si="348"/>
        <v/>
      </c>
      <c r="DG97" s="4" t="str">
        <f t="shared" si="349"/>
        <v/>
      </c>
      <c r="DH97" s="386" t="str">
        <f t="shared" si="350"/>
        <v/>
      </c>
      <c r="DI97" s="386">
        <f t="shared" si="367"/>
        <v>0</v>
      </c>
      <c r="DJ97" s="386" t="str">
        <f t="shared" si="352"/>
        <v/>
      </c>
      <c r="DK97" s="387" t="str">
        <f t="shared" si="353"/>
        <v/>
      </c>
      <c r="DL97" s="682"/>
      <c r="DM97" s="4" t="str">
        <f t="shared" si="354"/>
        <v/>
      </c>
      <c r="DN97" s="386" t="str">
        <f t="shared" si="355"/>
        <v/>
      </c>
      <c r="DO97" s="386">
        <f t="shared" si="368"/>
        <v>0</v>
      </c>
      <c r="DP97" s="386" t="str">
        <f t="shared" si="357"/>
        <v/>
      </c>
      <c r="DQ97" s="387" t="str">
        <f t="shared" si="358"/>
        <v/>
      </c>
    </row>
    <row r="98" spans="1:121" x14ac:dyDescent="0.25">
      <c r="A98" t="s">
        <v>324</v>
      </c>
      <c r="B98" t="s">
        <v>33</v>
      </c>
      <c r="C98" s="383" t="s">
        <v>34</v>
      </c>
      <c r="D98" t="s">
        <v>270</v>
      </c>
      <c r="E98" s="383" t="s">
        <v>271</v>
      </c>
      <c r="F98" t="s">
        <v>325</v>
      </c>
      <c r="G98" s="383" t="s">
        <v>326</v>
      </c>
      <c r="H98" s="385" t="str">
        <f t="shared" si="264"/>
        <v/>
      </c>
      <c r="I98" s="386" t="str">
        <f t="shared" si="265"/>
        <v/>
      </c>
      <c r="J98" s="386" t="str">
        <f t="shared" si="266"/>
        <v/>
      </c>
      <c r="K98" s="386">
        <f t="shared" si="267"/>
        <v>0</v>
      </c>
      <c r="L98" s="386" t="str">
        <f t="shared" si="268"/>
        <v/>
      </c>
      <c r="M98" s="387" t="str">
        <f t="shared" si="269"/>
        <v/>
      </c>
      <c r="N98" s="385"/>
      <c r="O98" s="386"/>
      <c r="P98" s="386"/>
      <c r="Q98" s="386"/>
      <c r="R98" s="386"/>
      <c r="S98" s="387"/>
      <c r="T98" s="385">
        <f t="shared" si="270"/>
        <v>0</v>
      </c>
      <c r="U98" s="386">
        <f t="shared" si="271"/>
        <v>0</v>
      </c>
      <c r="V98" s="386">
        <f t="shared" si="272"/>
        <v>37.380000000000003</v>
      </c>
      <c r="W98" s="386">
        <f t="shared" si="273"/>
        <v>37.380000000000003</v>
      </c>
      <c r="X98" s="386">
        <f t="shared" si="274"/>
        <v>8.0366999999999997</v>
      </c>
      <c r="Y98" s="387">
        <f t="shared" si="275"/>
        <v>124568.84999999999</v>
      </c>
      <c r="Z98" s="3" t="str">
        <f t="shared" si="276"/>
        <v/>
      </c>
      <c r="AA98" s="4" t="str">
        <f t="shared" si="277"/>
        <v/>
      </c>
      <c r="AB98" s="386" t="str">
        <f t="shared" si="278"/>
        <v/>
      </c>
      <c r="AC98" s="386">
        <f t="shared" si="279"/>
        <v>0</v>
      </c>
      <c r="AD98" s="386" t="str">
        <f t="shared" si="280"/>
        <v/>
      </c>
      <c r="AE98" s="387" t="str">
        <f t="shared" si="281"/>
        <v/>
      </c>
      <c r="AF98" s="682">
        <f t="shared" si="282"/>
        <v>0</v>
      </c>
      <c r="AG98" s="4">
        <f t="shared" si="283"/>
        <v>0</v>
      </c>
      <c r="AH98" s="386">
        <f t="shared" si="284"/>
        <v>2173</v>
      </c>
      <c r="AI98" s="386">
        <f t="shared" si="359"/>
        <v>2173</v>
      </c>
      <c r="AJ98" s="386">
        <f t="shared" si="286"/>
        <v>1352.415</v>
      </c>
      <c r="AK98" s="387">
        <f t="shared" si="287"/>
        <v>27048300</v>
      </c>
      <c r="AL98" s="385"/>
      <c r="AM98" s="386"/>
      <c r="AN98" s="386"/>
      <c r="AO98" s="386"/>
      <c r="AP98" s="386"/>
      <c r="AQ98" s="387"/>
      <c r="AR98" s="682">
        <f t="shared" si="288"/>
        <v>47</v>
      </c>
      <c r="AS98" s="4">
        <f t="shared" si="289"/>
        <v>0</v>
      </c>
      <c r="AT98" s="386">
        <f t="shared" si="290"/>
        <v>50</v>
      </c>
      <c r="AU98" s="386">
        <f t="shared" si="360"/>
        <v>50</v>
      </c>
      <c r="AV98" s="386">
        <f t="shared" si="292"/>
        <v>35.475000000000001</v>
      </c>
      <c r="AW98" s="387">
        <f t="shared" si="293"/>
        <v>603075</v>
      </c>
      <c r="AX98" s="682" t="str">
        <f t="shared" si="294"/>
        <v/>
      </c>
      <c r="AY98" s="4" t="str">
        <f t="shared" si="295"/>
        <v/>
      </c>
      <c r="AZ98" s="386" t="str">
        <f t="shared" si="296"/>
        <v/>
      </c>
      <c r="BA98" s="386">
        <f t="shared" si="361"/>
        <v>0</v>
      </c>
      <c r="BB98" s="386" t="str">
        <f t="shared" si="298"/>
        <v/>
      </c>
      <c r="BC98" s="387" t="str">
        <f t="shared" si="299"/>
        <v/>
      </c>
      <c r="BD98" s="682" t="str">
        <f t="shared" si="300"/>
        <v/>
      </c>
      <c r="BE98" s="4" t="str">
        <f t="shared" si="301"/>
        <v/>
      </c>
      <c r="BF98" s="386" t="str">
        <f t="shared" si="302"/>
        <v/>
      </c>
      <c r="BG98" s="386">
        <f t="shared" si="362"/>
        <v>0</v>
      </c>
      <c r="BH98" s="386" t="str">
        <f t="shared" si="303"/>
        <v/>
      </c>
      <c r="BI98" s="387" t="str">
        <f t="shared" si="304"/>
        <v/>
      </c>
      <c r="BJ98" s="682" t="str">
        <f t="shared" si="305"/>
        <v/>
      </c>
      <c r="BK98" s="4" t="str">
        <f t="shared" si="306"/>
        <v/>
      </c>
      <c r="BL98" s="386" t="str">
        <f t="shared" si="307"/>
        <v/>
      </c>
      <c r="BM98" s="386">
        <f t="shared" si="363"/>
        <v>0</v>
      </c>
      <c r="BN98" s="386" t="str">
        <f t="shared" si="308"/>
        <v/>
      </c>
      <c r="BO98" s="387" t="str">
        <f t="shared" si="309"/>
        <v/>
      </c>
      <c r="BP98" s="682">
        <f t="shared" si="310"/>
        <v>0</v>
      </c>
      <c r="BQ98" s="4">
        <f t="shared" si="311"/>
        <v>0</v>
      </c>
      <c r="BR98" s="386">
        <f t="shared" si="312"/>
        <v>2148</v>
      </c>
      <c r="BS98" s="386">
        <f t="shared" si="364"/>
        <v>2148</v>
      </c>
      <c r="BT98" s="386">
        <f t="shared" si="314"/>
        <v>896.43600000000004</v>
      </c>
      <c r="BU98" s="387">
        <f t="shared" si="315"/>
        <v>11653668</v>
      </c>
      <c r="BV98" s="682" t="str">
        <f t="shared" si="316"/>
        <v/>
      </c>
      <c r="BW98" s="4" t="str">
        <f t="shared" si="317"/>
        <v/>
      </c>
      <c r="BX98" s="386" t="str">
        <f t="shared" si="318"/>
        <v/>
      </c>
      <c r="BY98" s="386">
        <f t="shared" si="370"/>
        <v>0</v>
      </c>
      <c r="BZ98" s="386" t="str">
        <f t="shared" si="319"/>
        <v/>
      </c>
      <c r="CA98" s="387" t="str">
        <f t="shared" si="320"/>
        <v/>
      </c>
      <c r="CB98" s="682" t="str">
        <f t="shared" si="371"/>
        <v/>
      </c>
      <c r="CC98" s="4" t="str">
        <f t="shared" si="322"/>
        <v/>
      </c>
      <c r="CD98" s="386" t="str">
        <f t="shared" si="372"/>
        <v/>
      </c>
      <c r="CE98" s="386">
        <f t="shared" si="259"/>
        <v>0</v>
      </c>
      <c r="CF98" s="386" t="str">
        <f t="shared" si="373"/>
        <v/>
      </c>
      <c r="CG98" s="387" t="str">
        <f t="shared" si="374"/>
        <v/>
      </c>
      <c r="CH98" s="682">
        <f t="shared" si="326"/>
        <v>0</v>
      </c>
      <c r="CI98" s="4">
        <f t="shared" si="327"/>
        <v>0</v>
      </c>
      <c r="CJ98" s="386">
        <f t="shared" si="328"/>
        <v>148</v>
      </c>
      <c r="CK98" s="386">
        <f t="shared" si="365"/>
        <v>148</v>
      </c>
      <c r="CL98" s="386">
        <f t="shared" si="330"/>
        <v>61.568000000000005</v>
      </c>
      <c r="CM98" s="387">
        <f t="shared" si="331"/>
        <v>1443153.9200000002</v>
      </c>
      <c r="CN98" s="682" t="str">
        <f t="shared" si="332"/>
        <v/>
      </c>
      <c r="CO98" s="4" t="str">
        <f t="shared" si="333"/>
        <v/>
      </c>
      <c r="CP98" s="386" t="str">
        <f t="shared" si="334"/>
        <v/>
      </c>
      <c r="CQ98" s="386">
        <f t="shared" si="366"/>
        <v>0</v>
      </c>
      <c r="CR98" s="386" t="str">
        <f t="shared" si="336"/>
        <v/>
      </c>
      <c r="CS98" s="387" t="str">
        <f t="shared" si="337"/>
        <v/>
      </c>
      <c r="CT98" s="682" t="str">
        <f t="shared" si="338"/>
        <v/>
      </c>
      <c r="CU98" s="4" t="str">
        <f t="shared" si="339"/>
        <v/>
      </c>
      <c r="CV98" s="386" t="str">
        <f t="shared" si="340"/>
        <v/>
      </c>
      <c r="CW98" s="386">
        <f t="shared" si="260"/>
        <v>0</v>
      </c>
      <c r="CX98" s="386" t="str">
        <f t="shared" si="341"/>
        <v/>
      </c>
      <c r="CY98" s="387" t="str">
        <f t="shared" si="342"/>
        <v/>
      </c>
      <c r="CZ98" s="682" t="str">
        <f t="shared" si="343"/>
        <v/>
      </c>
      <c r="DA98" s="4" t="str">
        <f t="shared" si="344"/>
        <v/>
      </c>
      <c r="DB98" s="386" t="str">
        <f t="shared" si="345"/>
        <v/>
      </c>
      <c r="DC98" s="386">
        <f t="shared" si="261"/>
        <v>0</v>
      </c>
      <c r="DD98" s="386" t="str">
        <f t="shared" si="346"/>
        <v/>
      </c>
      <c r="DE98" s="387" t="str">
        <f t="shared" si="347"/>
        <v/>
      </c>
      <c r="DF98" s="682">
        <f t="shared" si="348"/>
        <v>0</v>
      </c>
      <c r="DG98" s="4">
        <f t="shared" si="349"/>
        <v>0</v>
      </c>
      <c r="DH98" s="386">
        <f t="shared" si="350"/>
        <v>680</v>
      </c>
      <c r="DI98" s="386">
        <f t="shared" si="367"/>
        <v>680</v>
      </c>
      <c r="DJ98" s="386">
        <f t="shared" si="352"/>
        <v>313.48</v>
      </c>
      <c r="DK98" s="387">
        <f t="shared" si="353"/>
        <v>5551730.7999999998</v>
      </c>
      <c r="DL98" s="682"/>
      <c r="DM98" s="4">
        <f t="shared" si="354"/>
        <v>0</v>
      </c>
      <c r="DN98" s="386">
        <f t="shared" si="355"/>
        <v>1320</v>
      </c>
      <c r="DO98" s="386">
        <f t="shared" si="368"/>
        <v>1320</v>
      </c>
      <c r="DP98" s="386">
        <f t="shared" si="357"/>
        <v>1435.5</v>
      </c>
      <c r="DQ98" s="387">
        <f t="shared" si="358"/>
        <v>4384380</v>
      </c>
    </row>
    <row r="99" spans="1:121" x14ac:dyDescent="0.25">
      <c r="A99" t="s">
        <v>327</v>
      </c>
      <c r="B99" t="s">
        <v>33</v>
      </c>
      <c r="C99" s="383" t="s">
        <v>34</v>
      </c>
      <c r="D99" t="s">
        <v>270</v>
      </c>
      <c r="E99" s="383" t="s">
        <v>271</v>
      </c>
      <c r="F99" t="s">
        <v>328</v>
      </c>
      <c r="G99" s="383" t="s">
        <v>329</v>
      </c>
      <c r="H99" s="385" t="str">
        <f t="shared" si="264"/>
        <v/>
      </c>
      <c r="I99" s="386" t="str">
        <f t="shared" si="265"/>
        <v/>
      </c>
      <c r="J99" s="386" t="str">
        <f t="shared" si="266"/>
        <v/>
      </c>
      <c r="K99" s="386">
        <f t="shared" si="267"/>
        <v>0</v>
      </c>
      <c r="L99" s="386" t="str">
        <f t="shared" si="268"/>
        <v/>
      </c>
      <c r="M99" s="387" t="str">
        <f t="shared" si="269"/>
        <v/>
      </c>
      <c r="N99" s="385"/>
      <c r="O99" s="386"/>
      <c r="P99" s="386"/>
      <c r="Q99" s="386"/>
      <c r="R99" s="386"/>
      <c r="S99" s="387"/>
      <c r="T99" s="385">
        <f t="shared" si="270"/>
        <v>16</v>
      </c>
      <c r="U99" s="386">
        <f t="shared" si="271"/>
        <v>0</v>
      </c>
      <c r="V99" s="386">
        <f t="shared" si="272"/>
        <v>25</v>
      </c>
      <c r="W99" s="386">
        <f t="shared" si="273"/>
        <v>25</v>
      </c>
      <c r="X99" s="386">
        <f t="shared" si="274"/>
        <v>4.3</v>
      </c>
      <c r="Y99" s="387">
        <f t="shared" si="275"/>
        <v>66649.999999999985</v>
      </c>
      <c r="Z99" s="3" t="str">
        <f t="shared" si="276"/>
        <v/>
      </c>
      <c r="AA99" s="4" t="str">
        <f t="shared" si="277"/>
        <v/>
      </c>
      <c r="AB99" s="386" t="str">
        <f t="shared" si="278"/>
        <v/>
      </c>
      <c r="AC99" s="386">
        <f t="shared" si="279"/>
        <v>0</v>
      </c>
      <c r="AD99" s="386" t="str">
        <f t="shared" si="280"/>
        <v/>
      </c>
      <c r="AE99" s="387" t="str">
        <f t="shared" si="281"/>
        <v/>
      </c>
      <c r="AF99" s="682">
        <f t="shared" si="282"/>
        <v>0</v>
      </c>
      <c r="AG99" s="4">
        <f t="shared" si="283"/>
        <v>4.5</v>
      </c>
      <c r="AH99" s="386">
        <f t="shared" si="284"/>
        <v>1922</v>
      </c>
      <c r="AI99" s="386">
        <f t="shared" si="359"/>
        <v>1926.5</v>
      </c>
      <c r="AJ99" s="386">
        <f t="shared" si="286"/>
        <v>2023.8374999999999</v>
      </c>
      <c r="AK99" s="387">
        <f t="shared" si="287"/>
        <v>40476750</v>
      </c>
      <c r="AL99" s="385"/>
      <c r="AM99" s="386"/>
      <c r="AN99" s="386"/>
      <c r="AO99" s="386"/>
      <c r="AP99" s="386"/>
      <c r="AQ99" s="387"/>
      <c r="AR99" s="682">
        <f t="shared" si="288"/>
        <v>685</v>
      </c>
      <c r="AS99" s="4">
        <f t="shared" si="289"/>
        <v>0</v>
      </c>
      <c r="AT99" s="386">
        <f t="shared" si="290"/>
        <v>435</v>
      </c>
      <c r="AU99" s="386">
        <f t="shared" si="360"/>
        <v>435</v>
      </c>
      <c r="AV99" s="386">
        <f t="shared" si="292"/>
        <v>720.14250000000004</v>
      </c>
      <c r="AW99" s="387">
        <f t="shared" si="293"/>
        <v>12242422.5</v>
      </c>
      <c r="AX99" s="682" t="str">
        <f t="shared" si="294"/>
        <v/>
      </c>
      <c r="AY99" s="4" t="str">
        <f t="shared" si="295"/>
        <v/>
      </c>
      <c r="AZ99" s="386" t="str">
        <f t="shared" si="296"/>
        <v/>
      </c>
      <c r="BA99" s="386">
        <f t="shared" si="361"/>
        <v>0</v>
      </c>
      <c r="BB99" s="386" t="str">
        <f t="shared" si="298"/>
        <v/>
      </c>
      <c r="BC99" s="387" t="str">
        <f t="shared" si="299"/>
        <v/>
      </c>
      <c r="BD99" s="682" t="str">
        <f t="shared" si="300"/>
        <v/>
      </c>
      <c r="BE99" s="4" t="str">
        <f t="shared" si="301"/>
        <v/>
      </c>
      <c r="BF99" s="386" t="str">
        <f t="shared" si="302"/>
        <v/>
      </c>
      <c r="BG99" s="386">
        <f t="shared" si="362"/>
        <v>0</v>
      </c>
      <c r="BH99" s="386" t="str">
        <f t="shared" si="303"/>
        <v/>
      </c>
      <c r="BI99" s="387" t="str">
        <f t="shared" si="304"/>
        <v/>
      </c>
      <c r="BJ99" s="682" t="str">
        <f t="shared" si="305"/>
        <v/>
      </c>
      <c r="BK99" s="4" t="str">
        <f t="shared" si="306"/>
        <v/>
      </c>
      <c r="BL99" s="386" t="str">
        <f t="shared" si="307"/>
        <v/>
      </c>
      <c r="BM99" s="386">
        <f t="shared" si="363"/>
        <v>0</v>
      </c>
      <c r="BN99" s="386" t="str">
        <f t="shared" si="308"/>
        <v/>
      </c>
      <c r="BO99" s="387" t="str">
        <f t="shared" si="309"/>
        <v/>
      </c>
      <c r="BP99" s="682">
        <f t="shared" si="310"/>
        <v>0</v>
      </c>
      <c r="BQ99" s="4">
        <f t="shared" si="311"/>
        <v>515</v>
      </c>
      <c r="BR99" s="386">
        <f t="shared" si="312"/>
        <v>530</v>
      </c>
      <c r="BS99" s="386">
        <f t="shared" si="364"/>
        <v>1045</v>
      </c>
      <c r="BT99" s="386">
        <f t="shared" si="314"/>
        <v>2452.8000000000002</v>
      </c>
      <c r="BU99" s="387">
        <f t="shared" si="315"/>
        <v>31886400</v>
      </c>
      <c r="BV99" s="682" t="str">
        <f t="shared" si="316"/>
        <v/>
      </c>
      <c r="BW99" s="4" t="str">
        <f t="shared" si="317"/>
        <v/>
      </c>
      <c r="BX99" s="386" t="str">
        <f t="shared" si="318"/>
        <v/>
      </c>
      <c r="BY99" s="386">
        <f t="shared" si="370"/>
        <v>0</v>
      </c>
      <c r="BZ99" s="386" t="str">
        <f t="shared" si="319"/>
        <v/>
      </c>
      <c r="CA99" s="387" t="str">
        <f t="shared" si="320"/>
        <v/>
      </c>
      <c r="CB99" s="682" t="str">
        <f t="shared" si="371"/>
        <v/>
      </c>
      <c r="CC99" s="4" t="str">
        <f t="shared" si="322"/>
        <v/>
      </c>
      <c r="CD99" s="386" t="str">
        <f t="shared" si="372"/>
        <v/>
      </c>
      <c r="CE99" s="386">
        <f t="shared" si="259"/>
        <v>0</v>
      </c>
      <c r="CF99" s="386" t="str">
        <f t="shared" si="373"/>
        <v/>
      </c>
      <c r="CG99" s="387" t="str">
        <f t="shared" si="374"/>
        <v/>
      </c>
      <c r="CH99" s="682">
        <f t="shared" si="326"/>
        <v>0</v>
      </c>
      <c r="CI99" s="4">
        <f t="shared" si="327"/>
        <v>0</v>
      </c>
      <c r="CJ99" s="386">
        <f t="shared" si="328"/>
        <v>395</v>
      </c>
      <c r="CK99" s="386">
        <f t="shared" si="365"/>
        <v>395</v>
      </c>
      <c r="CL99" s="386">
        <f t="shared" si="330"/>
        <v>164.32000000000002</v>
      </c>
      <c r="CM99" s="387">
        <f t="shared" si="331"/>
        <v>3851660.8000000007</v>
      </c>
      <c r="CN99" s="682">
        <f t="shared" si="332"/>
        <v>0</v>
      </c>
      <c r="CO99" s="4">
        <f t="shared" si="333"/>
        <v>50</v>
      </c>
      <c r="CP99" s="386">
        <f t="shared" si="334"/>
        <v>193.1</v>
      </c>
      <c r="CQ99" s="386">
        <f t="shared" si="366"/>
        <v>243.1</v>
      </c>
      <c r="CR99" s="386">
        <f t="shared" si="336"/>
        <v>278.63650000000001</v>
      </c>
      <c r="CS99" s="387">
        <f t="shared" si="337"/>
        <v>4842702.37</v>
      </c>
      <c r="CT99" s="682" t="str">
        <f t="shared" si="338"/>
        <v/>
      </c>
      <c r="CU99" s="4" t="str">
        <f t="shared" si="339"/>
        <v/>
      </c>
      <c r="CV99" s="386" t="str">
        <f t="shared" si="340"/>
        <v/>
      </c>
      <c r="CW99" s="386">
        <f t="shared" si="260"/>
        <v>0</v>
      </c>
      <c r="CX99" s="386" t="str">
        <f t="shared" si="341"/>
        <v/>
      </c>
      <c r="CY99" s="387" t="str">
        <f t="shared" si="342"/>
        <v/>
      </c>
      <c r="CZ99" s="682" t="str">
        <f t="shared" si="343"/>
        <v/>
      </c>
      <c r="DA99" s="4" t="str">
        <f t="shared" si="344"/>
        <v/>
      </c>
      <c r="DB99" s="386" t="str">
        <f t="shared" si="345"/>
        <v/>
      </c>
      <c r="DC99" s="386">
        <f t="shared" si="261"/>
        <v>0</v>
      </c>
      <c r="DD99" s="386" t="str">
        <f t="shared" si="346"/>
        <v/>
      </c>
      <c r="DE99" s="387" t="str">
        <f t="shared" si="347"/>
        <v/>
      </c>
      <c r="DF99" s="682">
        <f t="shared" si="348"/>
        <v>0</v>
      </c>
      <c r="DG99" s="4">
        <f t="shared" si="349"/>
        <v>0</v>
      </c>
      <c r="DH99" s="386">
        <f t="shared" si="350"/>
        <v>812</v>
      </c>
      <c r="DI99" s="386">
        <f t="shared" si="367"/>
        <v>812</v>
      </c>
      <c r="DJ99" s="386">
        <f t="shared" si="352"/>
        <v>374.33200000000005</v>
      </c>
      <c r="DK99" s="387">
        <f t="shared" si="353"/>
        <v>6629419.7200000007</v>
      </c>
      <c r="DL99" s="682"/>
      <c r="DM99" s="4">
        <f t="shared" si="354"/>
        <v>0</v>
      </c>
      <c r="DN99" s="386">
        <f t="shared" si="355"/>
        <v>100</v>
      </c>
      <c r="DO99" s="386">
        <f t="shared" si="368"/>
        <v>100</v>
      </c>
      <c r="DP99" s="386">
        <f t="shared" si="357"/>
        <v>43.5</v>
      </c>
      <c r="DQ99" s="387">
        <f t="shared" si="358"/>
        <v>121450</v>
      </c>
    </row>
    <row r="100" spans="1:121" x14ac:dyDescent="0.25">
      <c r="A100" t="s">
        <v>330</v>
      </c>
      <c r="B100" t="s">
        <v>33</v>
      </c>
      <c r="C100" s="383" t="s">
        <v>34</v>
      </c>
      <c r="D100" t="s">
        <v>270</v>
      </c>
      <c r="E100" s="383" t="s">
        <v>271</v>
      </c>
      <c r="F100" t="s">
        <v>331</v>
      </c>
      <c r="G100" s="383" t="s">
        <v>332</v>
      </c>
      <c r="H100" s="385">
        <f t="shared" si="264"/>
        <v>16</v>
      </c>
      <c r="I100" s="386">
        <f t="shared" si="265"/>
        <v>0</v>
      </c>
      <c r="J100" s="386">
        <f t="shared" si="266"/>
        <v>15</v>
      </c>
      <c r="K100" s="386">
        <f t="shared" si="267"/>
        <v>15</v>
      </c>
      <c r="L100" s="386">
        <f t="shared" si="268"/>
        <v>0</v>
      </c>
      <c r="M100" s="387">
        <f t="shared" si="269"/>
        <v>0</v>
      </c>
      <c r="N100" s="385"/>
      <c r="O100" s="386"/>
      <c r="P100" s="386"/>
      <c r="Q100" s="386"/>
      <c r="R100" s="386"/>
      <c r="S100" s="387"/>
      <c r="T100" s="385" t="str">
        <f t="shared" si="270"/>
        <v/>
      </c>
      <c r="U100" s="386" t="str">
        <f t="shared" si="271"/>
        <v/>
      </c>
      <c r="V100" s="386" t="str">
        <f t="shared" si="272"/>
        <v/>
      </c>
      <c r="W100" s="386">
        <f t="shared" si="273"/>
        <v>0</v>
      </c>
      <c r="X100" s="386" t="str">
        <f t="shared" si="274"/>
        <v/>
      </c>
      <c r="Y100" s="387" t="str">
        <f t="shared" si="275"/>
        <v/>
      </c>
      <c r="Z100" s="3">
        <f t="shared" si="276"/>
        <v>0</v>
      </c>
      <c r="AA100" s="4">
        <f t="shared" si="277"/>
        <v>0</v>
      </c>
      <c r="AB100" s="386">
        <f t="shared" si="278"/>
        <v>225</v>
      </c>
      <c r="AC100" s="386">
        <f t="shared" si="279"/>
        <v>225</v>
      </c>
      <c r="AD100" s="386" t="str">
        <f t="shared" si="280"/>
        <v/>
      </c>
      <c r="AE100" s="387">
        <f t="shared" si="281"/>
        <v>1794149.9999999998</v>
      </c>
      <c r="AF100" s="682">
        <f t="shared" si="282"/>
        <v>0</v>
      </c>
      <c r="AG100" s="4">
        <f t="shared" si="283"/>
        <v>0</v>
      </c>
      <c r="AH100" s="386">
        <f t="shared" si="284"/>
        <v>300</v>
      </c>
      <c r="AI100" s="386">
        <f t="shared" si="359"/>
        <v>300</v>
      </c>
      <c r="AJ100" s="386">
        <f t="shared" si="286"/>
        <v>311.02499999999998</v>
      </c>
      <c r="AK100" s="387">
        <f t="shared" si="287"/>
        <v>6220499.9999999991</v>
      </c>
      <c r="AL100" s="385"/>
      <c r="AM100" s="386"/>
      <c r="AN100" s="386"/>
      <c r="AO100" s="386"/>
      <c r="AP100" s="386"/>
      <c r="AQ100" s="387"/>
      <c r="AR100" s="682" t="str">
        <f t="shared" si="288"/>
        <v/>
      </c>
      <c r="AS100" s="4" t="str">
        <f t="shared" si="289"/>
        <v/>
      </c>
      <c r="AT100" s="386" t="str">
        <f t="shared" si="290"/>
        <v/>
      </c>
      <c r="AU100" s="386">
        <f t="shared" si="360"/>
        <v>0</v>
      </c>
      <c r="AV100" s="386" t="str">
        <f t="shared" si="292"/>
        <v/>
      </c>
      <c r="AW100" s="387" t="str">
        <f t="shared" si="293"/>
        <v/>
      </c>
      <c r="AX100" s="682" t="str">
        <f t="shared" si="294"/>
        <v/>
      </c>
      <c r="AY100" s="4" t="str">
        <f t="shared" si="295"/>
        <v/>
      </c>
      <c r="AZ100" s="386" t="str">
        <f t="shared" si="296"/>
        <v/>
      </c>
      <c r="BA100" s="386">
        <f t="shared" si="361"/>
        <v>0</v>
      </c>
      <c r="BB100" s="386" t="str">
        <f t="shared" si="298"/>
        <v/>
      </c>
      <c r="BC100" s="387" t="str">
        <f t="shared" si="299"/>
        <v/>
      </c>
      <c r="BD100" s="682">
        <f t="shared" si="300"/>
        <v>0</v>
      </c>
      <c r="BE100" s="4">
        <f t="shared" si="301"/>
        <v>20</v>
      </c>
      <c r="BF100" s="386">
        <f t="shared" si="302"/>
        <v>0</v>
      </c>
      <c r="BG100" s="386">
        <f t="shared" si="362"/>
        <v>20</v>
      </c>
      <c r="BH100" s="386">
        <f t="shared" si="303"/>
        <v>0</v>
      </c>
      <c r="BI100" s="387">
        <f t="shared" si="304"/>
        <v>150000</v>
      </c>
      <c r="BJ100" s="682" t="str">
        <f t="shared" si="305"/>
        <v/>
      </c>
      <c r="BK100" s="4" t="str">
        <f t="shared" si="306"/>
        <v/>
      </c>
      <c r="BL100" s="386" t="str">
        <f t="shared" si="307"/>
        <v/>
      </c>
      <c r="BM100" s="386">
        <f t="shared" si="363"/>
        <v>0</v>
      </c>
      <c r="BN100" s="386" t="str">
        <f t="shared" si="308"/>
        <v/>
      </c>
      <c r="BO100" s="387" t="str">
        <f t="shared" si="309"/>
        <v/>
      </c>
      <c r="BP100" s="682">
        <f t="shared" si="310"/>
        <v>0</v>
      </c>
      <c r="BQ100" s="4">
        <f t="shared" si="311"/>
        <v>0</v>
      </c>
      <c r="BR100" s="386">
        <f t="shared" si="312"/>
        <v>302</v>
      </c>
      <c r="BS100" s="386">
        <f t="shared" si="364"/>
        <v>302</v>
      </c>
      <c r="BT100" s="386">
        <f t="shared" si="314"/>
        <v>235.964</v>
      </c>
      <c r="BU100" s="387">
        <f t="shared" si="315"/>
        <v>3067532.0000000005</v>
      </c>
      <c r="BV100" s="682" t="str">
        <f t="shared" si="316"/>
        <v/>
      </c>
      <c r="BW100" s="4" t="str">
        <f t="shared" si="317"/>
        <v/>
      </c>
      <c r="BX100" s="386" t="str">
        <f t="shared" si="318"/>
        <v/>
      </c>
      <c r="BY100" s="386">
        <f t="shared" si="370"/>
        <v>0</v>
      </c>
      <c r="BZ100" s="386" t="str">
        <f t="shared" si="319"/>
        <v/>
      </c>
      <c r="CA100" s="387" t="str">
        <f t="shared" si="320"/>
        <v/>
      </c>
      <c r="CB100" s="682" t="str">
        <f t="shared" si="371"/>
        <v/>
      </c>
      <c r="CC100" s="4" t="str">
        <f t="shared" si="322"/>
        <v/>
      </c>
      <c r="CD100" s="386" t="str">
        <f t="shared" si="372"/>
        <v/>
      </c>
      <c r="CE100" s="386">
        <f t="shared" si="259"/>
        <v>0</v>
      </c>
      <c r="CF100" s="386" t="str">
        <f t="shared" si="373"/>
        <v/>
      </c>
      <c r="CG100" s="387" t="str">
        <f t="shared" si="374"/>
        <v/>
      </c>
      <c r="CH100" s="682">
        <f t="shared" si="326"/>
        <v>0</v>
      </c>
      <c r="CI100" s="4">
        <f t="shared" si="327"/>
        <v>0</v>
      </c>
      <c r="CJ100" s="386">
        <f t="shared" si="328"/>
        <v>25</v>
      </c>
      <c r="CK100" s="386">
        <f t="shared" si="365"/>
        <v>25</v>
      </c>
      <c r="CL100" s="386">
        <f t="shared" si="330"/>
        <v>10.4</v>
      </c>
      <c r="CM100" s="387">
        <f t="shared" si="331"/>
        <v>243776</v>
      </c>
      <c r="CN100" s="682">
        <f t="shared" si="332"/>
        <v>0</v>
      </c>
      <c r="CO100" s="4">
        <f t="shared" si="333"/>
        <v>0</v>
      </c>
      <c r="CP100" s="386">
        <f t="shared" si="334"/>
        <v>10</v>
      </c>
      <c r="CQ100" s="386">
        <f t="shared" si="366"/>
        <v>10</v>
      </c>
      <c r="CR100" s="386">
        <f t="shared" si="336"/>
        <v>0</v>
      </c>
      <c r="CS100" s="387">
        <f t="shared" si="337"/>
        <v>22000</v>
      </c>
      <c r="CT100" s="682" t="str">
        <f t="shared" si="338"/>
        <v/>
      </c>
      <c r="CU100" s="4" t="str">
        <f t="shared" si="339"/>
        <v/>
      </c>
      <c r="CV100" s="386" t="str">
        <f t="shared" si="340"/>
        <v/>
      </c>
      <c r="CW100" s="386">
        <f t="shared" si="260"/>
        <v>0</v>
      </c>
      <c r="CX100" s="386" t="str">
        <f t="shared" si="341"/>
        <v/>
      </c>
      <c r="CY100" s="387" t="str">
        <f t="shared" si="342"/>
        <v/>
      </c>
      <c r="CZ100" s="682" t="str">
        <f t="shared" si="343"/>
        <v/>
      </c>
      <c r="DA100" s="4" t="str">
        <f t="shared" si="344"/>
        <v/>
      </c>
      <c r="DB100" s="386" t="str">
        <f t="shared" si="345"/>
        <v/>
      </c>
      <c r="DC100" s="386">
        <f t="shared" si="261"/>
        <v>0</v>
      </c>
      <c r="DD100" s="386" t="str">
        <f t="shared" si="346"/>
        <v/>
      </c>
      <c r="DE100" s="387" t="str">
        <f t="shared" si="347"/>
        <v/>
      </c>
      <c r="DF100" s="682">
        <f t="shared" si="348"/>
        <v>0</v>
      </c>
      <c r="DG100" s="4">
        <f t="shared" si="349"/>
        <v>0</v>
      </c>
      <c r="DH100" s="386">
        <f t="shared" si="350"/>
        <v>69</v>
      </c>
      <c r="DI100" s="386">
        <f t="shared" si="367"/>
        <v>69</v>
      </c>
      <c r="DJ100" s="386">
        <f t="shared" si="352"/>
        <v>31.809000000000005</v>
      </c>
      <c r="DK100" s="387">
        <f t="shared" si="353"/>
        <v>563337.39000000013</v>
      </c>
      <c r="DL100" s="682"/>
      <c r="DM100" s="4" t="str">
        <f t="shared" si="354"/>
        <v/>
      </c>
      <c r="DN100" s="386" t="str">
        <f t="shared" si="355"/>
        <v/>
      </c>
      <c r="DO100" s="386">
        <f t="shared" si="368"/>
        <v>0</v>
      </c>
      <c r="DP100" s="386" t="str">
        <f t="shared" si="357"/>
        <v/>
      </c>
      <c r="DQ100" s="387" t="str">
        <f t="shared" si="358"/>
        <v/>
      </c>
    </row>
    <row r="101" spans="1:121" x14ac:dyDescent="0.25">
      <c r="A101" t="s">
        <v>333</v>
      </c>
      <c r="B101" t="s">
        <v>33</v>
      </c>
      <c r="C101" s="383" t="s">
        <v>34</v>
      </c>
      <c r="D101" t="s">
        <v>270</v>
      </c>
      <c r="E101" s="383" t="s">
        <v>271</v>
      </c>
      <c r="F101" t="s">
        <v>334</v>
      </c>
      <c r="G101" s="383" t="s">
        <v>335</v>
      </c>
      <c r="H101" s="385" t="str">
        <f t="shared" si="264"/>
        <v/>
      </c>
      <c r="I101" s="386" t="str">
        <f t="shared" si="265"/>
        <v/>
      </c>
      <c r="J101" s="386" t="str">
        <f t="shared" si="266"/>
        <v/>
      </c>
      <c r="K101" s="386">
        <f t="shared" si="267"/>
        <v>0</v>
      </c>
      <c r="L101" s="386" t="str">
        <f t="shared" si="268"/>
        <v/>
      </c>
      <c r="M101" s="387" t="str">
        <f t="shared" si="269"/>
        <v/>
      </c>
      <c r="N101" s="385"/>
      <c r="O101" s="386"/>
      <c r="P101" s="386"/>
      <c r="Q101" s="386"/>
      <c r="R101" s="386"/>
      <c r="S101" s="387"/>
      <c r="T101" s="385" t="str">
        <f t="shared" si="270"/>
        <v/>
      </c>
      <c r="U101" s="386" t="str">
        <f t="shared" si="271"/>
        <v/>
      </c>
      <c r="V101" s="386" t="str">
        <f t="shared" si="272"/>
        <v/>
      </c>
      <c r="W101" s="386">
        <f t="shared" si="273"/>
        <v>0</v>
      </c>
      <c r="X101" s="386" t="str">
        <f t="shared" si="274"/>
        <v/>
      </c>
      <c r="Y101" s="387" t="str">
        <f t="shared" si="275"/>
        <v/>
      </c>
      <c r="Z101" s="3">
        <f t="shared" si="276"/>
        <v>0</v>
      </c>
      <c r="AA101" s="4">
        <f t="shared" si="277"/>
        <v>0</v>
      </c>
      <c r="AB101" s="386">
        <f t="shared" si="278"/>
        <v>300</v>
      </c>
      <c r="AC101" s="386">
        <f t="shared" si="279"/>
        <v>300</v>
      </c>
      <c r="AD101" s="386" t="str">
        <f t="shared" si="280"/>
        <v/>
      </c>
      <c r="AE101" s="387">
        <f t="shared" si="281"/>
        <v>2392200.0000000005</v>
      </c>
      <c r="AF101" s="682">
        <f t="shared" si="282"/>
        <v>0</v>
      </c>
      <c r="AG101" s="4">
        <f t="shared" si="283"/>
        <v>0</v>
      </c>
      <c r="AH101" s="386">
        <f t="shared" si="284"/>
        <v>1425</v>
      </c>
      <c r="AI101" s="386">
        <f t="shared" si="359"/>
        <v>1425</v>
      </c>
      <c r="AJ101" s="386">
        <f t="shared" si="286"/>
        <v>1495.3125</v>
      </c>
      <c r="AK101" s="387">
        <f t="shared" si="287"/>
        <v>29906250</v>
      </c>
      <c r="AL101" s="385"/>
      <c r="AM101" s="386"/>
      <c r="AN101" s="386"/>
      <c r="AO101" s="386"/>
      <c r="AP101" s="386"/>
      <c r="AQ101" s="387"/>
      <c r="AR101" s="682" t="str">
        <f t="shared" si="288"/>
        <v/>
      </c>
      <c r="AS101" s="4" t="str">
        <f t="shared" si="289"/>
        <v/>
      </c>
      <c r="AT101" s="386" t="str">
        <f t="shared" si="290"/>
        <v/>
      </c>
      <c r="AU101" s="386">
        <f t="shared" si="360"/>
        <v>0</v>
      </c>
      <c r="AV101" s="386" t="str">
        <f t="shared" si="292"/>
        <v/>
      </c>
      <c r="AW101" s="387" t="str">
        <f t="shared" si="293"/>
        <v/>
      </c>
      <c r="AX101" s="682" t="str">
        <f t="shared" si="294"/>
        <v/>
      </c>
      <c r="AY101" s="4" t="str">
        <f t="shared" si="295"/>
        <v/>
      </c>
      <c r="AZ101" s="386" t="str">
        <f t="shared" si="296"/>
        <v/>
      </c>
      <c r="BA101" s="386">
        <f t="shared" si="361"/>
        <v>0</v>
      </c>
      <c r="BB101" s="386" t="str">
        <f t="shared" si="298"/>
        <v/>
      </c>
      <c r="BC101" s="387" t="str">
        <f t="shared" si="299"/>
        <v/>
      </c>
      <c r="BD101" s="682" t="str">
        <f t="shared" si="300"/>
        <v/>
      </c>
      <c r="BE101" s="4" t="str">
        <f t="shared" si="301"/>
        <v/>
      </c>
      <c r="BF101" s="386" t="str">
        <f t="shared" si="302"/>
        <v/>
      </c>
      <c r="BG101" s="386">
        <f t="shared" si="362"/>
        <v>0</v>
      </c>
      <c r="BH101" s="386" t="str">
        <f t="shared" si="303"/>
        <v/>
      </c>
      <c r="BI101" s="387" t="str">
        <f t="shared" si="304"/>
        <v/>
      </c>
      <c r="BJ101" s="682" t="str">
        <f t="shared" si="305"/>
        <v/>
      </c>
      <c r="BK101" s="4" t="str">
        <f t="shared" si="306"/>
        <v/>
      </c>
      <c r="BL101" s="386" t="str">
        <f t="shared" si="307"/>
        <v/>
      </c>
      <c r="BM101" s="386">
        <f t="shared" si="363"/>
        <v>0</v>
      </c>
      <c r="BN101" s="386" t="str">
        <f t="shared" si="308"/>
        <v/>
      </c>
      <c r="BO101" s="387" t="str">
        <f t="shared" si="309"/>
        <v/>
      </c>
      <c r="BP101" s="682">
        <f t="shared" si="310"/>
        <v>0</v>
      </c>
      <c r="BQ101" s="4">
        <f t="shared" si="311"/>
        <v>0</v>
      </c>
      <c r="BR101" s="386">
        <f t="shared" si="312"/>
        <v>2061</v>
      </c>
      <c r="BS101" s="386">
        <f t="shared" si="364"/>
        <v>2061</v>
      </c>
      <c r="BT101" s="386">
        <f t="shared" si="314"/>
        <v>850.45500000000015</v>
      </c>
      <c r="BU101" s="387">
        <f t="shared" si="315"/>
        <v>11055915</v>
      </c>
      <c r="BV101" s="682" t="str">
        <f t="shared" si="316"/>
        <v/>
      </c>
      <c r="BW101" s="4" t="str">
        <f t="shared" si="317"/>
        <v/>
      </c>
      <c r="BX101" s="386" t="str">
        <f t="shared" si="318"/>
        <v/>
      </c>
      <c r="BY101" s="386">
        <f t="shared" si="370"/>
        <v>0</v>
      </c>
      <c r="BZ101" s="386" t="str">
        <f t="shared" si="319"/>
        <v/>
      </c>
      <c r="CA101" s="387" t="str">
        <f t="shared" si="320"/>
        <v/>
      </c>
      <c r="CB101" s="682" t="str">
        <f t="shared" si="371"/>
        <v/>
      </c>
      <c r="CC101" s="4" t="str">
        <f t="shared" si="322"/>
        <v/>
      </c>
      <c r="CD101" s="386" t="str">
        <f t="shared" si="372"/>
        <v/>
      </c>
      <c r="CE101" s="386">
        <f t="shared" si="259"/>
        <v>0</v>
      </c>
      <c r="CF101" s="386" t="str">
        <f t="shared" si="373"/>
        <v/>
      </c>
      <c r="CG101" s="387" t="str">
        <f t="shared" si="374"/>
        <v/>
      </c>
      <c r="CH101" s="682">
        <f t="shared" si="326"/>
        <v>0</v>
      </c>
      <c r="CI101" s="4">
        <f t="shared" si="327"/>
        <v>10</v>
      </c>
      <c r="CJ101" s="386">
        <f t="shared" si="328"/>
        <v>225.5</v>
      </c>
      <c r="CK101" s="386">
        <f t="shared" si="365"/>
        <v>235.5</v>
      </c>
      <c r="CL101" s="386">
        <f t="shared" si="330"/>
        <v>135.40800000000002</v>
      </c>
      <c r="CM101" s="387">
        <f t="shared" si="331"/>
        <v>3173963.5200000005</v>
      </c>
      <c r="CN101" s="682">
        <f t="shared" si="332"/>
        <v>0</v>
      </c>
      <c r="CO101" s="4">
        <f t="shared" si="333"/>
        <v>0</v>
      </c>
      <c r="CP101" s="386">
        <f t="shared" si="334"/>
        <v>30</v>
      </c>
      <c r="CQ101" s="386">
        <f t="shared" si="366"/>
        <v>30</v>
      </c>
      <c r="CR101" s="386">
        <f t="shared" si="336"/>
        <v>37.35</v>
      </c>
      <c r="CS101" s="387">
        <f t="shared" si="337"/>
        <v>649143</v>
      </c>
      <c r="CT101" s="682" t="str">
        <f t="shared" si="338"/>
        <v/>
      </c>
      <c r="CU101" s="4" t="str">
        <f t="shared" si="339"/>
        <v/>
      </c>
      <c r="CV101" s="386" t="str">
        <f t="shared" si="340"/>
        <v/>
      </c>
      <c r="CW101" s="386">
        <f t="shared" si="260"/>
        <v>0</v>
      </c>
      <c r="CX101" s="386" t="str">
        <f t="shared" si="341"/>
        <v/>
      </c>
      <c r="CY101" s="387" t="str">
        <f t="shared" si="342"/>
        <v/>
      </c>
      <c r="CZ101" s="682" t="str">
        <f t="shared" si="343"/>
        <v/>
      </c>
      <c r="DA101" s="4" t="str">
        <f t="shared" si="344"/>
        <v/>
      </c>
      <c r="DB101" s="386" t="str">
        <f t="shared" si="345"/>
        <v/>
      </c>
      <c r="DC101" s="386">
        <f t="shared" si="261"/>
        <v>0</v>
      </c>
      <c r="DD101" s="386" t="str">
        <f t="shared" si="346"/>
        <v/>
      </c>
      <c r="DE101" s="387" t="str">
        <f t="shared" si="347"/>
        <v/>
      </c>
      <c r="DF101" s="682">
        <f t="shared" si="348"/>
        <v>0</v>
      </c>
      <c r="DG101" s="4">
        <f t="shared" si="349"/>
        <v>0</v>
      </c>
      <c r="DH101" s="386">
        <f t="shared" si="350"/>
        <v>1964</v>
      </c>
      <c r="DI101" s="386">
        <f t="shared" si="367"/>
        <v>1964</v>
      </c>
      <c r="DJ101" s="386">
        <f t="shared" si="352"/>
        <v>757.048</v>
      </c>
      <c r="DK101" s="387">
        <f t="shared" si="353"/>
        <v>13407320.080000002</v>
      </c>
      <c r="DL101" s="682"/>
      <c r="DM101" s="4" t="str">
        <f t="shared" si="354"/>
        <v/>
      </c>
      <c r="DN101" s="386" t="str">
        <f t="shared" si="355"/>
        <v/>
      </c>
      <c r="DO101" s="386">
        <f t="shared" si="368"/>
        <v>0</v>
      </c>
      <c r="DP101" s="386" t="str">
        <f t="shared" si="357"/>
        <v/>
      </c>
      <c r="DQ101" s="387" t="str">
        <f t="shared" si="358"/>
        <v/>
      </c>
    </row>
    <row r="102" spans="1:121" x14ac:dyDescent="0.25">
      <c r="A102" t="s">
        <v>336</v>
      </c>
      <c r="B102" t="s">
        <v>33</v>
      </c>
      <c r="C102" s="383" t="s">
        <v>34</v>
      </c>
      <c r="D102" t="s">
        <v>270</v>
      </c>
      <c r="E102" s="383" t="s">
        <v>271</v>
      </c>
      <c r="F102" t="s">
        <v>337</v>
      </c>
      <c r="G102" s="383" t="s">
        <v>338</v>
      </c>
      <c r="H102" s="385" t="str">
        <f t="shared" si="264"/>
        <v/>
      </c>
      <c r="I102" s="386" t="str">
        <f t="shared" si="265"/>
        <v/>
      </c>
      <c r="J102" s="386" t="str">
        <f t="shared" si="266"/>
        <v/>
      </c>
      <c r="K102" s="386">
        <f t="shared" si="267"/>
        <v>0</v>
      </c>
      <c r="L102" s="386" t="str">
        <f t="shared" si="268"/>
        <v/>
      </c>
      <c r="M102" s="387" t="str">
        <f t="shared" si="269"/>
        <v/>
      </c>
      <c r="N102" s="385"/>
      <c r="O102" s="386"/>
      <c r="P102" s="386"/>
      <c r="Q102" s="386"/>
      <c r="R102" s="386"/>
      <c r="S102" s="387"/>
      <c r="T102" s="385">
        <f t="shared" si="270"/>
        <v>181</v>
      </c>
      <c r="U102" s="386">
        <f t="shared" si="271"/>
        <v>7</v>
      </c>
      <c r="V102" s="386">
        <f t="shared" si="272"/>
        <v>0</v>
      </c>
      <c r="W102" s="386">
        <f t="shared" si="273"/>
        <v>7</v>
      </c>
      <c r="X102" s="386">
        <f t="shared" si="274"/>
        <v>4.3</v>
      </c>
      <c r="Y102" s="387">
        <f t="shared" si="275"/>
        <v>64500</v>
      </c>
      <c r="Z102" s="3">
        <f t="shared" si="276"/>
        <v>0</v>
      </c>
      <c r="AA102" s="4">
        <f t="shared" si="277"/>
        <v>0</v>
      </c>
      <c r="AB102" s="386">
        <f t="shared" si="278"/>
        <v>25</v>
      </c>
      <c r="AC102" s="386">
        <f t="shared" si="279"/>
        <v>25</v>
      </c>
      <c r="AD102" s="386" t="str">
        <f t="shared" si="280"/>
        <v/>
      </c>
      <c r="AE102" s="387">
        <f t="shared" si="281"/>
        <v>299025.00000000006</v>
      </c>
      <c r="AF102" s="682">
        <f t="shared" si="282"/>
        <v>0</v>
      </c>
      <c r="AG102" s="4">
        <f t="shared" si="283"/>
        <v>310</v>
      </c>
      <c r="AH102" s="386">
        <f t="shared" si="284"/>
        <v>790</v>
      </c>
      <c r="AI102" s="386">
        <f t="shared" si="359"/>
        <v>1100</v>
      </c>
      <c r="AJ102" s="386">
        <f t="shared" si="286"/>
        <v>1174.5</v>
      </c>
      <c r="AK102" s="387">
        <f t="shared" si="287"/>
        <v>23490000</v>
      </c>
      <c r="AL102" s="385"/>
      <c r="AM102" s="386"/>
      <c r="AN102" s="386"/>
      <c r="AO102" s="386"/>
      <c r="AP102" s="386"/>
      <c r="AQ102" s="387"/>
      <c r="AR102" s="682" t="str">
        <f t="shared" si="288"/>
        <v/>
      </c>
      <c r="AS102" s="4" t="str">
        <f t="shared" si="289"/>
        <v/>
      </c>
      <c r="AT102" s="386" t="str">
        <f t="shared" si="290"/>
        <v/>
      </c>
      <c r="AU102" s="386">
        <f t="shared" si="360"/>
        <v>0</v>
      </c>
      <c r="AV102" s="386" t="str">
        <f t="shared" si="292"/>
        <v/>
      </c>
      <c r="AW102" s="387" t="str">
        <f t="shared" si="293"/>
        <v/>
      </c>
      <c r="AX102" s="682" t="str">
        <f t="shared" si="294"/>
        <v/>
      </c>
      <c r="AY102" s="4" t="str">
        <f t="shared" si="295"/>
        <v/>
      </c>
      <c r="AZ102" s="386" t="str">
        <f t="shared" si="296"/>
        <v/>
      </c>
      <c r="BA102" s="386">
        <f t="shared" si="361"/>
        <v>0</v>
      </c>
      <c r="BB102" s="386" t="str">
        <f t="shared" si="298"/>
        <v/>
      </c>
      <c r="BC102" s="387" t="str">
        <f t="shared" si="299"/>
        <v/>
      </c>
      <c r="BD102" s="682" t="str">
        <f t="shared" si="300"/>
        <v/>
      </c>
      <c r="BE102" s="4" t="str">
        <f t="shared" si="301"/>
        <v/>
      </c>
      <c r="BF102" s="386" t="str">
        <f t="shared" si="302"/>
        <v/>
      </c>
      <c r="BG102" s="386">
        <f t="shared" si="362"/>
        <v>0</v>
      </c>
      <c r="BH102" s="386" t="str">
        <f t="shared" si="303"/>
        <v/>
      </c>
      <c r="BI102" s="387" t="str">
        <f t="shared" si="304"/>
        <v/>
      </c>
      <c r="BJ102" s="682" t="str">
        <f t="shared" si="305"/>
        <v/>
      </c>
      <c r="BK102" s="4" t="str">
        <f t="shared" si="306"/>
        <v/>
      </c>
      <c r="BL102" s="386" t="str">
        <f t="shared" si="307"/>
        <v/>
      </c>
      <c r="BM102" s="386">
        <f t="shared" si="363"/>
        <v>0</v>
      </c>
      <c r="BN102" s="386" t="str">
        <f t="shared" si="308"/>
        <v/>
      </c>
      <c r="BO102" s="387" t="str">
        <f t="shared" si="309"/>
        <v/>
      </c>
      <c r="BP102" s="682">
        <f t="shared" si="310"/>
        <v>0</v>
      </c>
      <c r="BQ102" s="4">
        <f t="shared" si="311"/>
        <v>650</v>
      </c>
      <c r="BR102" s="386">
        <f t="shared" si="312"/>
        <v>650</v>
      </c>
      <c r="BS102" s="386">
        <f t="shared" si="364"/>
        <v>1300</v>
      </c>
      <c r="BT102" s="386">
        <f t="shared" si="314"/>
        <v>2711.6</v>
      </c>
      <c r="BU102" s="387">
        <f t="shared" si="315"/>
        <v>35250800</v>
      </c>
      <c r="BV102" s="682" t="str">
        <f t="shared" si="316"/>
        <v/>
      </c>
      <c r="BW102" s="4" t="str">
        <f t="shared" si="317"/>
        <v/>
      </c>
      <c r="BX102" s="386" t="str">
        <f t="shared" si="318"/>
        <v/>
      </c>
      <c r="BY102" s="386">
        <f t="shared" si="370"/>
        <v>0</v>
      </c>
      <c r="BZ102" s="386" t="str">
        <f t="shared" si="319"/>
        <v/>
      </c>
      <c r="CA102" s="387" t="str">
        <f t="shared" si="320"/>
        <v/>
      </c>
      <c r="CB102" s="682" t="str">
        <f t="shared" si="371"/>
        <v/>
      </c>
      <c r="CC102" s="4" t="str">
        <f t="shared" si="322"/>
        <v/>
      </c>
      <c r="CD102" s="386" t="str">
        <f t="shared" si="372"/>
        <v/>
      </c>
      <c r="CE102" s="386">
        <f t="shared" si="259"/>
        <v>0</v>
      </c>
      <c r="CF102" s="386" t="str">
        <f t="shared" si="373"/>
        <v/>
      </c>
      <c r="CG102" s="387" t="str">
        <f t="shared" si="374"/>
        <v/>
      </c>
      <c r="CH102" s="682">
        <f t="shared" si="326"/>
        <v>0</v>
      </c>
      <c r="CI102" s="4">
        <f t="shared" si="327"/>
        <v>0</v>
      </c>
      <c r="CJ102" s="386">
        <f t="shared" si="328"/>
        <v>20</v>
      </c>
      <c r="CK102" s="386">
        <f t="shared" si="365"/>
        <v>20</v>
      </c>
      <c r="CL102" s="386">
        <f t="shared" si="330"/>
        <v>8.32</v>
      </c>
      <c r="CM102" s="387">
        <f t="shared" si="331"/>
        <v>195020.80000000002</v>
      </c>
      <c r="CN102" s="682">
        <f t="shared" si="332"/>
        <v>0</v>
      </c>
      <c r="CO102" s="4">
        <f t="shared" si="333"/>
        <v>200</v>
      </c>
      <c r="CP102" s="386">
        <f t="shared" si="334"/>
        <v>1655</v>
      </c>
      <c r="CQ102" s="386">
        <f t="shared" si="366"/>
        <v>1855</v>
      </c>
      <c r="CR102" s="386">
        <f t="shared" si="336"/>
        <v>1173.4125000000001</v>
      </c>
      <c r="CS102" s="387">
        <f t="shared" si="337"/>
        <v>20393909.250000004</v>
      </c>
      <c r="CT102" s="682" t="str">
        <f t="shared" si="338"/>
        <v/>
      </c>
      <c r="CU102" s="4" t="str">
        <f t="shared" si="339"/>
        <v/>
      </c>
      <c r="CV102" s="386" t="str">
        <f t="shared" si="340"/>
        <v/>
      </c>
      <c r="CW102" s="386">
        <f t="shared" si="260"/>
        <v>0</v>
      </c>
      <c r="CX102" s="386" t="str">
        <f t="shared" si="341"/>
        <v/>
      </c>
      <c r="CY102" s="387" t="str">
        <f t="shared" si="342"/>
        <v/>
      </c>
      <c r="CZ102" s="682" t="str">
        <f t="shared" si="343"/>
        <v/>
      </c>
      <c r="DA102" s="4" t="str">
        <f t="shared" si="344"/>
        <v/>
      </c>
      <c r="DB102" s="386" t="str">
        <f t="shared" si="345"/>
        <v/>
      </c>
      <c r="DC102" s="386">
        <f t="shared" si="261"/>
        <v>0</v>
      </c>
      <c r="DD102" s="386" t="str">
        <f t="shared" si="346"/>
        <v/>
      </c>
      <c r="DE102" s="387" t="str">
        <f t="shared" si="347"/>
        <v/>
      </c>
      <c r="DF102" s="682">
        <f t="shared" si="348"/>
        <v>0</v>
      </c>
      <c r="DG102" s="4">
        <f t="shared" si="349"/>
        <v>94.55</v>
      </c>
      <c r="DH102" s="386">
        <f t="shared" si="350"/>
        <v>743</v>
      </c>
      <c r="DI102" s="386">
        <f t="shared" si="367"/>
        <v>837.55</v>
      </c>
      <c r="DJ102" s="386">
        <f t="shared" si="352"/>
        <v>778.39850000000001</v>
      </c>
      <c r="DK102" s="387">
        <f t="shared" si="353"/>
        <v>13785437.435000002</v>
      </c>
      <c r="DL102" s="682"/>
      <c r="DM102" s="4">
        <f t="shared" si="354"/>
        <v>0</v>
      </c>
      <c r="DN102" s="386">
        <f t="shared" si="355"/>
        <v>200</v>
      </c>
      <c r="DO102" s="386">
        <f t="shared" si="368"/>
        <v>200</v>
      </c>
      <c r="DP102" s="386">
        <f t="shared" si="357"/>
        <v>217.49999999999997</v>
      </c>
      <c r="DQ102" s="387">
        <f t="shared" si="358"/>
        <v>607250</v>
      </c>
    </row>
    <row r="103" spans="1:121" x14ac:dyDescent="0.25">
      <c r="A103" t="s">
        <v>339</v>
      </c>
      <c r="B103" t="s">
        <v>33</v>
      </c>
      <c r="C103" s="383" t="s">
        <v>34</v>
      </c>
      <c r="D103" t="s">
        <v>270</v>
      </c>
      <c r="E103" s="383" t="s">
        <v>271</v>
      </c>
      <c r="F103" t="s">
        <v>340</v>
      </c>
      <c r="G103" s="383" t="s">
        <v>341</v>
      </c>
      <c r="H103" s="385">
        <f t="shared" si="264"/>
        <v>45</v>
      </c>
      <c r="I103" s="386">
        <f t="shared" si="265"/>
        <v>0</v>
      </c>
      <c r="J103" s="386">
        <f t="shared" si="266"/>
        <v>46</v>
      </c>
      <c r="K103" s="386">
        <f t="shared" si="267"/>
        <v>46</v>
      </c>
      <c r="L103" s="386">
        <f t="shared" si="268"/>
        <v>34.5</v>
      </c>
      <c r="M103" s="387">
        <f t="shared" si="269"/>
        <v>569250</v>
      </c>
      <c r="N103" s="385"/>
      <c r="O103" s="386"/>
      <c r="P103" s="386"/>
      <c r="Q103" s="386"/>
      <c r="R103" s="386"/>
      <c r="S103" s="387"/>
      <c r="T103" s="385">
        <f t="shared" si="270"/>
        <v>55</v>
      </c>
      <c r="U103" s="386">
        <f t="shared" si="271"/>
        <v>0</v>
      </c>
      <c r="V103" s="386">
        <f t="shared" si="272"/>
        <v>65</v>
      </c>
      <c r="W103" s="386">
        <f t="shared" si="273"/>
        <v>65</v>
      </c>
      <c r="X103" s="386">
        <f t="shared" si="274"/>
        <v>58.300000000000004</v>
      </c>
      <c r="Y103" s="387">
        <f t="shared" si="275"/>
        <v>874500</v>
      </c>
      <c r="Z103" s="3" t="str">
        <f t="shared" si="276"/>
        <v/>
      </c>
      <c r="AA103" s="4" t="str">
        <f t="shared" si="277"/>
        <v/>
      </c>
      <c r="AB103" s="386" t="str">
        <f t="shared" si="278"/>
        <v/>
      </c>
      <c r="AC103" s="386">
        <f t="shared" si="279"/>
        <v>0</v>
      </c>
      <c r="AD103" s="386" t="str">
        <f t="shared" si="280"/>
        <v/>
      </c>
      <c r="AE103" s="387" t="str">
        <f t="shared" si="281"/>
        <v/>
      </c>
      <c r="AF103" s="682">
        <f t="shared" si="282"/>
        <v>0</v>
      </c>
      <c r="AG103" s="4">
        <f t="shared" si="283"/>
        <v>0</v>
      </c>
      <c r="AH103" s="386">
        <f t="shared" si="284"/>
        <v>1010</v>
      </c>
      <c r="AI103" s="386">
        <f t="shared" si="359"/>
        <v>1010</v>
      </c>
      <c r="AJ103" s="386">
        <f t="shared" si="286"/>
        <v>1074.4499999999998</v>
      </c>
      <c r="AK103" s="387">
        <f t="shared" si="287"/>
        <v>21489000</v>
      </c>
      <c r="AL103" s="385"/>
      <c r="AM103" s="386"/>
      <c r="AN103" s="386"/>
      <c r="AO103" s="386"/>
      <c r="AP103" s="386"/>
      <c r="AQ103" s="387"/>
      <c r="AR103" s="682">
        <f t="shared" si="288"/>
        <v>120</v>
      </c>
      <c r="AS103" s="4">
        <f t="shared" si="289"/>
        <v>0</v>
      </c>
      <c r="AT103" s="386">
        <f t="shared" si="290"/>
        <v>105</v>
      </c>
      <c r="AU103" s="386">
        <f t="shared" si="360"/>
        <v>105</v>
      </c>
      <c r="AV103" s="386">
        <f t="shared" si="292"/>
        <v>49.665000000000006</v>
      </c>
      <c r="AW103" s="387">
        <f t="shared" si="293"/>
        <v>844305.00000000012</v>
      </c>
      <c r="AX103" s="682" t="str">
        <f t="shared" si="294"/>
        <v/>
      </c>
      <c r="AY103" s="4" t="str">
        <f t="shared" si="295"/>
        <v/>
      </c>
      <c r="AZ103" s="386" t="str">
        <f t="shared" si="296"/>
        <v/>
      </c>
      <c r="BA103" s="386">
        <f t="shared" si="361"/>
        <v>0</v>
      </c>
      <c r="BB103" s="386" t="str">
        <f t="shared" si="298"/>
        <v/>
      </c>
      <c r="BC103" s="387" t="str">
        <f t="shared" si="299"/>
        <v/>
      </c>
      <c r="BD103" s="682" t="str">
        <f t="shared" si="300"/>
        <v/>
      </c>
      <c r="BE103" s="4" t="str">
        <f t="shared" si="301"/>
        <v/>
      </c>
      <c r="BF103" s="386" t="str">
        <f t="shared" si="302"/>
        <v/>
      </c>
      <c r="BG103" s="386">
        <f t="shared" si="362"/>
        <v>0</v>
      </c>
      <c r="BH103" s="386" t="str">
        <f t="shared" si="303"/>
        <v/>
      </c>
      <c r="BI103" s="387" t="str">
        <f t="shared" si="304"/>
        <v/>
      </c>
      <c r="BJ103" s="682">
        <f t="shared" si="305"/>
        <v>2218</v>
      </c>
      <c r="BK103" s="4">
        <f t="shared" si="306"/>
        <v>210</v>
      </c>
      <c r="BL103" s="386">
        <f t="shared" si="307"/>
        <v>0</v>
      </c>
      <c r="BM103" s="386">
        <f t="shared" si="363"/>
        <v>210</v>
      </c>
      <c r="BN103" s="386">
        <f t="shared" si="308"/>
        <v>84.3</v>
      </c>
      <c r="BO103" s="387">
        <f t="shared" si="309"/>
        <v>1180200</v>
      </c>
      <c r="BP103" s="682">
        <f t="shared" si="310"/>
        <v>0</v>
      </c>
      <c r="BQ103" s="4">
        <f t="shared" si="311"/>
        <v>0</v>
      </c>
      <c r="BR103" s="386">
        <f t="shared" si="312"/>
        <v>1897</v>
      </c>
      <c r="BS103" s="386">
        <f t="shared" si="364"/>
        <v>1897</v>
      </c>
      <c r="BT103" s="386">
        <f t="shared" si="314"/>
        <v>953.74499999999989</v>
      </c>
      <c r="BU103" s="387">
        <f t="shared" si="315"/>
        <v>12398685</v>
      </c>
      <c r="BV103" s="682" t="str">
        <f t="shared" si="316"/>
        <v/>
      </c>
      <c r="BW103" s="4" t="str">
        <f t="shared" si="317"/>
        <v/>
      </c>
      <c r="BX103" s="386" t="str">
        <f t="shared" si="318"/>
        <v/>
      </c>
      <c r="BY103" s="386">
        <f t="shared" si="370"/>
        <v>0</v>
      </c>
      <c r="BZ103" s="386" t="str">
        <f t="shared" si="319"/>
        <v/>
      </c>
      <c r="CA103" s="387" t="str">
        <f t="shared" si="320"/>
        <v/>
      </c>
      <c r="CB103" s="682" t="str">
        <f t="shared" si="371"/>
        <v/>
      </c>
      <c r="CC103" s="4" t="str">
        <f t="shared" si="322"/>
        <v/>
      </c>
      <c r="CD103" s="386" t="str">
        <f t="shared" si="372"/>
        <v/>
      </c>
      <c r="CE103" s="386">
        <f t="shared" si="259"/>
        <v>0</v>
      </c>
      <c r="CF103" s="386" t="str">
        <f t="shared" si="373"/>
        <v/>
      </c>
      <c r="CG103" s="387" t="str">
        <f t="shared" si="374"/>
        <v/>
      </c>
      <c r="CH103" s="682">
        <f t="shared" si="326"/>
        <v>0</v>
      </c>
      <c r="CI103" s="4">
        <f t="shared" si="327"/>
        <v>0</v>
      </c>
      <c r="CJ103" s="386">
        <f t="shared" si="328"/>
        <v>50</v>
      </c>
      <c r="CK103" s="386">
        <f t="shared" si="365"/>
        <v>50</v>
      </c>
      <c r="CL103" s="386">
        <f t="shared" si="330"/>
        <v>20.8</v>
      </c>
      <c r="CM103" s="387">
        <f t="shared" si="331"/>
        <v>487552</v>
      </c>
      <c r="CN103" s="682">
        <f t="shared" si="332"/>
        <v>0</v>
      </c>
      <c r="CO103" s="4">
        <f t="shared" si="333"/>
        <v>30</v>
      </c>
      <c r="CP103" s="386">
        <f t="shared" si="334"/>
        <v>50</v>
      </c>
      <c r="CQ103" s="386">
        <f t="shared" si="366"/>
        <v>80</v>
      </c>
      <c r="CR103" s="386">
        <f t="shared" si="336"/>
        <v>139.85000000000002</v>
      </c>
      <c r="CS103" s="387">
        <f t="shared" si="337"/>
        <v>2430593</v>
      </c>
      <c r="CT103" s="682" t="str">
        <f t="shared" si="338"/>
        <v/>
      </c>
      <c r="CU103" s="4" t="str">
        <f t="shared" si="339"/>
        <v/>
      </c>
      <c r="CV103" s="386" t="str">
        <f t="shared" si="340"/>
        <v/>
      </c>
      <c r="CW103" s="386">
        <f t="shared" si="260"/>
        <v>0</v>
      </c>
      <c r="CX103" s="386" t="str">
        <f t="shared" si="341"/>
        <v/>
      </c>
      <c r="CY103" s="387" t="str">
        <f t="shared" si="342"/>
        <v/>
      </c>
      <c r="CZ103" s="682" t="str">
        <f t="shared" si="343"/>
        <v/>
      </c>
      <c r="DA103" s="4" t="str">
        <f t="shared" si="344"/>
        <v/>
      </c>
      <c r="DB103" s="386" t="str">
        <f t="shared" si="345"/>
        <v/>
      </c>
      <c r="DC103" s="386">
        <f t="shared" si="261"/>
        <v>0</v>
      </c>
      <c r="DD103" s="386" t="str">
        <f t="shared" si="346"/>
        <v/>
      </c>
      <c r="DE103" s="387" t="str">
        <f t="shared" si="347"/>
        <v/>
      </c>
      <c r="DF103" s="682">
        <f t="shared" si="348"/>
        <v>0</v>
      </c>
      <c r="DG103" s="4">
        <f t="shared" si="349"/>
        <v>0</v>
      </c>
      <c r="DH103" s="386">
        <f t="shared" si="350"/>
        <v>500</v>
      </c>
      <c r="DI103" s="386">
        <f t="shared" si="367"/>
        <v>500</v>
      </c>
      <c r="DJ103" s="386">
        <f t="shared" si="352"/>
        <v>230.5</v>
      </c>
      <c r="DK103" s="387">
        <f t="shared" si="353"/>
        <v>4082155</v>
      </c>
      <c r="DL103" s="682"/>
      <c r="DM103" s="4">
        <f t="shared" si="354"/>
        <v>0</v>
      </c>
      <c r="DN103" s="386">
        <f t="shared" si="355"/>
        <v>75</v>
      </c>
      <c r="DO103" s="386">
        <f t="shared" si="368"/>
        <v>75</v>
      </c>
      <c r="DP103" s="386">
        <f t="shared" si="357"/>
        <v>32.625</v>
      </c>
      <c r="DQ103" s="387">
        <f t="shared" si="358"/>
        <v>91087.5</v>
      </c>
    </row>
    <row r="104" spans="1:121" x14ac:dyDescent="0.25">
      <c r="A104" t="s">
        <v>342</v>
      </c>
      <c r="B104" t="s">
        <v>33</v>
      </c>
      <c r="C104" s="383" t="s">
        <v>34</v>
      </c>
      <c r="D104" t="s">
        <v>270</v>
      </c>
      <c r="E104" s="383" t="s">
        <v>271</v>
      </c>
      <c r="F104" t="s">
        <v>343</v>
      </c>
      <c r="G104" s="383" t="s">
        <v>344</v>
      </c>
      <c r="H104" s="385" t="str">
        <f t="shared" si="264"/>
        <v/>
      </c>
      <c r="I104" s="386" t="str">
        <f t="shared" si="265"/>
        <v/>
      </c>
      <c r="J104" s="386" t="str">
        <f t="shared" si="266"/>
        <v/>
      </c>
      <c r="K104" s="386">
        <f t="shared" si="267"/>
        <v>0</v>
      </c>
      <c r="L104" s="386" t="str">
        <f t="shared" si="268"/>
        <v/>
      </c>
      <c r="M104" s="387" t="str">
        <f t="shared" si="269"/>
        <v/>
      </c>
      <c r="N104" s="385"/>
      <c r="O104" s="386"/>
      <c r="P104" s="386"/>
      <c r="Q104" s="386"/>
      <c r="R104" s="386"/>
      <c r="S104" s="387"/>
      <c r="T104" s="385" t="str">
        <f t="shared" si="270"/>
        <v/>
      </c>
      <c r="U104" s="386" t="str">
        <f t="shared" si="271"/>
        <v/>
      </c>
      <c r="V104" s="386" t="str">
        <f t="shared" si="272"/>
        <v/>
      </c>
      <c r="W104" s="386">
        <f t="shared" si="273"/>
        <v>0</v>
      </c>
      <c r="X104" s="386" t="str">
        <f t="shared" si="274"/>
        <v/>
      </c>
      <c r="Y104" s="387" t="str">
        <f t="shared" si="275"/>
        <v/>
      </c>
      <c r="Z104" s="3" t="str">
        <f t="shared" si="276"/>
        <v/>
      </c>
      <c r="AA104" s="4" t="str">
        <f t="shared" si="277"/>
        <v/>
      </c>
      <c r="AB104" s="386" t="str">
        <f t="shared" si="278"/>
        <v/>
      </c>
      <c r="AC104" s="386">
        <f t="shared" si="279"/>
        <v>0</v>
      </c>
      <c r="AD104" s="386" t="str">
        <f t="shared" si="280"/>
        <v/>
      </c>
      <c r="AE104" s="387" t="str">
        <f t="shared" si="281"/>
        <v/>
      </c>
      <c r="AF104" s="682">
        <f t="shared" si="282"/>
        <v>0</v>
      </c>
      <c r="AG104" s="4">
        <f t="shared" si="283"/>
        <v>0</v>
      </c>
      <c r="AH104" s="386">
        <f t="shared" si="284"/>
        <v>162.5</v>
      </c>
      <c r="AI104" s="386">
        <f t="shared" si="359"/>
        <v>162.5</v>
      </c>
      <c r="AJ104" s="386">
        <f t="shared" si="286"/>
        <v>176.71874999999997</v>
      </c>
      <c r="AK104" s="387">
        <f t="shared" si="287"/>
        <v>3534374.9999999995</v>
      </c>
      <c r="AL104" s="385"/>
      <c r="AM104" s="386"/>
      <c r="AN104" s="386"/>
      <c r="AO104" s="386"/>
      <c r="AP104" s="386"/>
      <c r="AQ104" s="387"/>
      <c r="AR104" s="682" t="str">
        <f t="shared" si="288"/>
        <v/>
      </c>
      <c r="AS104" s="4" t="str">
        <f t="shared" si="289"/>
        <v/>
      </c>
      <c r="AT104" s="386" t="str">
        <f t="shared" si="290"/>
        <v/>
      </c>
      <c r="AU104" s="386">
        <f t="shared" si="360"/>
        <v>0</v>
      </c>
      <c r="AV104" s="386" t="str">
        <f t="shared" si="292"/>
        <v/>
      </c>
      <c r="AW104" s="387" t="str">
        <f t="shared" si="293"/>
        <v/>
      </c>
      <c r="AX104" s="682" t="str">
        <f t="shared" si="294"/>
        <v/>
      </c>
      <c r="AY104" s="4" t="str">
        <f t="shared" si="295"/>
        <v/>
      </c>
      <c r="AZ104" s="386" t="str">
        <f t="shared" si="296"/>
        <v/>
      </c>
      <c r="BA104" s="386">
        <f t="shared" si="361"/>
        <v>0</v>
      </c>
      <c r="BB104" s="386" t="str">
        <f t="shared" si="298"/>
        <v/>
      </c>
      <c r="BC104" s="387" t="str">
        <f t="shared" si="299"/>
        <v/>
      </c>
      <c r="BD104" s="682" t="str">
        <f t="shared" si="300"/>
        <v/>
      </c>
      <c r="BE104" s="4" t="str">
        <f t="shared" si="301"/>
        <v/>
      </c>
      <c r="BF104" s="386" t="str">
        <f t="shared" si="302"/>
        <v/>
      </c>
      <c r="BG104" s="386">
        <f t="shared" si="362"/>
        <v>0</v>
      </c>
      <c r="BH104" s="386" t="str">
        <f t="shared" si="303"/>
        <v/>
      </c>
      <c r="BI104" s="387" t="str">
        <f t="shared" si="304"/>
        <v/>
      </c>
      <c r="BJ104" s="682" t="str">
        <f t="shared" si="305"/>
        <v/>
      </c>
      <c r="BK104" s="4" t="str">
        <f t="shared" si="306"/>
        <v/>
      </c>
      <c r="BL104" s="386" t="str">
        <f t="shared" si="307"/>
        <v/>
      </c>
      <c r="BM104" s="386">
        <f t="shared" si="363"/>
        <v>0</v>
      </c>
      <c r="BN104" s="386" t="str">
        <f t="shared" si="308"/>
        <v/>
      </c>
      <c r="BO104" s="387" t="str">
        <f t="shared" si="309"/>
        <v/>
      </c>
      <c r="BP104" s="682">
        <f t="shared" si="310"/>
        <v>0</v>
      </c>
      <c r="BQ104" s="4">
        <f t="shared" si="311"/>
        <v>0</v>
      </c>
      <c r="BR104" s="386">
        <f t="shared" si="312"/>
        <v>4425</v>
      </c>
      <c r="BS104" s="386">
        <f t="shared" si="364"/>
        <v>4425</v>
      </c>
      <c r="BT104" s="386">
        <f t="shared" si="314"/>
        <v>1938.15</v>
      </c>
      <c r="BU104" s="387">
        <f t="shared" si="315"/>
        <v>25195950</v>
      </c>
      <c r="BV104" s="682" t="str">
        <f t="shared" si="316"/>
        <v/>
      </c>
      <c r="BW104" s="4" t="str">
        <f t="shared" si="317"/>
        <v/>
      </c>
      <c r="BX104" s="386" t="str">
        <f t="shared" si="318"/>
        <v/>
      </c>
      <c r="BY104" s="386">
        <f t="shared" si="370"/>
        <v>0</v>
      </c>
      <c r="BZ104" s="386" t="str">
        <f t="shared" si="319"/>
        <v/>
      </c>
      <c r="CA104" s="387" t="str">
        <f t="shared" si="320"/>
        <v/>
      </c>
      <c r="CB104" s="682" t="str">
        <f t="shared" si="371"/>
        <v/>
      </c>
      <c r="CC104" s="4" t="str">
        <f t="shared" si="322"/>
        <v/>
      </c>
      <c r="CD104" s="386" t="str">
        <f t="shared" si="372"/>
        <v/>
      </c>
      <c r="CE104" s="386">
        <f t="shared" si="259"/>
        <v>0</v>
      </c>
      <c r="CF104" s="386" t="str">
        <f t="shared" si="373"/>
        <v/>
      </c>
      <c r="CG104" s="387" t="str">
        <f t="shared" si="374"/>
        <v/>
      </c>
      <c r="CH104" s="682">
        <f t="shared" si="326"/>
        <v>0</v>
      </c>
      <c r="CI104" s="4">
        <f t="shared" si="327"/>
        <v>213</v>
      </c>
      <c r="CJ104" s="386">
        <f t="shared" si="328"/>
        <v>245.5</v>
      </c>
      <c r="CK104" s="386">
        <f t="shared" si="365"/>
        <v>458.5</v>
      </c>
      <c r="CL104" s="386">
        <f t="shared" si="330"/>
        <v>988.20800000000008</v>
      </c>
      <c r="CM104" s="387">
        <f t="shared" si="331"/>
        <v>23163595.520000003</v>
      </c>
      <c r="CN104" s="682">
        <f t="shared" si="332"/>
        <v>0</v>
      </c>
      <c r="CO104" s="4">
        <f t="shared" si="333"/>
        <v>68</v>
      </c>
      <c r="CP104" s="386">
        <f t="shared" si="334"/>
        <v>5.5</v>
      </c>
      <c r="CQ104" s="386">
        <f t="shared" si="366"/>
        <v>73.5</v>
      </c>
      <c r="CR104" s="386">
        <f t="shared" si="336"/>
        <v>283.34125000000006</v>
      </c>
      <c r="CS104" s="387">
        <f t="shared" si="337"/>
        <v>4924470.9249999998</v>
      </c>
      <c r="CT104" s="682" t="str">
        <f t="shared" si="338"/>
        <v/>
      </c>
      <c r="CU104" s="4" t="str">
        <f t="shared" si="339"/>
        <v/>
      </c>
      <c r="CV104" s="386" t="str">
        <f t="shared" si="340"/>
        <v/>
      </c>
      <c r="CW104" s="386">
        <f t="shared" si="260"/>
        <v>0</v>
      </c>
      <c r="CX104" s="386" t="str">
        <f t="shared" si="341"/>
        <v/>
      </c>
      <c r="CY104" s="387" t="str">
        <f t="shared" si="342"/>
        <v/>
      </c>
      <c r="CZ104" s="682" t="str">
        <f t="shared" si="343"/>
        <v/>
      </c>
      <c r="DA104" s="4" t="str">
        <f t="shared" si="344"/>
        <v/>
      </c>
      <c r="DB104" s="386" t="str">
        <f t="shared" si="345"/>
        <v/>
      </c>
      <c r="DC104" s="386">
        <f t="shared" si="261"/>
        <v>0</v>
      </c>
      <c r="DD104" s="386" t="str">
        <f t="shared" si="346"/>
        <v/>
      </c>
      <c r="DE104" s="387" t="str">
        <f t="shared" si="347"/>
        <v/>
      </c>
      <c r="DF104" s="682">
        <f t="shared" si="348"/>
        <v>0</v>
      </c>
      <c r="DG104" s="4">
        <f t="shared" si="349"/>
        <v>75</v>
      </c>
      <c r="DH104" s="386">
        <f t="shared" si="350"/>
        <v>1737</v>
      </c>
      <c r="DI104" s="386">
        <f t="shared" si="367"/>
        <v>1812</v>
      </c>
      <c r="DJ104" s="386">
        <f t="shared" si="352"/>
        <v>1146.5070000000001</v>
      </c>
      <c r="DK104" s="387">
        <f t="shared" si="353"/>
        <v>20304638.970000003</v>
      </c>
      <c r="DL104" s="682"/>
      <c r="DM104" s="4">
        <f t="shared" si="354"/>
        <v>0</v>
      </c>
      <c r="DN104" s="386">
        <f t="shared" si="355"/>
        <v>228</v>
      </c>
      <c r="DO104" s="386">
        <f t="shared" si="368"/>
        <v>228</v>
      </c>
      <c r="DP104" s="386">
        <f t="shared" si="357"/>
        <v>247.95</v>
      </c>
      <c r="DQ104" s="387">
        <f t="shared" si="358"/>
        <v>692265</v>
      </c>
    </row>
    <row r="105" spans="1:121" x14ac:dyDescent="0.25">
      <c r="A105" t="s">
        <v>345</v>
      </c>
      <c r="B105" t="s">
        <v>33</v>
      </c>
      <c r="C105" s="383" t="s">
        <v>34</v>
      </c>
      <c r="D105" t="s">
        <v>270</v>
      </c>
      <c r="E105" s="383" t="s">
        <v>271</v>
      </c>
      <c r="F105" t="s">
        <v>346</v>
      </c>
      <c r="G105" s="383" t="s">
        <v>347</v>
      </c>
      <c r="H105" s="385" t="str">
        <f t="shared" si="264"/>
        <v/>
      </c>
      <c r="I105" s="386" t="str">
        <f t="shared" si="265"/>
        <v/>
      </c>
      <c r="J105" s="386" t="str">
        <f t="shared" si="266"/>
        <v/>
      </c>
      <c r="K105" s="386">
        <f t="shared" si="267"/>
        <v>0</v>
      </c>
      <c r="L105" s="386" t="str">
        <f t="shared" si="268"/>
        <v/>
      </c>
      <c r="M105" s="387" t="str">
        <f t="shared" si="269"/>
        <v/>
      </c>
      <c r="N105" s="385"/>
      <c r="O105" s="386"/>
      <c r="P105" s="386"/>
      <c r="Q105" s="386"/>
      <c r="R105" s="386"/>
      <c r="S105" s="387"/>
      <c r="T105" s="385" t="str">
        <f t="shared" si="270"/>
        <v/>
      </c>
      <c r="U105" s="386" t="str">
        <f t="shared" si="271"/>
        <v/>
      </c>
      <c r="V105" s="386" t="str">
        <f t="shared" si="272"/>
        <v/>
      </c>
      <c r="W105" s="386">
        <f t="shared" si="273"/>
        <v>0</v>
      </c>
      <c r="X105" s="386" t="str">
        <f t="shared" si="274"/>
        <v/>
      </c>
      <c r="Y105" s="387" t="str">
        <f t="shared" si="275"/>
        <v/>
      </c>
      <c r="Z105" s="3" t="str">
        <f t="shared" si="276"/>
        <v/>
      </c>
      <c r="AA105" s="4" t="str">
        <f t="shared" si="277"/>
        <v/>
      </c>
      <c r="AB105" s="386" t="str">
        <f t="shared" si="278"/>
        <v/>
      </c>
      <c r="AC105" s="386">
        <f t="shared" si="279"/>
        <v>0</v>
      </c>
      <c r="AD105" s="386" t="str">
        <f t="shared" si="280"/>
        <v/>
      </c>
      <c r="AE105" s="387" t="str">
        <f t="shared" si="281"/>
        <v/>
      </c>
      <c r="AF105" s="682">
        <f t="shared" si="282"/>
        <v>0</v>
      </c>
      <c r="AG105" s="4">
        <f t="shared" si="283"/>
        <v>0</v>
      </c>
      <c r="AH105" s="386">
        <f t="shared" si="284"/>
        <v>2159</v>
      </c>
      <c r="AI105" s="386">
        <f t="shared" si="359"/>
        <v>2159</v>
      </c>
      <c r="AJ105" s="386">
        <f t="shared" si="286"/>
        <v>2302.2374999999997</v>
      </c>
      <c r="AK105" s="387">
        <f t="shared" si="287"/>
        <v>46044750</v>
      </c>
      <c r="AL105" s="385"/>
      <c r="AM105" s="386"/>
      <c r="AN105" s="386"/>
      <c r="AO105" s="386"/>
      <c r="AP105" s="386"/>
      <c r="AQ105" s="387"/>
      <c r="AR105" s="682" t="str">
        <f t="shared" si="288"/>
        <v/>
      </c>
      <c r="AS105" s="4" t="str">
        <f t="shared" si="289"/>
        <v/>
      </c>
      <c r="AT105" s="386" t="str">
        <f t="shared" si="290"/>
        <v/>
      </c>
      <c r="AU105" s="386">
        <f t="shared" si="360"/>
        <v>0</v>
      </c>
      <c r="AV105" s="386" t="str">
        <f t="shared" si="292"/>
        <v/>
      </c>
      <c r="AW105" s="387" t="str">
        <f t="shared" si="293"/>
        <v/>
      </c>
      <c r="AX105" s="682" t="str">
        <f t="shared" si="294"/>
        <v/>
      </c>
      <c r="AY105" s="4" t="str">
        <f t="shared" si="295"/>
        <v/>
      </c>
      <c r="AZ105" s="386" t="str">
        <f t="shared" si="296"/>
        <v/>
      </c>
      <c r="BA105" s="386">
        <f t="shared" si="361"/>
        <v>0</v>
      </c>
      <c r="BB105" s="386" t="str">
        <f t="shared" si="298"/>
        <v/>
      </c>
      <c r="BC105" s="387" t="str">
        <f t="shared" si="299"/>
        <v/>
      </c>
      <c r="BD105" s="682" t="str">
        <f t="shared" si="300"/>
        <v/>
      </c>
      <c r="BE105" s="4" t="str">
        <f t="shared" si="301"/>
        <v/>
      </c>
      <c r="BF105" s="386" t="str">
        <f t="shared" si="302"/>
        <v/>
      </c>
      <c r="BG105" s="386">
        <f t="shared" si="362"/>
        <v>0</v>
      </c>
      <c r="BH105" s="386" t="str">
        <f t="shared" si="303"/>
        <v/>
      </c>
      <c r="BI105" s="387" t="str">
        <f t="shared" si="304"/>
        <v/>
      </c>
      <c r="BJ105" s="682" t="str">
        <f t="shared" si="305"/>
        <v/>
      </c>
      <c r="BK105" s="4" t="str">
        <f t="shared" si="306"/>
        <v/>
      </c>
      <c r="BL105" s="386" t="str">
        <f t="shared" si="307"/>
        <v/>
      </c>
      <c r="BM105" s="386">
        <f t="shared" si="363"/>
        <v>0</v>
      </c>
      <c r="BN105" s="386" t="str">
        <f t="shared" si="308"/>
        <v/>
      </c>
      <c r="BO105" s="387" t="str">
        <f t="shared" si="309"/>
        <v/>
      </c>
      <c r="BP105" s="682">
        <f t="shared" si="310"/>
        <v>0</v>
      </c>
      <c r="BQ105" s="4">
        <f t="shared" si="311"/>
        <v>0</v>
      </c>
      <c r="BR105" s="386">
        <f t="shared" si="312"/>
        <v>1702.5</v>
      </c>
      <c r="BS105" s="386">
        <f t="shared" si="364"/>
        <v>1702.5</v>
      </c>
      <c r="BT105" s="386">
        <f t="shared" si="314"/>
        <v>734.61199999999997</v>
      </c>
      <c r="BU105" s="387">
        <f t="shared" si="315"/>
        <v>9549956</v>
      </c>
      <c r="BV105" s="682" t="str">
        <f t="shared" si="316"/>
        <v/>
      </c>
      <c r="BW105" s="4" t="str">
        <f t="shared" si="317"/>
        <v/>
      </c>
      <c r="BX105" s="386" t="str">
        <f t="shared" si="318"/>
        <v/>
      </c>
      <c r="BY105" s="386">
        <f t="shared" si="370"/>
        <v>0</v>
      </c>
      <c r="BZ105" s="386" t="str">
        <f t="shared" si="319"/>
        <v/>
      </c>
      <c r="CA105" s="387" t="str">
        <f t="shared" si="320"/>
        <v/>
      </c>
      <c r="CB105" s="682" t="str">
        <f t="shared" si="371"/>
        <v/>
      </c>
      <c r="CC105" s="4" t="str">
        <f t="shared" si="322"/>
        <v/>
      </c>
      <c r="CD105" s="386" t="str">
        <f t="shared" si="372"/>
        <v/>
      </c>
      <c r="CE105" s="386">
        <f t="shared" si="259"/>
        <v>0</v>
      </c>
      <c r="CF105" s="386" t="str">
        <f t="shared" si="373"/>
        <v/>
      </c>
      <c r="CG105" s="387" t="str">
        <f t="shared" si="374"/>
        <v/>
      </c>
      <c r="CH105" s="682">
        <f t="shared" si="326"/>
        <v>0</v>
      </c>
      <c r="CI105" s="4">
        <f t="shared" si="327"/>
        <v>0</v>
      </c>
      <c r="CJ105" s="386">
        <f t="shared" si="328"/>
        <v>418.12</v>
      </c>
      <c r="CK105" s="386">
        <f t="shared" si="365"/>
        <v>418.12</v>
      </c>
      <c r="CL105" s="386">
        <f t="shared" si="330"/>
        <v>173.93792000000002</v>
      </c>
      <c r="CM105" s="387">
        <f t="shared" si="331"/>
        <v>4077104.8448000005</v>
      </c>
      <c r="CN105" s="682">
        <f t="shared" si="332"/>
        <v>0</v>
      </c>
      <c r="CO105" s="4">
        <f t="shared" si="333"/>
        <v>0</v>
      </c>
      <c r="CP105" s="386">
        <f t="shared" si="334"/>
        <v>18</v>
      </c>
      <c r="CQ105" s="386">
        <f t="shared" si="366"/>
        <v>18</v>
      </c>
      <c r="CR105" s="386">
        <f t="shared" si="336"/>
        <v>7.4700000000000006</v>
      </c>
      <c r="CS105" s="387">
        <f t="shared" si="337"/>
        <v>129828.59999999999</v>
      </c>
      <c r="CT105" s="682" t="str">
        <f t="shared" si="338"/>
        <v/>
      </c>
      <c r="CU105" s="4" t="str">
        <f t="shared" si="339"/>
        <v/>
      </c>
      <c r="CV105" s="386" t="str">
        <f t="shared" si="340"/>
        <v/>
      </c>
      <c r="CW105" s="386">
        <f t="shared" si="260"/>
        <v>0</v>
      </c>
      <c r="CX105" s="386" t="str">
        <f t="shared" si="341"/>
        <v/>
      </c>
      <c r="CY105" s="387" t="str">
        <f t="shared" si="342"/>
        <v/>
      </c>
      <c r="CZ105" s="682" t="str">
        <f t="shared" si="343"/>
        <v/>
      </c>
      <c r="DA105" s="4" t="str">
        <f t="shared" si="344"/>
        <v/>
      </c>
      <c r="DB105" s="386" t="str">
        <f t="shared" si="345"/>
        <v/>
      </c>
      <c r="DC105" s="386">
        <f t="shared" si="261"/>
        <v>0</v>
      </c>
      <c r="DD105" s="386" t="str">
        <f t="shared" si="346"/>
        <v/>
      </c>
      <c r="DE105" s="387" t="str">
        <f t="shared" si="347"/>
        <v/>
      </c>
      <c r="DF105" s="682">
        <f t="shared" si="348"/>
        <v>0</v>
      </c>
      <c r="DG105" s="4">
        <f t="shared" si="349"/>
        <v>25</v>
      </c>
      <c r="DH105" s="386">
        <f t="shared" si="350"/>
        <v>277</v>
      </c>
      <c r="DI105" s="386">
        <f t="shared" si="367"/>
        <v>302</v>
      </c>
      <c r="DJ105" s="386">
        <f t="shared" si="352"/>
        <v>242.94700000000003</v>
      </c>
      <c r="DK105" s="387">
        <f t="shared" si="353"/>
        <v>4234593.870000001</v>
      </c>
      <c r="DL105" s="682"/>
      <c r="DM105" s="4" t="str">
        <f t="shared" si="354"/>
        <v/>
      </c>
      <c r="DN105" s="386" t="str">
        <f t="shared" si="355"/>
        <v/>
      </c>
      <c r="DO105" s="386">
        <f t="shared" si="368"/>
        <v>0</v>
      </c>
      <c r="DP105" s="386" t="str">
        <f t="shared" si="357"/>
        <v/>
      </c>
      <c r="DQ105" s="387" t="str">
        <f t="shared" si="358"/>
        <v/>
      </c>
    </row>
    <row r="106" spans="1:121" x14ac:dyDescent="0.25">
      <c r="A106" t="s">
        <v>348</v>
      </c>
      <c r="B106" t="s">
        <v>33</v>
      </c>
      <c r="C106" s="383" t="s">
        <v>34</v>
      </c>
      <c r="D106" t="s">
        <v>270</v>
      </c>
      <c r="E106" s="383" t="s">
        <v>271</v>
      </c>
      <c r="F106" t="s">
        <v>349</v>
      </c>
      <c r="G106" s="383" t="s">
        <v>350</v>
      </c>
      <c r="H106" s="385" t="str">
        <f t="shared" si="264"/>
        <v/>
      </c>
      <c r="I106" s="386" t="str">
        <f t="shared" si="265"/>
        <v/>
      </c>
      <c r="J106" s="386" t="str">
        <f t="shared" si="266"/>
        <v/>
      </c>
      <c r="K106" s="386">
        <f t="shared" si="267"/>
        <v>0</v>
      </c>
      <c r="L106" s="386" t="str">
        <f t="shared" si="268"/>
        <v/>
      </c>
      <c r="M106" s="387" t="str">
        <f t="shared" si="269"/>
        <v/>
      </c>
      <c r="N106" s="385"/>
      <c r="O106" s="386"/>
      <c r="P106" s="386"/>
      <c r="Q106" s="386"/>
      <c r="R106" s="386"/>
      <c r="S106" s="387"/>
      <c r="T106" s="385">
        <f t="shared" si="270"/>
        <v>200</v>
      </c>
      <c r="U106" s="386">
        <f t="shared" si="271"/>
        <v>154</v>
      </c>
      <c r="V106" s="386">
        <f t="shared" si="272"/>
        <v>49</v>
      </c>
      <c r="W106" s="386">
        <f t="shared" si="273"/>
        <v>203</v>
      </c>
      <c r="X106" s="386">
        <f t="shared" si="274"/>
        <v>0</v>
      </c>
      <c r="Y106" s="387">
        <f t="shared" si="275"/>
        <v>0</v>
      </c>
      <c r="Z106" s="3">
        <f t="shared" si="276"/>
        <v>0</v>
      </c>
      <c r="AA106" s="4">
        <f t="shared" si="277"/>
        <v>0</v>
      </c>
      <c r="AB106" s="386">
        <f t="shared" si="278"/>
        <v>190</v>
      </c>
      <c r="AC106" s="386">
        <f t="shared" si="279"/>
        <v>190</v>
      </c>
      <c r="AD106" s="386" t="str">
        <f t="shared" si="280"/>
        <v/>
      </c>
      <c r="AE106" s="387">
        <f t="shared" si="281"/>
        <v>1515060</v>
      </c>
      <c r="AF106" s="682" t="str">
        <f t="shared" si="282"/>
        <v/>
      </c>
      <c r="AG106" s="4" t="str">
        <f t="shared" si="283"/>
        <v/>
      </c>
      <c r="AH106" s="386" t="str">
        <f t="shared" si="284"/>
        <v/>
      </c>
      <c r="AI106" s="386">
        <f t="shared" si="359"/>
        <v>0</v>
      </c>
      <c r="AJ106" s="386" t="str">
        <f t="shared" si="286"/>
        <v/>
      </c>
      <c r="AK106" s="387" t="str">
        <f t="shared" si="287"/>
        <v/>
      </c>
      <c r="AL106" s="385"/>
      <c r="AM106" s="386"/>
      <c r="AN106" s="386"/>
      <c r="AO106" s="386"/>
      <c r="AP106" s="386"/>
      <c r="AQ106" s="387"/>
      <c r="AR106" s="682" t="str">
        <f t="shared" si="288"/>
        <v/>
      </c>
      <c r="AS106" s="4" t="str">
        <f t="shared" si="289"/>
        <v/>
      </c>
      <c r="AT106" s="386" t="str">
        <f t="shared" si="290"/>
        <v/>
      </c>
      <c r="AU106" s="386">
        <f t="shared" si="360"/>
        <v>0</v>
      </c>
      <c r="AV106" s="386" t="str">
        <f t="shared" si="292"/>
        <v/>
      </c>
      <c r="AW106" s="387" t="str">
        <f t="shared" si="293"/>
        <v/>
      </c>
      <c r="AX106" s="682" t="str">
        <f t="shared" si="294"/>
        <v/>
      </c>
      <c r="AY106" s="4" t="str">
        <f t="shared" si="295"/>
        <v/>
      </c>
      <c r="AZ106" s="386" t="str">
        <f t="shared" si="296"/>
        <v/>
      </c>
      <c r="BA106" s="386">
        <f t="shared" si="361"/>
        <v>0</v>
      </c>
      <c r="BB106" s="386" t="str">
        <f t="shared" si="298"/>
        <v/>
      </c>
      <c r="BC106" s="387" t="str">
        <f t="shared" si="299"/>
        <v/>
      </c>
      <c r="BD106" s="682" t="str">
        <f t="shared" si="300"/>
        <v/>
      </c>
      <c r="BE106" s="4" t="str">
        <f t="shared" si="301"/>
        <v/>
      </c>
      <c r="BF106" s="386" t="str">
        <f t="shared" si="302"/>
        <v/>
      </c>
      <c r="BG106" s="386">
        <f t="shared" si="362"/>
        <v>0</v>
      </c>
      <c r="BH106" s="386" t="str">
        <f t="shared" si="303"/>
        <v/>
      </c>
      <c r="BI106" s="387" t="str">
        <f t="shared" si="304"/>
        <v/>
      </c>
      <c r="BJ106" s="682" t="str">
        <f t="shared" si="305"/>
        <v/>
      </c>
      <c r="BK106" s="4" t="str">
        <f t="shared" si="306"/>
        <v/>
      </c>
      <c r="BL106" s="386" t="str">
        <f t="shared" si="307"/>
        <v/>
      </c>
      <c r="BM106" s="386">
        <f t="shared" si="363"/>
        <v>0</v>
      </c>
      <c r="BN106" s="386" t="str">
        <f t="shared" si="308"/>
        <v/>
      </c>
      <c r="BO106" s="387" t="str">
        <f t="shared" si="309"/>
        <v/>
      </c>
      <c r="BP106" s="682">
        <f t="shared" si="310"/>
        <v>0</v>
      </c>
      <c r="BQ106" s="4">
        <f t="shared" si="311"/>
        <v>806.90000000000009</v>
      </c>
      <c r="BR106" s="386">
        <f t="shared" si="312"/>
        <v>608.1</v>
      </c>
      <c r="BS106" s="386">
        <f t="shared" si="364"/>
        <v>1415</v>
      </c>
      <c r="BT106" s="386">
        <f t="shared" si="314"/>
        <v>3699.5354000000002</v>
      </c>
      <c r="BU106" s="387">
        <f t="shared" si="315"/>
        <v>48093960.200000003</v>
      </c>
      <c r="BV106" s="682" t="str">
        <f t="shared" si="316"/>
        <v/>
      </c>
      <c r="BW106" s="4" t="str">
        <f t="shared" si="317"/>
        <v/>
      </c>
      <c r="BX106" s="386" t="str">
        <f t="shared" si="318"/>
        <v/>
      </c>
      <c r="BY106" s="386">
        <f t="shared" si="370"/>
        <v>0</v>
      </c>
      <c r="BZ106" s="386" t="str">
        <f t="shared" si="319"/>
        <v/>
      </c>
      <c r="CA106" s="387" t="str">
        <f t="shared" si="320"/>
        <v/>
      </c>
      <c r="CB106" s="682" t="str">
        <f t="shared" si="371"/>
        <v/>
      </c>
      <c r="CC106" s="4" t="str">
        <f t="shared" si="322"/>
        <v/>
      </c>
      <c r="CD106" s="386" t="str">
        <f t="shared" si="372"/>
        <v/>
      </c>
      <c r="CE106" s="386">
        <f t="shared" si="259"/>
        <v>0</v>
      </c>
      <c r="CF106" s="386" t="str">
        <f t="shared" si="373"/>
        <v/>
      </c>
      <c r="CG106" s="387" t="str">
        <f t="shared" si="374"/>
        <v/>
      </c>
      <c r="CH106" s="682">
        <f t="shared" si="326"/>
        <v>0</v>
      </c>
      <c r="CI106" s="4">
        <f t="shared" si="327"/>
        <v>0</v>
      </c>
      <c r="CJ106" s="386">
        <f t="shared" si="328"/>
        <v>150</v>
      </c>
      <c r="CK106" s="386">
        <f t="shared" si="365"/>
        <v>150</v>
      </c>
      <c r="CL106" s="386">
        <f t="shared" si="330"/>
        <v>62.400000000000006</v>
      </c>
      <c r="CM106" s="387">
        <f t="shared" si="331"/>
        <v>1462656.0000000002</v>
      </c>
      <c r="CN106" s="682" t="str">
        <f t="shared" si="332"/>
        <v/>
      </c>
      <c r="CO106" s="4" t="str">
        <f t="shared" si="333"/>
        <v/>
      </c>
      <c r="CP106" s="386" t="str">
        <f t="shared" si="334"/>
        <v/>
      </c>
      <c r="CQ106" s="386">
        <f t="shared" si="366"/>
        <v>0</v>
      </c>
      <c r="CR106" s="386" t="str">
        <f t="shared" si="336"/>
        <v/>
      </c>
      <c r="CS106" s="387" t="str">
        <f t="shared" si="337"/>
        <v/>
      </c>
      <c r="CT106" s="682" t="str">
        <f t="shared" si="338"/>
        <v/>
      </c>
      <c r="CU106" s="4" t="str">
        <f t="shared" si="339"/>
        <v/>
      </c>
      <c r="CV106" s="386" t="str">
        <f t="shared" si="340"/>
        <v/>
      </c>
      <c r="CW106" s="386">
        <f t="shared" si="260"/>
        <v>0</v>
      </c>
      <c r="CX106" s="386" t="str">
        <f t="shared" si="341"/>
        <v/>
      </c>
      <c r="CY106" s="387" t="str">
        <f t="shared" si="342"/>
        <v/>
      </c>
      <c r="CZ106" s="682" t="str">
        <f t="shared" si="343"/>
        <v/>
      </c>
      <c r="DA106" s="4" t="str">
        <f t="shared" si="344"/>
        <v/>
      </c>
      <c r="DB106" s="386" t="str">
        <f t="shared" si="345"/>
        <v/>
      </c>
      <c r="DC106" s="386">
        <f t="shared" si="261"/>
        <v>0</v>
      </c>
      <c r="DD106" s="386" t="str">
        <f t="shared" si="346"/>
        <v/>
      </c>
      <c r="DE106" s="387" t="str">
        <f t="shared" si="347"/>
        <v/>
      </c>
      <c r="DF106" s="682">
        <f t="shared" si="348"/>
        <v>0</v>
      </c>
      <c r="DG106" s="4">
        <f t="shared" si="349"/>
        <v>0</v>
      </c>
      <c r="DH106" s="386">
        <f t="shared" si="350"/>
        <v>103</v>
      </c>
      <c r="DI106" s="386">
        <f t="shared" si="367"/>
        <v>103</v>
      </c>
      <c r="DJ106" s="386">
        <f t="shared" si="352"/>
        <v>47.483000000000004</v>
      </c>
      <c r="DK106" s="387">
        <f t="shared" si="353"/>
        <v>840923.93000000017</v>
      </c>
      <c r="DL106" s="682"/>
      <c r="DM106" s="4" t="str">
        <f t="shared" si="354"/>
        <v/>
      </c>
      <c r="DN106" s="386" t="str">
        <f t="shared" si="355"/>
        <v/>
      </c>
      <c r="DO106" s="386">
        <f t="shared" si="368"/>
        <v>0</v>
      </c>
      <c r="DP106" s="386" t="str">
        <f t="shared" si="357"/>
        <v/>
      </c>
      <c r="DQ106" s="387" t="str">
        <f t="shared" si="358"/>
        <v/>
      </c>
    </row>
    <row r="107" spans="1:121" x14ac:dyDescent="0.25">
      <c r="A107" t="s">
        <v>351</v>
      </c>
      <c r="B107" t="s">
        <v>33</v>
      </c>
      <c r="C107" s="383" t="s">
        <v>34</v>
      </c>
      <c r="D107" t="s">
        <v>270</v>
      </c>
      <c r="E107" s="383" t="s">
        <v>271</v>
      </c>
      <c r="F107" t="s">
        <v>352</v>
      </c>
      <c r="G107" s="383" t="s">
        <v>353</v>
      </c>
      <c r="H107" s="385">
        <f t="shared" si="264"/>
        <v>90</v>
      </c>
      <c r="I107" s="386">
        <f t="shared" si="265"/>
        <v>15.5</v>
      </c>
      <c r="J107" s="386">
        <f t="shared" si="266"/>
        <v>82.05</v>
      </c>
      <c r="K107" s="386">
        <f t="shared" si="267"/>
        <v>97.55</v>
      </c>
      <c r="L107" s="386">
        <f t="shared" si="268"/>
        <v>2.8125</v>
      </c>
      <c r="M107" s="387">
        <f t="shared" si="269"/>
        <v>45000</v>
      </c>
      <c r="N107" s="385"/>
      <c r="O107" s="386"/>
      <c r="P107" s="386"/>
      <c r="Q107" s="386"/>
      <c r="R107" s="386"/>
      <c r="S107" s="387"/>
      <c r="T107" s="385">
        <f t="shared" si="270"/>
        <v>2500</v>
      </c>
      <c r="U107" s="386">
        <f t="shared" si="271"/>
        <v>0</v>
      </c>
      <c r="V107" s="386">
        <f t="shared" si="272"/>
        <v>3032.0499999999997</v>
      </c>
      <c r="W107" s="386">
        <f t="shared" si="273"/>
        <v>3032.0499999999997</v>
      </c>
      <c r="X107" s="386">
        <f t="shared" si="274"/>
        <v>2084.7660000000001</v>
      </c>
      <c r="Y107" s="387">
        <f t="shared" si="275"/>
        <v>33212421</v>
      </c>
      <c r="Z107" s="3" t="str">
        <f t="shared" si="276"/>
        <v/>
      </c>
      <c r="AA107" s="4" t="str">
        <f t="shared" si="277"/>
        <v/>
      </c>
      <c r="AB107" s="386" t="str">
        <f t="shared" si="278"/>
        <v/>
      </c>
      <c r="AC107" s="386">
        <f t="shared" si="279"/>
        <v>0</v>
      </c>
      <c r="AD107" s="386" t="str">
        <f t="shared" si="280"/>
        <v/>
      </c>
      <c r="AE107" s="387" t="str">
        <f t="shared" si="281"/>
        <v/>
      </c>
      <c r="AF107" s="682">
        <f t="shared" si="282"/>
        <v>0</v>
      </c>
      <c r="AG107" s="4">
        <f t="shared" si="283"/>
        <v>733</v>
      </c>
      <c r="AH107" s="386">
        <f t="shared" si="284"/>
        <v>1586.8000000000002</v>
      </c>
      <c r="AI107" s="386">
        <f t="shared" si="359"/>
        <v>2319.8000000000002</v>
      </c>
      <c r="AJ107" s="386">
        <f t="shared" si="286"/>
        <v>2314.4609999999998</v>
      </c>
      <c r="AK107" s="387">
        <f t="shared" si="287"/>
        <v>46289220</v>
      </c>
      <c r="AL107" s="385"/>
      <c r="AM107" s="386"/>
      <c r="AN107" s="386"/>
      <c r="AO107" s="386"/>
      <c r="AP107" s="386"/>
      <c r="AQ107" s="387"/>
      <c r="AR107" s="682">
        <f t="shared" si="288"/>
        <v>870</v>
      </c>
      <c r="AS107" s="4">
        <f t="shared" si="289"/>
        <v>0</v>
      </c>
      <c r="AT107" s="386">
        <f t="shared" si="290"/>
        <v>399.5</v>
      </c>
      <c r="AU107" s="386">
        <f t="shared" si="360"/>
        <v>399.5</v>
      </c>
      <c r="AV107" s="386">
        <f t="shared" si="292"/>
        <v>237.09125</v>
      </c>
      <c r="AW107" s="387">
        <f t="shared" si="293"/>
        <v>4030551.25</v>
      </c>
      <c r="AX107" s="682" t="str">
        <f t="shared" si="294"/>
        <v/>
      </c>
      <c r="AY107" s="4" t="str">
        <f t="shared" si="295"/>
        <v/>
      </c>
      <c r="AZ107" s="386" t="str">
        <f t="shared" si="296"/>
        <v/>
      </c>
      <c r="BA107" s="386">
        <f t="shared" si="361"/>
        <v>0</v>
      </c>
      <c r="BB107" s="386" t="str">
        <f t="shared" si="298"/>
        <v/>
      </c>
      <c r="BC107" s="387" t="str">
        <f t="shared" si="299"/>
        <v/>
      </c>
      <c r="BD107" s="682" t="str">
        <f t="shared" si="300"/>
        <v/>
      </c>
      <c r="BE107" s="4" t="str">
        <f t="shared" si="301"/>
        <v/>
      </c>
      <c r="BF107" s="386" t="str">
        <f t="shared" si="302"/>
        <v/>
      </c>
      <c r="BG107" s="386">
        <f t="shared" si="362"/>
        <v>0</v>
      </c>
      <c r="BH107" s="386" t="str">
        <f t="shared" si="303"/>
        <v/>
      </c>
      <c r="BI107" s="387" t="str">
        <f t="shared" si="304"/>
        <v/>
      </c>
      <c r="BJ107" s="682" t="str">
        <f t="shared" si="305"/>
        <v/>
      </c>
      <c r="BK107" s="4" t="str">
        <f t="shared" si="306"/>
        <v/>
      </c>
      <c r="BL107" s="386" t="str">
        <f t="shared" si="307"/>
        <v/>
      </c>
      <c r="BM107" s="386">
        <f t="shared" si="363"/>
        <v>0</v>
      </c>
      <c r="BN107" s="386" t="str">
        <f t="shared" si="308"/>
        <v/>
      </c>
      <c r="BO107" s="387" t="str">
        <f t="shared" si="309"/>
        <v/>
      </c>
      <c r="BP107" s="682">
        <f t="shared" si="310"/>
        <v>0</v>
      </c>
      <c r="BQ107" s="4">
        <f t="shared" si="311"/>
        <v>1090.3</v>
      </c>
      <c r="BR107" s="386">
        <f t="shared" si="312"/>
        <v>3896.4</v>
      </c>
      <c r="BS107" s="386">
        <f t="shared" si="364"/>
        <v>4986.7</v>
      </c>
      <c r="BT107" s="386">
        <f t="shared" si="314"/>
        <v>1045.643</v>
      </c>
      <c r="BU107" s="387">
        <f t="shared" si="315"/>
        <v>13593359</v>
      </c>
      <c r="BV107" s="682" t="str">
        <f t="shared" si="316"/>
        <v/>
      </c>
      <c r="BW107" s="4" t="str">
        <f t="shared" si="317"/>
        <v/>
      </c>
      <c r="BX107" s="386" t="str">
        <f t="shared" si="318"/>
        <v/>
      </c>
      <c r="BY107" s="386">
        <f t="shared" si="370"/>
        <v>0</v>
      </c>
      <c r="BZ107" s="386" t="str">
        <f t="shared" si="319"/>
        <v/>
      </c>
      <c r="CA107" s="387" t="str">
        <f t="shared" si="320"/>
        <v/>
      </c>
      <c r="CB107" s="682" t="str">
        <f t="shared" si="371"/>
        <v/>
      </c>
      <c r="CC107" s="4" t="str">
        <f t="shared" si="322"/>
        <v/>
      </c>
      <c r="CD107" s="386" t="str">
        <f t="shared" si="372"/>
        <v/>
      </c>
      <c r="CE107" s="386">
        <f t="shared" si="259"/>
        <v>0</v>
      </c>
      <c r="CF107" s="386" t="str">
        <f t="shared" si="373"/>
        <v/>
      </c>
      <c r="CG107" s="387" t="str">
        <f t="shared" si="374"/>
        <v/>
      </c>
      <c r="CH107" s="682">
        <f t="shared" si="326"/>
        <v>0</v>
      </c>
      <c r="CI107" s="4">
        <f t="shared" si="327"/>
        <v>0</v>
      </c>
      <c r="CJ107" s="386">
        <f t="shared" si="328"/>
        <v>900</v>
      </c>
      <c r="CK107" s="386">
        <f t="shared" si="365"/>
        <v>900</v>
      </c>
      <c r="CL107" s="386">
        <f t="shared" si="330"/>
        <v>374.40000000000009</v>
      </c>
      <c r="CM107" s="387">
        <f t="shared" si="331"/>
        <v>8775936.0000000019</v>
      </c>
      <c r="CN107" s="682">
        <f t="shared" si="332"/>
        <v>0</v>
      </c>
      <c r="CO107" s="4">
        <f t="shared" si="333"/>
        <v>85</v>
      </c>
      <c r="CP107" s="386">
        <f t="shared" si="334"/>
        <v>4234.5</v>
      </c>
      <c r="CQ107" s="386">
        <f t="shared" si="366"/>
        <v>4319.5</v>
      </c>
      <c r="CR107" s="386">
        <f t="shared" si="336"/>
        <v>1231.4087500000003</v>
      </c>
      <c r="CS107" s="387">
        <f t="shared" si="337"/>
        <v>21401884.075000003</v>
      </c>
      <c r="CT107" s="682" t="str">
        <f t="shared" si="338"/>
        <v/>
      </c>
      <c r="CU107" s="4" t="str">
        <f t="shared" si="339"/>
        <v/>
      </c>
      <c r="CV107" s="386" t="str">
        <f t="shared" si="340"/>
        <v/>
      </c>
      <c r="CW107" s="386">
        <f t="shared" si="260"/>
        <v>0</v>
      </c>
      <c r="CX107" s="386" t="str">
        <f t="shared" si="341"/>
        <v/>
      </c>
      <c r="CY107" s="387" t="str">
        <f t="shared" si="342"/>
        <v/>
      </c>
      <c r="CZ107" s="682" t="str">
        <f t="shared" si="343"/>
        <v/>
      </c>
      <c r="DA107" s="4" t="str">
        <f t="shared" si="344"/>
        <v/>
      </c>
      <c r="DB107" s="386" t="str">
        <f t="shared" si="345"/>
        <v/>
      </c>
      <c r="DC107" s="386">
        <f t="shared" si="261"/>
        <v>0</v>
      </c>
      <c r="DD107" s="386" t="str">
        <f t="shared" si="346"/>
        <v/>
      </c>
      <c r="DE107" s="387" t="str">
        <f t="shared" si="347"/>
        <v/>
      </c>
      <c r="DF107" s="682">
        <f t="shared" si="348"/>
        <v>0</v>
      </c>
      <c r="DG107" s="4">
        <f t="shared" si="349"/>
        <v>333</v>
      </c>
      <c r="DH107" s="386">
        <f t="shared" si="350"/>
        <v>1800</v>
      </c>
      <c r="DI107" s="386">
        <f t="shared" si="367"/>
        <v>2133</v>
      </c>
      <c r="DJ107" s="386">
        <f t="shared" si="352"/>
        <v>2364.9300000000003</v>
      </c>
      <c r="DK107" s="387">
        <f t="shared" si="353"/>
        <v>41882910.300000012</v>
      </c>
      <c r="DL107" s="682"/>
      <c r="DM107" s="4">
        <f t="shared" si="354"/>
        <v>0</v>
      </c>
      <c r="DN107" s="386">
        <f t="shared" si="355"/>
        <v>5650</v>
      </c>
      <c r="DO107" s="386">
        <f t="shared" si="368"/>
        <v>5650</v>
      </c>
      <c r="DP107" s="386">
        <f t="shared" si="357"/>
        <v>3338.625</v>
      </c>
      <c r="DQ107" s="387">
        <f t="shared" si="358"/>
        <v>10397525</v>
      </c>
    </row>
    <row r="108" spans="1:121" x14ac:dyDescent="0.25">
      <c r="A108" t="s">
        <v>354</v>
      </c>
      <c r="B108" t="s">
        <v>33</v>
      </c>
      <c r="C108" s="383" t="s">
        <v>34</v>
      </c>
      <c r="D108" t="s">
        <v>270</v>
      </c>
      <c r="E108" s="383" t="s">
        <v>271</v>
      </c>
      <c r="F108" t="s">
        <v>355</v>
      </c>
      <c r="G108" s="383" t="s">
        <v>356</v>
      </c>
      <c r="H108" s="385" t="str">
        <f t="shared" si="264"/>
        <v/>
      </c>
      <c r="I108" s="386" t="str">
        <f t="shared" si="265"/>
        <v/>
      </c>
      <c r="J108" s="386" t="str">
        <f t="shared" si="266"/>
        <v/>
      </c>
      <c r="K108" s="386">
        <f t="shared" si="267"/>
        <v>0</v>
      </c>
      <c r="L108" s="386" t="str">
        <f t="shared" si="268"/>
        <v/>
      </c>
      <c r="M108" s="387" t="str">
        <f t="shared" si="269"/>
        <v/>
      </c>
      <c r="N108" s="385"/>
      <c r="O108" s="386"/>
      <c r="P108" s="386"/>
      <c r="Q108" s="386"/>
      <c r="R108" s="386"/>
      <c r="S108" s="387"/>
      <c r="T108" s="385">
        <f t="shared" si="270"/>
        <v>0</v>
      </c>
      <c r="U108" s="386">
        <f t="shared" si="271"/>
        <v>0</v>
      </c>
      <c r="V108" s="386">
        <f t="shared" si="272"/>
        <v>148</v>
      </c>
      <c r="W108" s="386">
        <f t="shared" si="273"/>
        <v>148</v>
      </c>
      <c r="X108" s="386">
        <f t="shared" si="274"/>
        <v>0</v>
      </c>
      <c r="Y108" s="387">
        <f t="shared" si="275"/>
        <v>0</v>
      </c>
      <c r="Z108" s="3" t="str">
        <f t="shared" si="276"/>
        <v/>
      </c>
      <c r="AA108" s="4" t="str">
        <f t="shared" si="277"/>
        <v/>
      </c>
      <c r="AB108" s="386" t="str">
        <f t="shared" si="278"/>
        <v/>
      </c>
      <c r="AC108" s="386">
        <f t="shared" si="279"/>
        <v>0</v>
      </c>
      <c r="AD108" s="386" t="str">
        <f t="shared" si="280"/>
        <v/>
      </c>
      <c r="AE108" s="387" t="str">
        <f t="shared" si="281"/>
        <v/>
      </c>
      <c r="AF108" s="682">
        <f t="shared" si="282"/>
        <v>0</v>
      </c>
      <c r="AG108" s="4">
        <f t="shared" si="283"/>
        <v>0</v>
      </c>
      <c r="AH108" s="386">
        <f t="shared" si="284"/>
        <v>839</v>
      </c>
      <c r="AI108" s="386">
        <f t="shared" si="359"/>
        <v>839</v>
      </c>
      <c r="AJ108" s="386">
        <f t="shared" si="286"/>
        <v>965.69999999999993</v>
      </c>
      <c r="AK108" s="387">
        <f t="shared" si="287"/>
        <v>19314000</v>
      </c>
      <c r="AL108" s="385"/>
      <c r="AM108" s="386"/>
      <c r="AN108" s="386"/>
      <c r="AO108" s="386"/>
      <c r="AP108" s="386"/>
      <c r="AQ108" s="387"/>
      <c r="AR108" s="682">
        <f t="shared" si="288"/>
        <v>40</v>
      </c>
      <c r="AS108" s="4">
        <f t="shared" si="289"/>
        <v>0</v>
      </c>
      <c r="AT108" s="386">
        <f t="shared" si="290"/>
        <v>53</v>
      </c>
      <c r="AU108" s="386">
        <f t="shared" si="360"/>
        <v>53</v>
      </c>
      <c r="AV108" s="386">
        <f t="shared" si="292"/>
        <v>26.251500000000004</v>
      </c>
      <c r="AW108" s="387">
        <f t="shared" si="293"/>
        <v>446275.50000000006</v>
      </c>
      <c r="AX108" s="682" t="str">
        <f t="shared" si="294"/>
        <v/>
      </c>
      <c r="AY108" s="4" t="str">
        <f t="shared" si="295"/>
        <v/>
      </c>
      <c r="AZ108" s="386" t="str">
        <f t="shared" si="296"/>
        <v/>
      </c>
      <c r="BA108" s="386">
        <f t="shared" si="361"/>
        <v>0</v>
      </c>
      <c r="BB108" s="386" t="str">
        <f t="shared" si="298"/>
        <v/>
      </c>
      <c r="BC108" s="387" t="str">
        <f t="shared" si="299"/>
        <v/>
      </c>
      <c r="BD108" s="682" t="str">
        <f t="shared" si="300"/>
        <v/>
      </c>
      <c r="BE108" s="4" t="str">
        <f t="shared" si="301"/>
        <v/>
      </c>
      <c r="BF108" s="386" t="str">
        <f t="shared" si="302"/>
        <v/>
      </c>
      <c r="BG108" s="386">
        <f t="shared" si="362"/>
        <v>0</v>
      </c>
      <c r="BH108" s="386" t="str">
        <f t="shared" si="303"/>
        <v/>
      </c>
      <c r="BI108" s="387" t="str">
        <f t="shared" si="304"/>
        <v/>
      </c>
      <c r="BJ108" s="682">
        <f t="shared" si="305"/>
        <v>0</v>
      </c>
      <c r="BK108" s="4">
        <f t="shared" si="306"/>
        <v>81</v>
      </c>
      <c r="BL108" s="386">
        <f t="shared" si="307"/>
        <v>0</v>
      </c>
      <c r="BM108" s="386">
        <f t="shared" si="363"/>
        <v>81</v>
      </c>
      <c r="BN108" s="386">
        <f t="shared" si="308"/>
        <v>20.685000000000002</v>
      </c>
      <c r="BO108" s="387">
        <f t="shared" si="309"/>
        <v>289590.00000000006</v>
      </c>
      <c r="BP108" s="682">
        <f t="shared" si="310"/>
        <v>0</v>
      </c>
      <c r="BQ108" s="4">
        <f t="shared" si="311"/>
        <v>0</v>
      </c>
      <c r="BR108" s="386">
        <f t="shared" si="312"/>
        <v>573</v>
      </c>
      <c r="BS108" s="386">
        <f t="shared" si="364"/>
        <v>573</v>
      </c>
      <c r="BT108" s="386">
        <f t="shared" si="314"/>
        <v>250.97399999999999</v>
      </c>
      <c r="BU108" s="387">
        <f t="shared" si="315"/>
        <v>3262662</v>
      </c>
      <c r="BV108" s="682" t="str">
        <f t="shared" si="316"/>
        <v/>
      </c>
      <c r="BW108" s="4" t="str">
        <f t="shared" si="317"/>
        <v/>
      </c>
      <c r="BX108" s="386" t="str">
        <f t="shared" si="318"/>
        <v/>
      </c>
      <c r="BY108" s="386">
        <f t="shared" si="370"/>
        <v>0</v>
      </c>
      <c r="BZ108" s="386" t="str">
        <f t="shared" si="319"/>
        <v/>
      </c>
      <c r="CA108" s="387" t="str">
        <f t="shared" si="320"/>
        <v/>
      </c>
      <c r="CB108" s="682" t="str">
        <f t="shared" si="371"/>
        <v/>
      </c>
      <c r="CC108" s="4" t="str">
        <f t="shared" si="322"/>
        <v/>
      </c>
      <c r="CD108" s="386" t="str">
        <f t="shared" si="372"/>
        <v/>
      </c>
      <c r="CE108" s="386">
        <f t="shared" si="259"/>
        <v>0</v>
      </c>
      <c r="CF108" s="386" t="str">
        <f t="shared" si="373"/>
        <v/>
      </c>
      <c r="CG108" s="387" t="str">
        <f t="shared" si="374"/>
        <v/>
      </c>
      <c r="CH108" s="682">
        <f t="shared" si="326"/>
        <v>0</v>
      </c>
      <c r="CI108" s="4">
        <f t="shared" si="327"/>
        <v>0</v>
      </c>
      <c r="CJ108" s="386">
        <f t="shared" si="328"/>
        <v>200</v>
      </c>
      <c r="CK108" s="386">
        <f t="shared" si="365"/>
        <v>200</v>
      </c>
      <c r="CL108" s="386">
        <f t="shared" si="330"/>
        <v>83.200000000000017</v>
      </c>
      <c r="CM108" s="387">
        <f t="shared" si="331"/>
        <v>1950208.0000000005</v>
      </c>
      <c r="CN108" s="682">
        <f t="shared" si="332"/>
        <v>0</v>
      </c>
      <c r="CO108" s="4">
        <f t="shared" si="333"/>
        <v>0</v>
      </c>
      <c r="CP108" s="386">
        <f t="shared" si="334"/>
        <v>59</v>
      </c>
      <c r="CQ108" s="386">
        <f t="shared" si="366"/>
        <v>59</v>
      </c>
      <c r="CR108" s="386">
        <f t="shared" si="336"/>
        <v>12.242500000000001</v>
      </c>
      <c r="CS108" s="387">
        <f t="shared" si="337"/>
        <v>212774.65</v>
      </c>
      <c r="CT108" s="682" t="str">
        <f t="shared" si="338"/>
        <v/>
      </c>
      <c r="CU108" s="4" t="str">
        <f t="shared" si="339"/>
        <v/>
      </c>
      <c r="CV108" s="386" t="str">
        <f t="shared" si="340"/>
        <v/>
      </c>
      <c r="CW108" s="386">
        <f t="shared" si="260"/>
        <v>0</v>
      </c>
      <c r="CX108" s="386" t="str">
        <f t="shared" si="341"/>
        <v/>
      </c>
      <c r="CY108" s="387" t="str">
        <f t="shared" si="342"/>
        <v/>
      </c>
      <c r="CZ108" s="682" t="str">
        <f t="shared" si="343"/>
        <v/>
      </c>
      <c r="DA108" s="4" t="str">
        <f t="shared" si="344"/>
        <v/>
      </c>
      <c r="DB108" s="386" t="str">
        <f t="shared" si="345"/>
        <v/>
      </c>
      <c r="DC108" s="386">
        <f t="shared" si="261"/>
        <v>0</v>
      </c>
      <c r="DD108" s="386" t="str">
        <f t="shared" si="346"/>
        <v/>
      </c>
      <c r="DE108" s="387" t="str">
        <f t="shared" si="347"/>
        <v/>
      </c>
      <c r="DF108" s="682">
        <f t="shared" si="348"/>
        <v>0</v>
      </c>
      <c r="DG108" s="4">
        <f t="shared" si="349"/>
        <v>0</v>
      </c>
      <c r="DH108" s="386">
        <f t="shared" si="350"/>
        <v>302</v>
      </c>
      <c r="DI108" s="386">
        <f t="shared" si="367"/>
        <v>302</v>
      </c>
      <c r="DJ108" s="386">
        <f t="shared" si="352"/>
        <v>139.22200000000001</v>
      </c>
      <c r="DK108" s="387">
        <f t="shared" si="353"/>
        <v>2465621.62</v>
      </c>
      <c r="DL108" s="682"/>
      <c r="DM108" s="4" t="str">
        <f t="shared" si="354"/>
        <v/>
      </c>
      <c r="DN108" s="386" t="str">
        <f t="shared" si="355"/>
        <v/>
      </c>
      <c r="DO108" s="386">
        <f t="shared" si="368"/>
        <v>0</v>
      </c>
      <c r="DP108" s="386" t="str">
        <f t="shared" si="357"/>
        <v/>
      </c>
      <c r="DQ108" s="387" t="str">
        <f t="shared" si="358"/>
        <v/>
      </c>
    </row>
    <row r="109" spans="1:121" x14ac:dyDescent="0.25">
      <c r="A109" t="s">
        <v>357</v>
      </c>
      <c r="B109" t="s">
        <v>33</v>
      </c>
      <c r="C109" s="383" t="s">
        <v>34</v>
      </c>
      <c r="D109" t="s">
        <v>270</v>
      </c>
      <c r="E109" s="383" t="s">
        <v>271</v>
      </c>
      <c r="F109" t="s">
        <v>358</v>
      </c>
      <c r="G109" s="383" t="s">
        <v>359</v>
      </c>
      <c r="H109" s="385" t="str">
        <f t="shared" si="264"/>
        <v/>
      </c>
      <c r="I109" s="386" t="str">
        <f t="shared" si="265"/>
        <v/>
      </c>
      <c r="J109" s="386" t="str">
        <f t="shared" si="266"/>
        <v/>
      </c>
      <c r="K109" s="386">
        <f t="shared" si="267"/>
        <v>0</v>
      </c>
      <c r="L109" s="386" t="str">
        <f t="shared" si="268"/>
        <v/>
      </c>
      <c r="M109" s="387" t="str">
        <f t="shared" si="269"/>
        <v/>
      </c>
      <c r="N109" s="385"/>
      <c r="O109" s="386"/>
      <c r="P109" s="386"/>
      <c r="Q109" s="386"/>
      <c r="R109" s="386"/>
      <c r="S109" s="387"/>
      <c r="T109" s="385">
        <f t="shared" si="270"/>
        <v>16</v>
      </c>
      <c r="U109" s="386">
        <f t="shared" si="271"/>
        <v>0</v>
      </c>
      <c r="V109" s="386">
        <f t="shared" si="272"/>
        <v>13</v>
      </c>
      <c r="W109" s="386">
        <f t="shared" si="273"/>
        <v>13</v>
      </c>
      <c r="X109" s="386">
        <f t="shared" si="274"/>
        <v>1.9349999999999998</v>
      </c>
      <c r="Y109" s="387">
        <f t="shared" si="275"/>
        <v>29992.499999999996</v>
      </c>
      <c r="Z109" s="3">
        <f t="shared" si="276"/>
        <v>0</v>
      </c>
      <c r="AA109" s="4">
        <f t="shared" si="277"/>
        <v>0</v>
      </c>
      <c r="AB109" s="386">
        <f t="shared" si="278"/>
        <v>30</v>
      </c>
      <c r="AC109" s="386">
        <f t="shared" si="279"/>
        <v>30</v>
      </c>
      <c r="AD109" s="386" t="str">
        <f t="shared" si="280"/>
        <v/>
      </c>
      <c r="AE109" s="387">
        <f t="shared" si="281"/>
        <v>239220.00000000003</v>
      </c>
      <c r="AF109" s="682">
        <f t="shared" si="282"/>
        <v>0</v>
      </c>
      <c r="AG109" s="4">
        <f t="shared" si="283"/>
        <v>100</v>
      </c>
      <c r="AH109" s="386">
        <f t="shared" si="284"/>
        <v>910</v>
      </c>
      <c r="AI109" s="386">
        <f t="shared" si="359"/>
        <v>1010</v>
      </c>
      <c r="AJ109" s="386">
        <f t="shared" si="286"/>
        <v>1331.1</v>
      </c>
      <c r="AK109" s="387">
        <f t="shared" si="287"/>
        <v>26622000</v>
      </c>
      <c r="AL109" s="385"/>
      <c r="AM109" s="386"/>
      <c r="AN109" s="386"/>
      <c r="AO109" s="386"/>
      <c r="AP109" s="386"/>
      <c r="AQ109" s="387"/>
      <c r="AR109" s="682" t="str">
        <f t="shared" si="288"/>
        <v/>
      </c>
      <c r="AS109" s="4" t="str">
        <f t="shared" si="289"/>
        <v/>
      </c>
      <c r="AT109" s="386" t="str">
        <f t="shared" si="290"/>
        <v/>
      </c>
      <c r="AU109" s="386">
        <f t="shared" si="360"/>
        <v>0</v>
      </c>
      <c r="AV109" s="386" t="str">
        <f t="shared" si="292"/>
        <v/>
      </c>
      <c r="AW109" s="387" t="str">
        <f t="shared" si="293"/>
        <v/>
      </c>
      <c r="AX109" s="682" t="str">
        <f t="shared" si="294"/>
        <v/>
      </c>
      <c r="AY109" s="4" t="str">
        <f t="shared" si="295"/>
        <v/>
      </c>
      <c r="AZ109" s="386" t="str">
        <f t="shared" si="296"/>
        <v/>
      </c>
      <c r="BA109" s="386">
        <f t="shared" si="361"/>
        <v>0</v>
      </c>
      <c r="BB109" s="386" t="str">
        <f t="shared" si="298"/>
        <v/>
      </c>
      <c r="BC109" s="387" t="str">
        <f t="shared" si="299"/>
        <v/>
      </c>
      <c r="BD109" s="682" t="str">
        <f t="shared" si="300"/>
        <v/>
      </c>
      <c r="BE109" s="4" t="str">
        <f t="shared" si="301"/>
        <v/>
      </c>
      <c r="BF109" s="386" t="str">
        <f t="shared" si="302"/>
        <v/>
      </c>
      <c r="BG109" s="386">
        <f t="shared" si="362"/>
        <v>0</v>
      </c>
      <c r="BH109" s="386" t="str">
        <f t="shared" si="303"/>
        <v/>
      </c>
      <c r="BI109" s="387" t="str">
        <f t="shared" si="304"/>
        <v/>
      </c>
      <c r="BJ109" s="682">
        <f t="shared" si="305"/>
        <v>0</v>
      </c>
      <c r="BK109" s="4">
        <f t="shared" si="306"/>
        <v>645</v>
      </c>
      <c r="BL109" s="386">
        <f t="shared" si="307"/>
        <v>0</v>
      </c>
      <c r="BM109" s="386">
        <f t="shared" si="363"/>
        <v>645</v>
      </c>
      <c r="BN109" s="386">
        <f t="shared" si="308"/>
        <v>327.02</v>
      </c>
      <c r="BO109" s="387">
        <f t="shared" si="309"/>
        <v>4578280</v>
      </c>
      <c r="BP109" s="682">
        <f t="shared" si="310"/>
        <v>0</v>
      </c>
      <c r="BQ109" s="4">
        <f t="shared" si="311"/>
        <v>0</v>
      </c>
      <c r="BR109" s="386">
        <f t="shared" si="312"/>
        <v>215</v>
      </c>
      <c r="BS109" s="386">
        <f t="shared" si="364"/>
        <v>215</v>
      </c>
      <c r="BT109" s="386">
        <f t="shared" si="314"/>
        <v>94.170000000000016</v>
      </c>
      <c r="BU109" s="387">
        <f t="shared" si="315"/>
        <v>1224210.0000000002</v>
      </c>
      <c r="BV109" s="682" t="str">
        <f t="shared" si="316"/>
        <v/>
      </c>
      <c r="BW109" s="4" t="str">
        <f t="shared" si="317"/>
        <v/>
      </c>
      <c r="BX109" s="386" t="str">
        <f t="shared" si="318"/>
        <v/>
      </c>
      <c r="BY109" s="386">
        <f t="shared" si="370"/>
        <v>0</v>
      </c>
      <c r="BZ109" s="386" t="str">
        <f t="shared" si="319"/>
        <v/>
      </c>
      <c r="CA109" s="387" t="str">
        <f t="shared" si="320"/>
        <v/>
      </c>
      <c r="CB109" s="682" t="str">
        <f t="shared" si="371"/>
        <v/>
      </c>
      <c r="CC109" s="4" t="str">
        <f t="shared" si="322"/>
        <v/>
      </c>
      <c r="CD109" s="386" t="str">
        <f t="shared" si="372"/>
        <v/>
      </c>
      <c r="CE109" s="386">
        <f t="shared" si="259"/>
        <v>0</v>
      </c>
      <c r="CF109" s="386" t="str">
        <f t="shared" si="373"/>
        <v/>
      </c>
      <c r="CG109" s="387" t="str">
        <f t="shared" si="374"/>
        <v/>
      </c>
      <c r="CH109" s="682" t="str">
        <f t="shared" si="326"/>
        <v/>
      </c>
      <c r="CI109" s="4" t="str">
        <f t="shared" si="327"/>
        <v/>
      </c>
      <c r="CJ109" s="386" t="str">
        <f t="shared" si="328"/>
        <v/>
      </c>
      <c r="CK109" s="386">
        <f t="shared" si="365"/>
        <v>0</v>
      </c>
      <c r="CL109" s="386" t="str">
        <f t="shared" si="330"/>
        <v/>
      </c>
      <c r="CM109" s="387" t="str">
        <f t="shared" si="331"/>
        <v/>
      </c>
      <c r="CN109" s="682">
        <f t="shared" si="332"/>
        <v>0</v>
      </c>
      <c r="CO109" s="4">
        <f t="shared" si="333"/>
        <v>0</v>
      </c>
      <c r="CP109" s="386">
        <f t="shared" si="334"/>
        <v>106</v>
      </c>
      <c r="CQ109" s="386">
        <f t="shared" si="366"/>
        <v>106</v>
      </c>
      <c r="CR109" s="386">
        <f t="shared" si="336"/>
        <v>199.54411000000002</v>
      </c>
      <c r="CS109" s="387">
        <f t="shared" si="337"/>
        <v>3468076.6318000006</v>
      </c>
      <c r="CT109" s="682" t="str">
        <f t="shared" si="338"/>
        <v/>
      </c>
      <c r="CU109" s="4" t="str">
        <f t="shared" si="339"/>
        <v/>
      </c>
      <c r="CV109" s="386" t="str">
        <f t="shared" si="340"/>
        <v/>
      </c>
      <c r="CW109" s="386">
        <f t="shared" si="260"/>
        <v>0</v>
      </c>
      <c r="CX109" s="386" t="str">
        <f t="shared" si="341"/>
        <v/>
      </c>
      <c r="CY109" s="387" t="str">
        <f t="shared" si="342"/>
        <v/>
      </c>
      <c r="CZ109" s="682" t="str">
        <f t="shared" si="343"/>
        <v/>
      </c>
      <c r="DA109" s="4" t="str">
        <f t="shared" si="344"/>
        <v/>
      </c>
      <c r="DB109" s="386" t="str">
        <f t="shared" si="345"/>
        <v/>
      </c>
      <c r="DC109" s="386">
        <f t="shared" si="261"/>
        <v>0</v>
      </c>
      <c r="DD109" s="386" t="str">
        <f t="shared" si="346"/>
        <v/>
      </c>
      <c r="DE109" s="387" t="str">
        <f t="shared" si="347"/>
        <v/>
      </c>
      <c r="DF109" s="682">
        <f t="shared" si="348"/>
        <v>0</v>
      </c>
      <c r="DG109" s="4">
        <f t="shared" si="349"/>
        <v>0</v>
      </c>
      <c r="DH109" s="386">
        <f t="shared" si="350"/>
        <v>420</v>
      </c>
      <c r="DI109" s="386">
        <f t="shared" si="367"/>
        <v>420</v>
      </c>
      <c r="DJ109" s="386">
        <f t="shared" si="352"/>
        <v>193.62000000000003</v>
      </c>
      <c r="DK109" s="387">
        <f t="shared" si="353"/>
        <v>3429010.2000000007</v>
      </c>
      <c r="DL109" s="682"/>
      <c r="DM109" s="4">
        <f t="shared" si="354"/>
        <v>0</v>
      </c>
      <c r="DN109" s="386">
        <f t="shared" si="355"/>
        <v>125</v>
      </c>
      <c r="DO109" s="386">
        <f t="shared" si="368"/>
        <v>125</v>
      </c>
      <c r="DP109" s="386">
        <f t="shared" si="357"/>
        <v>108.74999999999999</v>
      </c>
      <c r="DQ109" s="387">
        <f t="shared" si="358"/>
        <v>332150</v>
      </c>
    </row>
    <row r="110" spans="1:121" x14ac:dyDescent="0.25">
      <c r="A110" t="s">
        <v>360</v>
      </c>
      <c r="B110" t="s">
        <v>33</v>
      </c>
      <c r="C110" s="383" t="s">
        <v>34</v>
      </c>
      <c r="D110" t="s">
        <v>270</v>
      </c>
      <c r="E110" s="383" t="s">
        <v>271</v>
      </c>
      <c r="F110" t="s">
        <v>361</v>
      </c>
      <c r="G110" s="383" t="s">
        <v>362</v>
      </c>
      <c r="H110" s="385" t="str">
        <f t="shared" si="264"/>
        <v/>
      </c>
      <c r="I110" s="386" t="str">
        <f t="shared" si="265"/>
        <v/>
      </c>
      <c r="J110" s="386" t="str">
        <f t="shared" si="266"/>
        <v/>
      </c>
      <c r="K110" s="386">
        <f t="shared" si="267"/>
        <v>0</v>
      </c>
      <c r="L110" s="386" t="str">
        <f t="shared" si="268"/>
        <v/>
      </c>
      <c r="M110" s="387" t="str">
        <f t="shared" si="269"/>
        <v/>
      </c>
      <c r="N110" s="385"/>
      <c r="O110" s="386"/>
      <c r="P110" s="386"/>
      <c r="Q110" s="386"/>
      <c r="R110" s="386"/>
      <c r="S110" s="387"/>
      <c r="T110" s="385" t="str">
        <f t="shared" si="270"/>
        <v/>
      </c>
      <c r="U110" s="386" t="str">
        <f t="shared" si="271"/>
        <v/>
      </c>
      <c r="V110" s="386" t="str">
        <f t="shared" si="272"/>
        <v/>
      </c>
      <c r="W110" s="386">
        <f t="shared" si="273"/>
        <v>0</v>
      </c>
      <c r="X110" s="386" t="str">
        <f t="shared" si="274"/>
        <v/>
      </c>
      <c r="Y110" s="387" t="str">
        <f t="shared" si="275"/>
        <v/>
      </c>
      <c r="Z110" s="3">
        <f t="shared" si="276"/>
        <v>0</v>
      </c>
      <c r="AA110" s="4">
        <f t="shared" si="277"/>
        <v>0</v>
      </c>
      <c r="AB110" s="386">
        <f t="shared" si="278"/>
        <v>75</v>
      </c>
      <c r="AC110" s="386">
        <f t="shared" si="279"/>
        <v>75</v>
      </c>
      <c r="AD110" s="386" t="str">
        <f t="shared" si="280"/>
        <v/>
      </c>
      <c r="AE110" s="387">
        <f t="shared" si="281"/>
        <v>897074.99999999988</v>
      </c>
      <c r="AF110" s="682">
        <f t="shared" si="282"/>
        <v>0</v>
      </c>
      <c r="AG110" s="4">
        <f t="shared" si="283"/>
        <v>0</v>
      </c>
      <c r="AH110" s="386">
        <f t="shared" si="284"/>
        <v>280.26</v>
      </c>
      <c r="AI110" s="386">
        <f t="shared" si="359"/>
        <v>280.26</v>
      </c>
      <c r="AJ110" s="386">
        <f t="shared" si="286"/>
        <v>263.67959999999999</v>
      </c>
      <c r="AK110" s="387">
        <f t="shared" si="287"/>
        <v>5273592</v>
      </c>
      <c r="AL110" s="385"/>
      <c r="AM110" s="386"/>
      <c r="AN110" s="386"/>
      <c r="AO110" s="386"/>
      <c r="AP110" s="386"/>
      <c r="AQ110" s="387"/>
      <c r="AR110" s="682">
        <f t="shared" si="288"/>
        <v>175</v>
      </c>
      <c r="AS110" s="4">
        <f t="shared" si="289"/>
        <v>0</v>
      </c>
      <c r="AT110" s="386">
        <f t="shared" si="290"/>
        <v>201</v>
      </c>
      <c r="AU110" s="386">
        <f t="shared" si="360"/>
        <v>201</v>
      </c>
      <c r="AV110" s="386">
        <f t="shared" si="292"/>
        <v>114.70250000000001</v>
      </c>
      <c r="AW110" s="387">
        <f t="shared" si="293"/>
        <v>1949942.5000000002</v>
      </c>
      <c r="AX110" s="682" t="str">
        <f t="shared" si="294"/>
        <v/>
      </c>
      <c r="AY110" s="4" t="str">
        <f t="shared" si="295"/>
        <v/>
      </c>
      <c r="AZ110" s="386" t="str">
        <f t="shared" si="296"/>
        <v/>
      </c>
      <c r="BA110" s="386">
        <f t="shared" si="361"/>
        <v>0</v>
      </c>
      <c r="BB110" s="386" t="str">
        <f t="shared" si="298"/>
        <v/>
      </c>
      <c r="BC110" s="387" t="str">
        <f t="shared" si="299"/>
        <v/>
      </c>
      <c r="BD110" s="682" t="str">
        <f t="shared" si="300"/>
        <v/>
      </c>
      <c r="BE110" s="4" t="str">
        <f t="shared" si="301"/>
        <v/>
      </c>
      <c r="BF110" s="386" t="str">
        <f t="shared" si="302"/>
        <v/>
      </c>
      <c r="BG110" s="386">
        <f t="shared" si="362"/>
        <v>0</v>
      </c>
      <c r="BH110" s="386" t="str">
        <f t="shared" si="303"/>
        <v/>
      </c>
      <c r="BI110" s="387" t="str">
        <f t="shared" si="304"/>
        <v/>
      </c>
      <c r="BJ110" s="682" t="str">
        <f t="shared" si="305"/>
        <v/>
      </c>
      <c r="BK110" s="4" t="str">
        <f t="shared" si="306"/>
        <v/>
      </c>
      <c r="BL110" s="386" t="str">
        <f t="shared" si="307"/>
        <v/>
      </c>
      <c r="BM110" s="386">
        <f t="shared" si="363"/>
        <v>0</v>
      </c>
      <c r="BN110" s="386" t="str">
        <f t="shared" si="308"/>
        <v/>
      </c>
      <c r="BO110" s="387" t="str">
        <f t="shared" si="309"/>
        <v/>
      </c>
      <c r="BP110" s="682">
        <f t="shared" si="310"/>
        <v>0</v>
      </c>
      <c r="BQ110" s="4">
        <f t="shared" si="311"/>
        <v>0</v>
      </c>
      <c r="BR110" s="386">
        <f t="shared" si="312"/>
        <v>1400</v>
      </c>
      <c r="BS110" s="386">
        <f t="shared" si="364"/>
        <v>1400</v>
      </c>
      <c r="BT110" s="386">
        <f t="shared" si="314"/>
        <v>584.1</v>
      </c>
      <c r="BU110" s="387">
        <f t="shared" si="315"/>
        <v>7593300</v>
      </c>
      <c r="BV110" s="682" t="str">
        <f t="shared" si="316"/>
        <v/>
      </c>
      <c r="BW110" s="4" t="str">
        <f t="shared" si="317"/>
        <v/>
      </c>
      <c r="BX110" s="386" t="str">
        <f t="shared" si="318"/>
        <v/>
      </c>
      <c r="BY110" s="386">
        <f t="shared" si="370"/>
        <v>0</v>
      </c>
      <c r="BZ110" s="386" t="str">
        <f t="shared" si="319"/>
        <v/>
      </c>
      <c r="CA110" s="387" t="str">
        <f t="shared" si="320"/>
        <v/>
      </c>
      <c r="CB110" s="682" t="str">
        <f t="shared" si="371"/>
        <v/>
      </c>
      <c r="CC110" s="4" t="str">
        <f t="shared" si="322"/>
        <v/>
      </c>
      <c r="CD110" s="386" t="str">
        <f t="shared" si="372"/>
        <v/>
      </c>
      <c r="CE110" s="386">
        <f t="shared" si="259"/>
        <v>0</v>
      </c>
      <c r="CF110" s="386" t="str">
        <f t="shared" si="373"/>
        <v/>
      </c>
      <c r="CG110" s="387" t="str">
        <f t="shared" si="374"/>
        <v/>
      </c>
      <c r="CH110" s="682">
        <f t="shared" si="326"/>
        <v>0</v>
      </c>
      <c r="CI110" s="4">
        <f t="shared" si="327"/>
        <v>95</v>
      </c>
      <c r="CJ110" s="386">
        <f t="shared" si="328"/>
        <v>1075</v>
      </c>
      <c r="CK110" s="386">
        <f t="shared" si="365"/>
        <v>1170</v>
      </c>
      <c r="CL110" s="386">
        <f t="shared" si="330"/>
        <v>842.40000000000009</v>
      </c>
      <c r="CM110" s="387">
        <f t="shared" si="331"/>
        <v>19745856</v>
      </c>
      <c r="CN110" s="682" t="str">
        <f t="shared" si="332"/>
        <v/>
      </c>
      <c r="CO110" s="4" t="str">
        <f t="shared" si="333"/>
        <v/>
      </c>
      <c r="CP110" s="386" t="str">
        <f t="shared" si="334"/>
        <v/>
      </c>
      <c r="CQ110" s="386">
        <f t="shared" si="366"/>
        <v>0</v>
      </c>
      <c r="CR110" s="386" t="str">
        <f t="shared" si="336"/>
        <v/>
      </c>
      <c r="CS110" s="387" t="str">
        <f t="shared" si="337"/>
        <v/>
      </c>
      <c r="CT110" s="682" t="str">
        <f t="shared" si="338"/>
        <v/>
      </c>
      <c r="CU110" s="4" t="str">
        <f t="shared" si="339"/>
        <v/>
      </c>
      <c r="CV110" s="386" t="str">
        <f t="shared" si="340"/>
        <v/>
      </c>
      <c r="CW110" s="386">
        <f t="shared" si="260"/>
        <v>0</v>
      </c>
      <c r="CX110" s="386" t="str">
        <f t="shared" si="341"/>
        <v/>
      </c>
      <c r="CY110" s="387" t="str">
        <f t="shared" si="342"/>
        <v/>
      </c>
      <c r="CZ110" s="682" t="str">
        <f t="shared" si="343"/>
        <v/>
      </c>
      <c r="DA110" s="4" t="str">
        <f t="shared" si="344"/>
        <v/>
      </c>
      <c r="DB110" s="386" t="str">
        <f t="shared" si="345"/>
        <v/>
      </c>
      <c r="DC110" s="386">
        <f t="shared" si="261"/>
        <v>0</v>
      </c>
      <c r="DD110" s="386" t="str">
        <f t="shared" si="346"/>
        <v/>
      </c>
      <c r="DE110" s="387" t="str">
        <f t="shared" si="347"/>
        <v/>
      </c>
      <c r="DF110" s="682">
        <f t="shared" si="348"/>
        <v>0</v>
      </c>
      <c r="DG110" s="4">
        <f t="shared" si="349"/>
        <v>0</v>
      </c>
      <c r="DH110" s="386">
        <f t="shared" si="350"/>
        <v>130</v>
      </c>
      <c r="DI110" s="386">
        <f t="shared" si="367"/>
        <v>130</v>
      </c>
      <c r="DJ110" s="386">
        <f t="shared" si="352"/>
        <v>59.930000000000007</v>
      </c>
      <c r="DK110" s="387">
        <f t="shared" si="353"/>
        <v>1061360.3</v>
      </c>
      <c r="DL110" s="682"/>
      <c r="DM110" s="4" t="str">
        <f t="shared" si="354"/>
        <v/>
      </c>
      <c r="DN110" s="386" t="str">
        <f t="shared" si="355"/>
        <v/>
      </c>
      <c r="DO110" s="386">
        <f t="shared" si="368"/>
        <v>0</v>
      </c>
      <c r="DP110" s="386" t="str">
        <f t="shared" si="357"/>
        <v/>
      </c>
      <c r="DQ110" s="387" t="str">
        <f t="shared" si="358"/>
        <v/>
      </c>
    </row>
    <row r="111" spans="1:121" x14ac:dyDescent="0.25">
      <c r="A111" t="s">
        <v>363</v>
      </c>
      <c r="B111" t="s">
        <v>33</v>
      </c>
      <c r="C111" s="383" t="s">
        <v>34</v>
      </c>
      <c r="D111" t="s">
        <v>270</v>
      </c>
      <c r="E111" s="383" t="s">
        <v>271</v>
      </c>
      <c r="F111" t="s">
        <v>364</v>
      </c>
      <c r="G111" s="383" t="s">
        <v>365</v>
      </c>
      <c r="H111" s="385" t="str">
        <f t="shared" si="264"/>
        <v/>
      </c>
      <c r="I111" s="386" t="str">
        <f t="shared" si="265"/>
        <v/>
      </c>
      <c r="J111" s="386" t="str">
        <f t="shared" si="266"/>
        <v/>
      </c>
      <c r="K111" s="386">
        <f t="shared" si="267"/>
        <v>0</v>
      </c>
      <c r="L111" s="386" t="str">
        <f t="shared" si="268"/>
        <v/>
      </c>
      <c r="M111" s="387" t="str">
        <f t="shared" si="269"/>
        <v/>
      </c>
      <c r="N111" s="385"/>
      <c r="O111" s="386"/>
      <c r="P111" s="386"/>
      <c r="Q111" s="386"/>
      <c r="R111" s="386"/>
      <c r="S111" s="387"/>
      <c r="T111" s="385" t="str">
        <f t="shared" si="270"/>
        <v/>
      </c>
      <c r="U111" s="386" t="str">
        <f t="shared" si="271"/>
        <v/>
      </c>
      <c r="V111" s="386" t="str">
        <f t="shared" si="272"/>
        <v/>
      </c>
      <c r="W111" s="386">
        <f t="shared" si="273"/>
        <v>0</v>
      </c>
      <c r="X111" s="386" t="str">
        <f t="shared" si="274"/>
        <v/>
      </c>
      <c r="Y111" s="387" t="str">
        <f t="shared" si="275"/>
        <v/>
      </c>
      <c r="Z111" s="3">
        <f t="shared" si="276"/>
        <v>0</v>
      </c>
      <c r="AA111" s="4">
        <f t="shared" si="277"/>
        <v>0</v>
      </c>
      <c r="AB111" s="386">
        <f t="shared" si="278"/>
        <v>764</v>
      </c>
      <c r="AC111" s="386">
        <f t="shared" si="279"/>
        <v>764</v>
      </c>
      <c r="AD111" s="386" t="str">
        <f t="shared" si="280"/>
        <v/>
      </c>
      <c r="AE111" s="387">
        <f t="shared" si="281"/>
        <v>9138204</v>
      </c>
      <c r="AF111" s="682">
        <f t="shared" si="282"/>
        <v>0</v>
      </c>
      <c r="AG111" s="4">
        <f t="shared" si="283"/>
        <v>0</v>
      </c>
      <c r="AH111" s="386">
        <f t="shared" si="284"/>
        <v>2516</v>
      </c>
      <c r="AI111" s="386">
        <f t="shared" si="359"/>
        <v>2516</v>
      </c>
      <c r="AJ111" s="386">
        <f t="shared" si="286"/>
        <v>3830.6099999999992</v>
      </c>
      <c r="AK111" s="387">
        <f t="shared" si="287"/>
        <v>76612199.999999985</v>
      </c>
      <c r="AL111" s="385"/>
      <c r="AM111" s="386"/>
      <c r="AN111" s="386"/>
      <c r="AO111" s="386"/>
      <c r="AP111" s="386"/>
      <c r="AQ111" s="387"/>
      <c r="AR111" s="682" t="str">
        <f t="shared" si="288"/>
        <v/>
      </c>
      <c r="AS111" s="4" t="str">
        <f t="shared" si="289"/>
        <v/>
      </c>
      <c r="AT111" s="386" t="str">
        <f t="shared" si="290"/>
        <v/>
      </c>
      <c r="AU111" s="386">
        <f t="shared" si="360"/>
        <v>0</v>
      </c>
      <c r="AV111" s="386" t="str">
        <f t="shared" si="292"/>
        <v/>
      </c>
      <c r="AW111" s="387" t="str">
        <f t="shared" si="293"/>
        <v/>
      </c>
      <c r="AX111" s="682" t="str">
        <f t="shared" si="294"/>
        <v/>
      </c>
      <c r="AY111" s="4" t="str">
        <f t="shared" si="295"/>
        <v/>
      </c>
      <c r="AZ111" s="386" t="str">
        <f t="shared" si="296"/>
        <v/>
      </c>
      <c r="BA111" s="386">
        <f t="shared" si="361"/>
        <v>0</v>
      </c>
      <c r="BB111" s="386" t="str">
        <f t="shared" si="298"/>
        <v/>
      </c>
      <c r="BC111" s="387" t="str">
        <f t="shared" si="299"/>
        <v/>
      </c>
      <c r="BD111" s="682" t="str">
        <f t="shared" si="300"/>
        <v/>
      </c>
      <c r="BE111" s="4" t="str">
        <f t="shared" si="301"/>
        <v/>
      </c>
      <c r="BF111" s="386" t="str">
        <f t="shared" si="302"/>
        <v/>
      </c>
      <c r="BG111" s="386">
        <f t="shared" si="362"/>
        <v>0</v>
      </c>
      <c r="BH111" s="386" t="str">
        <f t="shared" si="303"/>
        <v/>
      </c>
      <c r="BI111" s="387" t="str">
        <f t="shared" si="304"/>
        <v/>
      </c>
      <c r="BJ111" s="682" t="str">
        <f t="shared" si="305"/>
        <v/>
      </c>
      <c r="BK111" s="4" t="str">
        <f t="shared" si="306"/>
        <v/>
      </c>
      <c r="BL111" s="386" t="str">
        <f t="shared" si="307"/>
        <v/>
      </c>
      <c r="BM111" s="386">
        <f t="shared" si="363"/>
        <v>0</v>
      </c>
      <c r="BN111" s="386" t="str">
        <f t="shared" si="308"/>
        <v/>
      </c>
      <c r="BO111" s="387" t="str">
        <f t="shared" si="309"/>
        <v/>
      </c>
      <c r="BP111" s="682">
        <f t="shared" si="310"/>
        <v>0</v>
      </c>
      <c r="BQ111" s="4">
        <f t="shared" si="311"/>
        <v>0</v>
      </c>
      <c r="BR111" s="386">
        <f t="shared" si="312"/>
        <v>3493</v>
      </c>
      <c r="BS111" s="386">
        <f t="shared" si="364"/>
        <v>3493</v>
      </c>
      <c r="BT111" s="386">
        <f t="shared" si="314"/>
        <v>2869.5149999999999</v>
      </c>
      <c r="BU111" s="387">
        <f t="shared" si="315"/>
        <v>37303695</v>
      </c>
      <c r="BV111" s="682" t="str">
        <f t="shared" si="316"/>
        <v/>
      </c>
      <c r="BW111" s="4" t="str">
        <f t="shared" si="317"/>
        <v/>
      </c>
      <c r="BX111" s="386" t="str">
        <f t="shared" si="318"/>
        <v/>
      </c>
      <c r="BY111" s="386">
        <f t="shared" si="370"/>
        <v>0</v>
      </c>
      <c r="BZ111" s="386" t="str">
        <f t="shared" si="319"/>
        <v/>
      </c>
      <c r="CA111" s="387" t="str">
        <f t="shared" si="320"/>
        <v/>
      </c>
      <c r="CB111" s="682" t="str">
        <f t="shared" si="371"/>
        <v/>
      </c>
      <c r="CC111" s="4" t="str">
        <f t="shared" si="322"/>
        <v/>
      </c>
      <c r="CD111" s="386" t="str">
        <f t="shared" si="372"/>
        <v/>
      </c>
      <c r="CE111" s="386">
        <f t="shared" si="259"/>
        <v>0</v>
      </c>
      <c r="CF111" s="386" t="str">
        <f t="shared" si="373"/>
        <v/>
      </c>
      <c r="CG111" s="387" t="str">
        <f t="shared" si="374"/>
        <v/>
      </c>
      <c r="CH111" s="682">
        <f t="shared" si="326"/>
        <v>0</v>
      </c>
      <c r="CI111" s="4">
        <f t="shared" si="327"/>
        <v>0</v>
      </c>
      <c r="CJ111" s="386">
        <f t="shared" si="328"/>
        <v>971</v>
      </c>
      <c r="CK111" s="386">
        <f t="shared" si="365"/>
        <v>971</v>
      </c>
      <c r="CL111" s="386">
        <f t="shared" si="330"/>
        <v>403.93600000000004</v>
      </c>
      <c r="CM111" s="387">
        <f t="shared" si="331"/>
        <v>9468259.8399999999</v>
      </c>
      <c r="CN111" s="682">
        <f t="shared" si="332"/>
        <v>0</v>
      </c>
      <c r="CO111" s="4">
        <f t="shared" si="333"/>
        <v>0</v>
      </c>
      <c r="CP111" s="386">
        <f t="shared" si="334"/>
        <v>250</v>
      </c>
      <c r="CQ111" s="386">
        <f t="shared" si="366"/>
        <v>250</v>
      </c>
      <c r="CR111" s="386">
        <f t="shared" si="336"/>
        <v>51.875</v>
      </c>
      <c r="CS111" s="387">
        <f t="shared" si="337"/>
        <v>901587.5</v>
      </c>
      <c r="CT111" s="682" t="str">
        <f t="shared" si="338"/>
        <v/>
      </c>
      <c r="CU111" s="4" t="str">
        <f t="shared" si="339"/>
        <v/>
      </c>
      <c r="CV111" s="386" t="str">
        <f t="shared" si="340"/>
        <v/>
      </c>
      <c r="CW111" s="386">
        <f t="shared" si="260"/>
        <v>0</v>
      </c>
      <c r="CX111" s="386" t="str">
        <f t="shared" si="341"/>
        <v/>
      </c>
      <c r="CY111" s="387" t="str">
        <f t="shared" si="342"/>
        <v/>
      </c>
      <c r="CZ111" s="682" t="str">
        <f t="shared" si="343"/>
        <v/>
      </c>
      <c r="DA111" s="4" t="str">
        <f t="shared" si="344"/>
        <v/>
      </c>
      <c r="DB111" s="386" t="str">
        <f t="shared" si="345"/>
        <v/>
      </c>
      <c r="DC111" s="386">
        <f t="shared" si="261"/>
        <v>0</v>
      </c>
      <c r="DD111" s="386" t="str">
        <f t="shared" si="346"/>
        <v/>
      </c>
      <c r="DE111" s="387" t="str">
        <f t="shared" si="347"/>
        <v/>
      </c>
      <c r="DF111" s="682">
        <f t="shared" si="348"/>
        <v>0</v>
      </c>
      <c r="DG111" s="4">
        <f t="shared" si="349"/>
        <v>0</v>
      </c>
      <c r="DH111" s="386">
        <f t="shared" si="350"/>
        <v>402</v>
      </c>
      <c r="DI111" s="386">
        <f t="shared" si="367"/>
        <v>402</v>
      </c>
      <c r="DJ111" s="386">
        <f t="shared" si="352"/>
        <v>185.322</v>
      </c>
      <c r="DK111" s="387">
        <f t="shared" si="353"/>
        <v>3282052.62</v>
      </c>
      <c r="DL111" s="682"/>
      <c r="DM111" s="4" t="str">
        <f t="shared" si="354"/>
        <v/>
      </c>
      <c r="DN111" s="386" t="str">
        <f t="shared" si="355"/>
        <v/>
      </c>
      <c r="DO111" s="386">
        <f t="shared" si="368"/>
        <v>0</v>
      </c>
      <c r="DP111" s="386" t="str">
        <f t="shared" si="357"/>
        <v/>
      </c>
      <c r="DQ111" s="387" t="str">
        <f t="shared" si="358"/>
        <v/>
      </c>
    </row>
    <row r="112" spans="1:121" x14ac:dyDescent="0.25">
      <c r="A112" t="s">
        <v>366</v>
      </c>
      <c r="B112" t="s">
        <v>33</v>
      </c>
      <c r="C112" s="383" t="s">
        <v>34</v>
      </c>
      <c r="D112" t="s">
        <v>270</v>
      </c>
      <c r="E112" s="383" t="s">
        <v>271</v>
      </c>
      <c r="F112" t="s">
        <v>367</v>
      </c>
      <c r="G112" s="383" t="s">
        <v>368</v>
      </c>
      <c r="H112" s="385" t="str">
        <f t="shared" si="264"/>
        <v/>
      </c>
      <c r="I112" s="386" t="str">
        <f t="shared" si="265"/>
        <v/>
      </c>
      <c r="J112" s="386" t="str">
        <f t="shared" si="266"/>
        <v/>
      </c>
      <c r="K112" s="386">
        <f t="shared" si="267"/>
        <v>0</v>
      </c>
      <c r="L112" s="386" t="str">
        <f t="shared" si="268"/>
        <v/>
      </c>
      <c r="M112" s="387" t="str">
        <f t="shared" si="269"/>
        <v/>
      </c>
      <c r="N112" s="385"/>
      <c r="O112" s="386"/>
      <c r="P112" s="386"/>
      <c r="Q112" s="386"/>
      <c r="R112" s="386"/>
      <c r="S112" s="387"/>
      <c r="T112" s="385" t="str">
        <f t="shared" si="270"/>
        <v/>
      </c>
      <c r="U112" s="386" t="str">
        <f t="shared" si="271"/>
        <v/>
      </c>
      <c r="V112" s="386" t="str">
        <f t="shared" si="272"/>
        <v/>
      </c>
      <c r="W112" s="386">
        <f t="shared" si="273"/>
        <v>0</v>
      </c>
      <c r="X112" s="386" t="str">
        <f t="shared" si="274"/>
        <v/>
      </c>
      <c r="Y112" s="387" t="str">
        <f t="shared" si="275"/>
        <v/>
      </c>
      <c r="Z112" s="3" t="str">
        <f t="shared" si="276"/>
        <v/>
      </c>
      <c r="AA112" s="4" t="str">
        <f t="shared" si="277"/>
        <v/>
      </c>
      <c r="AB112" s="386" t="str">
        <f t="shared" si="278"/>
        <v/>
      </c>
      <c r="AC112" s="386">
        <f t="shared" si="279"/>
        <v>0</v>
      </c>
      <c r="AD112" s="386" t="str">
        <f t="shared" si="280"/>
        <v/>
      </c>
      <c r="AE112" s="387" t="str">
        <f t="shared" si="281"/>
        <v/>
      </c>
      <c r="AF112" s="682" t="str">
        <f t="shared" si="282"/>
        <v/>
      </c>
      <c r="AG112" s="4" t="str">
        <f t="shared" si="283"/>
        <v/>
      </c>
      <c r="AH112" s="386" t="str">
        <f t="shared" si="284"/>
        <v/>
      </c>
      <c r="AI112" s="386">
        <f t="shared" si="359"/>
        <v>0</v>
      </c>
      <c r="AJ112" s="386" t="str">
        <f t="shared" si="286"/>
        <v/>
      </c>
      <c r="AK112" s="387" t="str">
        <f t="shared" si="287"/>
        <v/>
      </c>
      <c r="AL112" s="385"/>
      <c r="AM112" s="386"/>
      <c r="AN112" s="386"/>
      <c r="AO112" s="386"/>
      <c r="AP112" s="386"/>
      <c r="AQ112" s="387"/>
      <c r="AR112" s="682" t="str">
        <f t="shared" si="288"/>
        <v/>
      </c>
      <c r="AS112" s="4" t="str">
        <f t="shared" si="289"/>
        <v/>
      </c>
      <c r="AT112" s="386" t="str">
        <f t="shared" si="290"/>
        <v/>
      </c>
      <c r="AU112" s="386">
        <f t="shared" si="360"/>
        <v>0</v>
      </c>
      <c r="AV112" s="386" t="str">
        <f t="shared" si="292"/>
        <v/>
      </c>
      <c r="AW112" s="387" t="str">
        <f t="shared" si="293"/>
        <v/>
      </c>
      <c r="AX112" s="682" t="str">
        <f t="shared" si="294"/>
        <v/>
      </c>
      <c r="AY112" s="4" t="str">
        <f t="shared" si="295"/>
        <v/>
      </c>
      <c r="AZ112" s="386" t="str">
        <f t="shared" si="296"/>
        <v/>
      </c>
      <c r="BA112" s="386">
        <f t="shared" si="361"/>
        <v>0</v>
      </c>
      <c r="BB112" s="386" t="str">
        <f t="shared" si="298"/>
        <v/>
      </c>
      <c r="BC112" s="387" t="str">
        <f t="shared" si="299"/>
        <v/>
      </c>
      <c r="BD112" s="682" t="str">
        <f t="shared" si="300"/>
        <v/>
      </c>
      <c r="BE112" s="4" t="str">
        <f t="shared" si="301"/>
        <v/>
      </c>
      <c r="BF112" s="386" t="str">
        <f t="shared" si="302"/>
        <v/>
      </c>
      <c r="BG112" s="386">
        <f t="shared" si="362"/>
        <v>0</v>
      </c>
      <c r="BH112" s="386" t="str">
        <f t="shared" si="303"/>
        <v/>
      </c>
      <c r="BI112" s="387" t="str">
        <f t="shared" si="304"/>
        <v/>
      </c>
      <c r="BJ112" s="682" t="str">
        <f t="shared" si="305"/>
        <v/>
      </c>
      <c r="BK112" s="4" t="str">
        <f t="shared" si="306"/>
        <v/>
      </c>
      <c r="BL112" s="386" t="str">
        <f t="shared" si="307"/>
        <v/>
      </c>
      <c r="BM112" s="386">
        <f t="shared" si="363"/>
        <v>0</v>
      </c>
      <c r="BN112" s="386" t="str">
        <f t="shared" si="308"/>
        <v/>
      </c>
      <c r="BO112" s="387" t="str">
        <f t="shared" si="309"/>
        <v/>
      </c>
      <c r="BP112" s="682">
        <f t="shared" si="310"/>
        <v>0</v>
      </c>
      <c r="BQ112" s="4">
        <f t="shared" si="311"/>
        <v>0</v>
      </c>
      <c r="BR112" s="386">
        <f t="shared" si="312"/>
        <v>1833.8</v>
      </c>
      <c r="BS112" s="386">
        <f t="shared" si="364"/>
        <v>1833.8</v>
      </c>
      <c r="BT112" s="386">
        <f t="shared" si="314"/>
        <v>803.20440000000008</v>
      </c>
      <c r="BU112" s="387">
        <f t="shared" si="315"/>
        <v>10441657.200000001</v>
      </c>
      <c r="BV112" s="682" t="str">
        <f t="shared" si="316"/>
        <v/>
      </c>
      <c r="BW112" s="4" t="str">
        <f t="shared" si="317"/>
        <v/>
      </c>
      <c r="BX112" s="386" t="str">
        <f t="shared" si="318"/>
        <v/>
      </c>
      <c r="BY112" s="386">
        <f t="shared" si="370"/>
        <v>0</v>
      </c>
      <c r="BZ112" s="386" t="str">
        <f t="shared" si="319"/>
        <v/>
      </c>
      <c r="CA112" s="387" t="str">
        <f t="shared" si="320"/>
        <v/>
      </c>
      <c r="CB112" s="682" t="str">
        <f t="shared" si="371"/>
        <v/>
      </c>
      <c r="CC112" s="4" t="str">
        <f t="shared" si="322"/>
        <v/>
      </c>
      <c r="CD112" s="386" t="str">
        <f t="shared" si="372"/>
        <v/>
      </c>
      <c r="CE112" s="386">
        <f t="shared" si="259"/>
        <v>0</v>
      </c>
      <c r="CF112" s="386" t="str">
        <f t="shared" si="373"/>
        <v/>
      </c>
      <c r="CG112" s="387" t="str">
        <f t="shared" si="374"/>
        <v/>
      </c>
      <c r="CH112" s="682" t="str">
        <f t="shared" si="326"/>
        <v/>
      </c>
      <c r="CI112" s="4" t="str">
        <f t="shared" si="327"/>
        <v/>
      </c>
      <c r="CJ112" s="386" t="str">
        <f t="shared" si="328"/>
        <v/>
      </c>
      <c r="CK112" s="386">
        <f t="shared" si="365"/>
        <v>0</v>
      </c>
      <c r="CL112" s="386" t="str">
        <f t="shared" si="330"/>
        <v/>
      </c>
      <c r="CM112" s="387" t="str">
        <f t="shared" si="331"/>
        <v/>
      </c>
      <c r="CN112" s="682">
        <f t="shared" si="332"/>
        <v>0</v>
      </c>
      <c r="CO112" s="4">
        <f t="shared" si="333"/>
        <v>98</v>
      </c>
      <c r="CP112" s="386">
        <f t="shared" si="334"/>
        <v>115.5</v>
      </c>
      <c r="CQ112" s="386">
        <f t="shared" si="366"/>
        <v>213.5</v>
      </c>
      <c r="CR112" s="386">
        <f t="shared" si="336"/>
        <v>502.56500000000005</v>
      </c>
      <c r="CS112" s="387">
        <f t="shared" si="337"/>
        <v>8734579.7000000011</v>
      </c>
      <c r="CT112" s="682" t="str">
        <f t="shared" si="338"/>
        <v/>
      </c>
      <c r="CU112" s="4" t="str">
        <f t="shared" si="339"/>
        <v/>
      </c>
      <c r="CV112" s="386" t="str">
        <f t="shared" si="340"/>
        <v/>
      </c>
      <c r="CW112" s="386">
        <f t="shared" si="260"/>
        <v>0</v>
      </c>
      <c r="CX112" s="386" t="str">
        <f t="shared" si="341"/>
        <v/>
      </c>
      <c r="CY112" s="387" t="str">
        <f t="shared" si="342"/>
        <v/>
      </c>
      <c r="CZ112" s="682" t="str">
        <f t="shared" si="343"/>
        <v/>
      </c>
      <c r="DA112" s="4" t="str">
        <f t="shared" si="344"/>
        <v/>
      </c>
      <c r="DB112" s="386" t="str">
        <f t="shared" si="345"/>
        <v/>
      </c>
      <c r="DC112" s="386">
        <f t="shared" si="261"/>
        <v>0</v>
      </c>
      <c r="DD112" s="386" t="str">
        <f t="shared" si="346"/>
        <v/>
      </c>
      <c r="DE112" s="387" t="str">
        <f t="shared" si="347"/>
        <v/>
      </c>
      <c r="DF112" s="682">
        <f t="shared" si="348"/>
        <v>0</v>
      </c>
      <c r="DG112" s="4">
        <f t="shared" si="349"/>
        <v>0</v>
      </c>
      <c r="DH112" s="386">
        <f t="shared" si="350"/>
        <v>75.5</v>
      </c>
      <c r="DI112" s="386">
        <f t="shared" si="367"/>
        <v>75.5</v>
      </c>
      <c r="DJ112" s="386">
        <f t="shared" si="352"/>
        <v>34.805500000000002</v>
      </c>
      <c r="DK112" s="387">
        <f t="shared" si="353"/>
        <v>616405.40500000003</v>
      </c>
      <c r="DL112" s="682"/>
      <c r="DM112" s="4" t="str">
        <f t="shared" si="354"/>
        <v/>
      </c>
      <c r="DN112" s="386" t="str">
        <f t="shared" si="355"/>
        <v/>
      </c>
      <c r="DO112" s="386">
        <f t="shared" si="368"/>
        <v>0</v>
      </c>
      <c r="DP112" s="386" t="str">
        <f t="shared" si="357"/>
        <v/>
      </c>
      <c r="DQ112" s="387" t="str">
        <f t="shared" si="358"/>
        <v/>
      </c>
    </row>
    <row r="113" spans="1:121" x14ac:dyDescent="0.25">
      <c r="A113" t="s">
        <v>369</v>
      </c>
      <c r="B113" t="s">
        <v>33</v>
      </c>
      <c r="C113" s="383" t="s">
        <v>34</v>
      </c>
      <c r="D113" t="s">
        <v>270</v>
      </c>
      <c r="E113" s="383" t="s">
        <v>271</v>
      </c>
      <c r="F113" t="s">
        <v>370</v>
      </c>
      <c r="G113" s="383" t="s">
        <v>371</v>
      </c>
      <c r="H113" s="385" t="str">
        <f t="shared" si="264"/>
        <v/>
      </c>
      <c r="I113" s="386" t="str">
        <f t="shared" si="265"/>
        <v/>
      </c>
      <c r="J113" s="386" t="str">
        <f t="shared" si="266"/>
        <v/>
      </c>
      <c r="K113" s="386">
        <f t="shared" si="267"/>
        <v>0</v>
      </c>
      <c r="L113" s="386" t="str">
        <f t="shared" si="268"/>
        <v/>
      </c>
      <c r="M113" s="387" t="str">
        <f t="shared" si="269"/>
        <v/>
      </c>
      <c r="N113" s="385"/>
      <c r="O113" s="386"/>
      <c r="P113" s="386"/>
      <c r="Q113" s="386"/>
      <c r="R113" s="386"/>
      <c r="S113" s="387"/>
      <c r="T113" s="385" t="str">
        <f t="shared" si="270"/>
        <v/>
      </c>
      <c r="U113" s="386" t="str">
        <f t="shared" si="271"/>
        <v/>
      </c>
      <c r="V113" s="386" t="str">
        <f t="shared" si="272"/>
        <v/>
      </c>
      <c r="W113" s="386">
        <f t="shared" si="273"/>
        <v>0</v>
      </c>
      <c r="X113" s="386" t="str">
        <f t="shared" si="274"/>
        <v/>
      </c>
      <c r="Y113" s="387" t="str">
        <f t="shared" si="275"/>
        <v/>
      </c>
      <c r="Z113" s="3" t="str">
        <f t="shared" si="276"/>
        <v/>
      </c>
      <c r="AA113" s="4" t="str">
        <f t="shared" si="277"/>
        <v/>
      </c>
      <c r="AB113" s="386" t="str">
        <f t="shared" si="278"/>
        <v/>
      </c>
      <c r="AC113" s="386">
        <f t="shared" si="279"/>
        <v>0</v>
      </c>
      <c r="AD113" s="386" t="str">
        <f t="shared" si="280"/>
        <v/>
      </c>
      <c r="AE113" s="387" t="str">
        <f t="shared" si="281"/>
        <v/>
      </c>
      <c r="AF113" s="682">
        <f t="shared" si="282"/>
        <v>0</v>
      </c>
      <c r="AG113" s="4">
        <f t="shared" si="283"/>
        <v>0</v>
      </c>
      <c r="AH113" s="386">
        <f t="shared" si="284"/>
        <v>0</v>
      </c>
      <c r="AI113" s="386">
        <f t="shared" si="359"/>
        <v>0</v>
      </c>
      <c r="AJ113" s="386">
        <f t="shared" si="286"/>
        <v>0</v>
      </c>
      <c r="AK113" s="387">
        <f t="shared" si="287"/>
        <v>0</v>
      </c>
      <c r="AL113" s="385"/>
      <c r="AM113" s="386"/>
      <c r="AN113" s="386"/>
      <c r="AO113" s="386"/>
      <c r="AP113" s="386"/>
      <c r="AQ113" s="387"/>
      <c r="AR113" s="682" t="str">
        <f t="shared" si="288"/>
        <v/>
      </c>
      <c r="AS113" s="4" t="str">
        <f t="shared" si="289"/>
        <v/>
      </c>
      <c r="AT113" s="386" t="str">
        <f t="shared" si="290"/>
        <v/>
      </c>
      <c r="AU113" s="386">
        <f t="shared" si="360"/>
        <v>0</v>
      </c>
      <c r="AV113" s="386" t="str">
        <f t="shared" si="292"/>
        <v/>
      </c>
      <c r="AW113" s="387" t="str">
        <f t="shared" si="293"/>
        <v/>
      </c>
      <c r="AX113" s="682" t="str">
        <f t="shared" si="294"/>
        <v/>
      </c>
      <c r="AY113" s="4" t="str">
        <f t="shared" si="295"/>
        <v/>
      </c>
      <c r="AZ113" s="386" t="str">
        <f t="shared" si="296"/>
        <v/>
      </c>
      <c r="BA113" s="386">
        <f t="shared" si="361"/>
        <v>0</v>
      </c>
      <c r="BB113" s="386" t="str">
        <f t="shared" si="298"/>
        <v/>
      </c>
      <c r="BC113" s="387" t="str">
        <f t="shared" si="299"/>
        <v/>
      </c>
      <c r="BD113" s="682" t="str">
        <f t="shared" si="300"/>
        <v/>
      </c>
      <c r="BE113" s="4" t="str">
        <f t="shared" si="301"/>
        <v/>
      </c>
      <c r="BF113" s="386" t="str">
        <f t="shared" si="302"/>
        <v/>
      </c>
      <c r="BG113" s="386">
        <f t="shared" si="362"/>
        <v>0</v>
      </c>
      <c r="BH113" s="386" t="str">
        <f t="shared" si="303"/>
        <v/>
      </c>
      <c r="BI113" s="387" t="str">
        <f t="shared" si="304"/>
        <v/>
      </c>
      <c r="BJ113" s="682" t="str">
        <f t="shared" si="305"/>
        <v/>
      </c>
      <c r="BK113" s="4" t="str">
        <f t="shared" si="306"/>
        <v/>
      </c>
      <c r="BL113" s="386" t="str">
        <f t="shared" si="307"/>
        <v/>
      </c>
      <c r="BM113" s="386">
        <f t="shared" si="363"/>
        <v>0</v>
      </c>
      <c r="BN113" s="386" t="str">
        <f t="shared" si="308"/>
        <v/>
      </c>
      <c r="BO113" s="387" t="str">
        <f t="shared" si="309"/>
        <v/>
      </c>
      <c r="BP113" s="682">
        <f t="shared" si="310"/>
        <v>0</v>
      </c>
      <c r="BQ113" s="4">
        <f t="shared" si="311"/>
        <v>0</v>
      </c>
      <c r="BR113" s="386">
        <f t="shared" si="312"/>
        <v>3307</v>
      </c>
      <c r="BS113" s="386">
        <f t="shared" si="364"/>
        <v>3307</v>
      </c>
      <c r="BT113" s="386">
        <f t="shared" si="314"/>
        <v>1448.4660000000001</v>
      </c>
      <c r="BU113" s="387">
        <f t="shared" si="315"/>
        <v>18830058</v>
      </c>
      <c r="BV113" s="682" t="str">
        <f t="shared" si="316"/>
        <v/>
      </c>
      <c r="BW113" s="4" t="str">
        <f t="shared" si="317"/>
        <v/>
      </c>
      <c r="BX113" s="386" t="str">
        <f t="shared" si="318"/>
        <v/>
      </c>
      <c r="BY113" s="386">
        <f t="shared" si="370"/>
        <v>0</v>
      </c>
      <c r="BZ113" s="386" t="str">
        <f t="shared" si="319"/>
        <v/>
      </c>
      <c r="CA113" s="387" t="str">
        <f t="shared" si="320"/>
        <v/>
      </c>
      <c r="CB113" s="682" t="str">
        <f t="shared" si="371"/>
        <v/>
      </c>
      <c r="CC113" s="4" t="str">
        <f t="shared" si="322"/>
        <v/>
      </c>
      <c r="CD113" s="386" t="str">
        <f t="shared" si="372"/>
        <v/>
      </c>
      <c r="CE113" s="386">
        <f t="shared" si="259"/>
        <v>0</v>
      </c>
      <c r="CF113" s="386" t="str">
        <f t="shared" si="373"/>
        <v/>
      </c>
      <c r="CG113" s="387" t="str">
        <f t="shared" si="374"/>
        <v/>
      </c>
      <c r="CH113" s="682">
        <f t="shared" si="326"/>
        <v>0</v>
      </c>
      <c r="CI113" s="4">
        <f t="shared" si="327"/>
        <v>0</v>
      </c>
      <c r="CJ113" s="386">
        <f t="shared" si="328"/>
        <v>0</v>
      </c>
      <c r="CK113" s="386">
        <f t="shared" si="365"/>
        <v>0</v>
      </c>
      <c r="CL113" s="386">
        <f t="shared" si="330"/>
        <v>0</v>
      </c>
      <c r="CM113" s="387">
        <f t="shared" si="331"/>
        <v>0</v>
      </c>
      <c r="CN113" s="682" t="str">
        <f t="shared" si="332"/>
        <v/>
      </c>
      <c r="CO113" s="4" t="str">
        <f t="shared" si="333"/>
        <v/>
      </c>
      <c r="CP113" s="386" t="str">
        <f t="shared" si="334"/>
        <v/>
      </c>
      <c r="CQ113" s="386">
        <f t="shared" si="366"/>
        <v>0</v>
      </c>
      <c r="CR113" s="386" t="str">
        <f t="shared" si="336"/>
        <v/>
      </c>
      <c r="CS113" s="387" t="str">
        <f t="shared" si="337"/>
        <v/>
      </c>
      <c r="CT113" s="682" t="str">
        <f t="shared" si="338"/>
        <v/>
      </c>
      <c r="CU113" s="4" t="str">
        <f t="shared" si="339"/>
        <v/>
      </c>
      <c r="CV113" s="386" t="str">
        <f t="shared" si="340"/>
        <v/>
      </c>
      <c r="CW113" s="386">
        <f t="shared" si="260"/>
        <v>0</v>
      </c>
      <c r="CX113" s="386" t="str">
        <f t="shared" si="341"/>
        <v/>
      </c>
      <c r="CY113" s="387" t="str">
        <f t="shared" si="342"/>
        <v/>
      </c>
      <c r="CZ113" s="682" t="str">
        <f t="shared" si="343"/>
        <v/>
      </c>
      <c r="DA113" s="4" t="str">
        <f t="shared" si="344"/>
        <v/>
      </c>
      <c r="DB113" s="386" t="str">
        <f t="shared" si="345"/>
        <v/>
      </c>
      <c r="DC113" s="386">
        <f t="shared" si="261"/>
        <v>0</v>
      </c>
      <c r="DD113" s="386" t="str">
        <f t="shared" si="346"/>
        <v/>
      </c>
      <c r="DE113" s="387" t="str">
        <f t="shared" si="347"/>
        <v/>
      </c>
      <c r="DF113" s="682">
        <f t="shared" si="348"/>
        <v>0</v>
      </c>
      <c r="DG113" s="4">
        <f t="shared" si="349"/>
        <v>0</v>
      </c>
      <c r="DH113" s="386">
        <f t="shared" si="350"/>
        <v>130</v>
      </c>
      <c r="DI113" s="386">
        <f t="shared" si="367"/>
        <v>130</v>
      </c>
      <c r="DJ113" s="386">
        <f t="shared" si="352"/>
        <v>56.420000000000009</v>
      </c>
      <c r="DK113" s="387">
        <f t="shared" si="353"/>
        <v>999198.20000000019</v>
      </c>
      <c r="DL113" s="682"/>
      <c r="DM113" s="4" t="str">
        <f t="shared" si="354"/>
        <v/>
      </c>
      <c r="DN113" s="386" t="str">
        <f t="shared" si="355"/>
        <v/>
      </c>
      <c r="DO113" s="386">
        <f t="shared" si="368"/>
        <v>0</v>
      </c>
      <c r="DP113" s="386" t="str">
        <f t="shared" si="357"/>
        <v/>
      </c>
      <c r="DQ113" s="387" t="str">
        <f t="shared" si="358"/>
        <v/>
      </c>
    </row>
    <row r="114" spans="1:121" x14ac:dyDescent="0.25">
      <c r="A114" t="s">
        <v>372</v>
      </c>
      <c r="B114" t="s">
        <v>33</v>
      </c>
      <c r="C114" s="383" t="s">
        <v>34</v>
      </c>
      <c r="D114" t="s">
        <v>270</v>
      </c>
      <c r="E114" s="383" t="s">
        <v>271</v>
      </c>
      <c r="F114" t="s">
        <v>373</v>
      </c>
      <c r="G114" s="383" t="s">
        <v>374</v>
      </c>
      <c r="H114" s="385" t="str">
        <f t="shared" si="264"/>
        <v/>
      </c>
      <c r="I114" s="386" t="str">
        <f t="shared" si="265"/>
        <v/>
      </c>
      <c r="J114" s="386" t="str">
        <f t="shared" si="266"/>
        <v/>
      </c>
      <c r="K114" s="386">
        <f t="shared" si="267"/>
        <v>0</v>
      </c>
      <c r="L114" s="386" t="str">
        <f t="shared" si="268"/>
        <v/>
      </c>
      <c r="M114" s="387" t="str">
        <f t="shared" si="269"/>
        <v/>
      </c>
      <c r="N114" s="385"/>
      <c r="O114" s="386"/>
      <c r="P114" s="386"/>
      <c r="Q114" s="386"/>
      <c r="R114" s="386"/>
      <c r="S114" s="387"/>
      <c r="T114" s="385">
        <f t="shared" si="270"/>
        <v>0</v>
      </c>
      <c r="U114" s="386">
        <f t="shared" si="271"/>
        <v>0</v>
      </c>
      <c r="V114" s="386">
        <f t="shared" si="272"/>
        <v>15</v>
      </c>
      <c r="W114" s="386">
        <f t="shared" si="273"/>
        <v>15</v>
      </c>
      <c r="X114" s="386">
        <f t="shared" si="274"/>
        <v>0</v>
      </c>
      <c r="Y114" s="387">
        <f t="shared" si="275"/>
        <v>0</v>
      </c>
      <c r="Z114" s="3" t="str">
        <f t="shared" si="276"/>
        <v/>
      </c>
      <c r="AA114" s="4" t="str">
        <f t="shared" si="277"/>
        <v/>
      </c>
      <c r="AB114" s="386" t="str">
        <f t="shared" si="278"/>
        <v/>
      </c>
      <c r="AC114" s="386">
        <f t="shared" si="279"/>
        <v>0</v>
      </c>
      <c r="AD114" s="386" t="str">
        <f t="shared" si="280"/>
        <v/>
      </c>
      <c r="AE114" s="387" t="str">
        <f t="shared" si="281"/>
        <v/>
      </c>
      <c r="AF114" s="682">
        <f t="shared" si="282"/>
        <v>0</v>
      </c>
      <c r="AG114" s="4">
        <f t="shared" si="283"/>
        <v>609</v>
      </c>
      <c r="AH114" s="386">
        <f t="shared" si="284"/>
        <v>1114</v>
      </c>
      <c r="AI114" s="386">
        <f t="shared" si="359"/>
        <v>1723</v>
      </c>
      <c r="AJ114" s="386">
        <f t="shared" si="286"/>
        <v>4043.7599999999998</v>
      </c>
      <c r="AK114" s="387">
        <f t="shared" si="287"/>
        <v>80875200</v>
      </c>
      <c r="AL114" s="385"/>
      <c r="AM114" s="386"/>
      <c r="AN114" s="386"/>
      <c r="AO114" s="386"/>
      <c r="AP114" s="386"/>
      <c r="AQ114" s="387"/>
      <c r="AR114" s="682" t="str">
        <f t="shared" si="288"/>
        <v/>
      </c>
      <c r="AS114" s="4" t="str">
        <f t="shared" si="289"/>
        <v/>
      </c>
      <c r="AT114" s="386" t="str">
        <f t="shared" si="290"/>
        <v/>
      </c>
      <c r="AU114" s="386">
        <f t="shared" si="360"/>
        <v>0</v>
      </c>
      <c r="AV114" s="386" t="str">
        <f t="shared" si="292"/>
        <v/>
      </c>
      <c r="AW114" s="387" t="str">
        <f t="shared" si="293"/>
        <v/>
      </c>
      <c r="AX114" s="682" t="str">
        <f t="shared" si="294"/>
        <v/>
      </c>
      <c r="AY114" s="4" t="str">
        <f t="shared" si="295"/>
        <v/>
      </c>
      <c r="AZ114" s="386" t="str">
        <f t="shared" si="296"/>
        <v/>
      </c>
      <c r="BA114" s="386">
        <f t="shared" si="361"/>
        <v>0</v>
      </c>
      <c r="BB114" s="386" t="str">
        <f t="shared" si="298"/>
        <v/>
      </c>
      <c r="BC114" s="387" t="str">
        <f t="shared" si="299"/>
        <v/>
      </c>
      <c r="BD114" s="682" t="str">
        <f t="shared" si="300"/>
        <v/>
      </c>
      <c r="BE114" s="4" t="str">
        <f t="shared" si="301"/>
        <v/>
      </c>
      <c r="BF114" s="386" t="str">
        <f t="shared" si="302"/>
        <v/>
      </c>
      <c r="BG114" s="386">
        <f t="shared" si="362"/>
        <v>0</v>
      </c>
      <c r="BH114" s="386" t="str">
        <f t="shared" si="303"/>
        <v/>
      </c>
      <c r="BI114" s="387" t="str">
        <f t="shared" si="304"/>
        <v/>
      </c>
      <c r="BJ114" s="682" t="str">
        <f t="shared" si="305"/>
        <v/>
      </c>
      <c r="BK114" s="4" t="str">
        <f t="shared" si="306"/>
        <v/>
      </c>
      <c r="BL114" s="386" t="str">
        <f t="shared" si="307"/>
        <v/>
      </c>
      <c r="BM114" s="386">
        <f t="shared" si="363"/>
        <v>0</v>
      </c>
      <c r="BN114" s="386" t="str">
        <f t="shared" si="308"/>
        <v/>
      </c>
      <c r="BO114" s="387" t="str">
        <f t="shared" si="309"/>
        <v/>
      </c>
      <c r="BP114" s="682">
        <f t="shared" si="310"/>
        <v>0</v>
      </c>
      <c r="BQ114" s="4">
        <f t="shared" si="311"/>
        <v>46.849999999999994</v>
      </c>
      <c r="BR114" s="386">
        <f t="shared" si="312"/>
        <v>430.72</v>
      </c>
      <c r="BS114" s="386">
        <f t="shared" si="364"/>
        <v>477.57000000000005</v>
      </c>
      <c r="BT114" s="386">
        <f t="shared" si="314"/>
        <v>358.28960000000006</v>
      </c>
      <c r="BU114" s="387">
        <f t="shared" si="315"/>
        <v>4657764.8000000007</v>
      </c>
      <c r="BV114" s="682" t="str">
        <f t="shared" si="316"/>
        <v/>
      </c>
      <c r="BW114" s="4" t="str">
        <f t="shared" si="317"/>
        <v/>
      </c>
      <c r="BX114" s="386" t="str">
        <f t="shared" si="318"/>
        <v/>
      </c>
      <c r="BY114" s="386">
        <f t="shared" si="370"/>
        <v>0</v>
      </c>
      <c r="BZ114" s="386" t="str">
        <f t="shared" si="319"/>
        <v/>
      </c>
      <c r="CA114" s="387" t="str">
        <f t="shared" si="320"/>
        <v/>
      </c>
      <c r="CB114" s="682" t="str">
        <f t="shared" si="371"/>
        <v/>
      </c>
      <c r="CC114" s="4" t="str">
        <f t="shared" si="322"/>
        <v/>
      </c>
      <c r="CD114" s="386" t="str">
        <f t="shared" si="372"/>
        <v/>
      </c>
      <c r="CE114" s="386">
        <f t="shared" si="259"/>
        <v>0</v>
      </c>
      <c r="CF114" s="386" t="str">
        <f t="shared" si="373"/>
        <v/>
      </c>
      <c r="CG114" s="387" t="str">
        <f t="shared" si="374"/>
        <v/>
      </c>
      <c r="CH114" s="682">
        <f t="shared" si="326"/>
        <v>0</v>
      </c>
      <c r="CI114" s="4">
        <f t="shared" si="327"/>
        <v>0</v>
      </c>
      <c r="CJ114" s="386">
        <f t="shared" si="328"/>
        <v>538</v>
      </c>
      <c r="CK114" s="386">
        <f t="shared" si="365"/>
        <v>538</v>
      </c>
      <c r="CL114" s="386">
        <f t="shared" si="330"/>
        <v>223.80800000000002</v>
      </c>
      <c r="CM114" s="387">
        <f t="shared" si="331"/>
        <v>5246059.5200000005</v>
      </c>
      <c r="CN114" s="682">
        <f t="shared" si="332"/>
        <v>0</v>
      </c>
      <c r="CO114" s="4">
        <f t="shared" si="333"/>
        <v>0</v>
      </c>
      <c r="CP114" s="386">
        <f t="shared" si="334"/>
        <v>9.1999999999999993</v>
      </c>
      <c r="CQ114" s="386">
        <f t="shared" si="366"/>
        <v>9.1999999999999993</v>
      </c>
      <c r="CR114" s="386">
        <f t="shared" si="336"/>
        <v>3.8180000000000001</v>
      </c>
      <c r="CS114" s="387">
        <f t="shared" si="337"/>
        <v>66356.84</v>
      </c>
      <c r="CT114" s="682" t="str">
        <f t="shared" si="338"/>
        <v/>
      </c>
      <c r="CU114" s="4" t="str">
        <f t="shared" si="339"/>
        <v/>
      </c>
      <c r="CV114" s="386" t="str">
        <f t="shared" si="340"/>
        <v/>
      </c>
      <c r="CW114" s="386">
        <f t="shared" si="260"/>
        <v>0</v>
      </c>
      <c r="CX114" s="386" t="str">
        <f t="shared" si="341"/>
        <v/>
      </c>
      <c r="CY114" s="387" t="str">
        <f t="shared" si="342"/>
        <v/>
      </c>
      <c r="CZ114" s="682" t="str">
        <f t="shared" si="343"/>
        <v/>
      </c>
      <c r="DA114" s="4" t="str">
        <f t="shared" si="344"/>
        <v/>
      </c>
      <c r="DB114" s="386" t="str">
        <f t="shared" si="345"/>
        <v/>
      </c>
      <c r="DC114" s="386">
        <f t="shared" si="261"/>
        <v>0</v>
      </c>
      <c r="DD114" s="386" t="str">
        <f t="shared" si="346"/>
        <v/>
      </c>
      <c r="DE114" s="387" t="str">
        <f t="shared" si="347"/>
        <v/>
      </c>
      <c r="DF114" s="682">
        <f t="shared" si="348"/>
        <v>0</v>
      </c>
      <c r="DG114" s="4">
        <f t="shared" si="349"/>
        <v>0</v>
      </c>
      <c r="DH114" s="386">
        <f t="shared" si="350"/>
        <v>143.5</v>
      </c>
      <c r="DI114" s="386">
        <f t="shared" si="367"/>
        <v>143.5</v>
      </c>
      <c r="DJ114" s="386">
        <f t="shared" si="352"/>
        <v>66.153500000000008</v>
      </c>
      <c r="DK114" s="387">
        <f t="shared" si="353"/>
        <v>1171578.4850000003</v>
      </c>
      <c r="DL114" s="682"/>
      <c r="DM114" s="4" t="str">
        <f t="shared" si="354"/>
        <v/>
      </c>
      <c r="DN114" s="386" t="str">
        <f t="shared" si="355"/>
        <v/>
      </c>
      <c r="DO114" s="386">
        <f t="shared" si="368"/>
        <v>0</v>
      </c>
      <c r="DP114" s="386" t="str">
        <f t="shared" si="357"/>
        <v/>
      </c>
      <c r="DQ114" s="387" t="str">
        <f t="shared" si="358"/>
        <v/>
      </c>
    </row>
    <row r="115" spans="1:121" x14ac:dyDescent="0.25">
      <c r="A115" t="s">
        <v>375</v>
      </c>
      <c r="B115" t="s">
        <v>33</v>
      </c>
      <c r="C115" s="383" t="s">
        <v>34</v>
      </c>
      <c r="D115" t="s">
        <v>270</v>
      </c>
      <c r="E115" s="383" t="s">
        <v>271</v>
      </c>
      <c r="F115" t="s">
        <v>376</v>
      </c>
      <c r="G115" s="383" t="s">
        <v>377</v>
      </c>
      <c r="H115" s="385">
        <f t="shared" si="264"/>
        <v>180</v>
      </c>
      <c r="I115" s="386">
        <f t="shared" si="265"/>
        <v>0</v>
      </c>
      <c r="J115" s="386">
        <f t="shared" si="266"/>
        <v>192.95</v>
      </c>
      <c r="K115" s="386">
        <f t="shared" si="267"/>
        <v>192.95</v>
      </c>
      <c r="L115" s="386">
        <f t="shared" si="268"/>
        <v>144.71249999999998</v>
      </c>
      <c r="M115" s="387">
        <f t="shared" si="269"/>
        <v>2387756.25</v>
      </c>
      <c r="N115" s="385"/>
      <c r="O115" s="386"/>
      <c r="P115" s="386"/>
      <c r="Q115" s="386"/>
      <c r="R115" s="386"/>
      <c r="S115" s="387"/>
      <c r="T115" s="385">
        <f t="shared" si="270"/>
        <v>100</v>
      </c>
      <c r="U115" s="386">
        <f t="shared" si="271"/>
        <v>0</v>
      </c>
      <c r="V115" s="386">
        <f t="shared" si="272"/>
        <v>116.30000000000001</v>
      </c>
      <c r="W115" s="386">
        <f t="shared" si="273"/>
        <v>116.30000000000001</v>
      </c>
      <c r="X115" s="386">
        <f t="shared" si="274"/>
        <v>87.225000000000009</v>
      </c>
      <c r="Y115" s="387">
        <f t="shared" si="275"/>
        <v>1308375.0000000002</v>
      </c>
      <c r="Z115" s="3">
        <f t="shared" si="276"/>
        <v>0</v>
      </c>
      <c r="AA115" s="4">
        <f t="shared" si="277"/>
        <v>0</v>
      </c>
      <c r="AB115" s="386">
        <f t="shared" si="278"/>
        <v>5</v>
      </c>
      <c r="AC115" s="386">
        <f t="shared" si="279"/>
        <v>5</v>
      </c>
      <c r="AD115" s="386" t="str">
        <f t="shared" si="280"/>
        <v/>
      </c>
      <c r="AE115" s="387">
        <f t="shared" si="281"/>
        <v>39870</v>
      </c>
      <c r="AF115" s="682">
        <f t="shared" si="282"/>
        <v>0</v>
      </c>
      <c r="AG115" s="4">
        <f t="shared" si="283"/>
        <v>8.16</v>
      </c>
      <c r="AH115" s="386">
        <f t="shared" si="284"/>
        <v>2459.9899999999998</v>
      </c>
      <c r="AI115" s="386">
        <f t="shared" si="359"/>
        <v>2468.1499999999996</v>
      </c>
      <c r="AJ115" s="386">
        <f t="shared" si="286"/>
        <v>1625.7124499999995</v>
      </c>
      <c r="AK115" s="387">
        <f t="shared" si="287"/>
        <v>32514249</v>
      </c>
      <c r="AL115" s="385"/>
      <c r="AM115" s="386"/>
      <c r="AN115" s="386"/>
      <c r="AO115" s="386"/>
      <c r="AP115" s="386"/>
      <c r="AQ115" s="387"/>
      <c r="AR115" s="682">
        <f t="shared" si="288"/>
        <v>2</v>
      </c>
      <c r="AS115" s="4">
        <f t="shared" si="289"/>
        <v>1.7</v>
      </c>
      <c r="AT115" s="386">
        <f t="shared" si="290"/>
        <v>0</v>
      </c>
      <c r="AU115" s="386">
        <f t="shared" si="360"/>
        <v>1.7</v>
      </c>
      <c r="AV115" s="386">
        <f t="shared" si="292"/>
        <v>8.0399999999999991</v>
      </c>
      <c r="AW115" s="387">
        <f t="shared" si="293"/>
        <v>136679.99999999997</v>
      </c>
      <c r="AX115" s="682" t="str">
        <f t="shared" si="294"/>
        <v/>
      </c>
      <c r="AY115" s="4" t="str">
        <f t="shared" si="295"/>
        <v/>
      </c>
      <c r="AZ115" s="386" t="str">
        <f t="shared" si="296"/>
        <v/>
      </c>
      <c r="BA115" s="386">
        <f t="shared" si="361"/>
        <v>0</v>
      </c>
      <c r="BB115" s="386" t="str">
        <f t="shared" si="298"/>
        <v/>
      </c>
      <c r="BC115" s="387" t="str">
        <f t="shared" si="299"/>
        <v/>
      </c>
      <c r="BD115" s="682" t="str">
        <f t="shared" si="300"/>
        <v/>
      </c>
      <c r="BE115" s="4" t="str">
        <f t="shared" si="301"/>
        <v/>
      </c>
      <c r="BF115" s="386" t="str">
        <f t="shared" si="302"/>
        <v/>
      </c>
      <c r="BG115" s="386">
        <f t="shared" si="362"/>
        <v>0</v>
      </c>
      <c r="BH115" s="386" t="str">
        <f t="shared" si="303"/>
        <v/>
      </c>
      <c r="BI115" s="387" t="str">
        <f t="shared" si="304"/>
        <v/>
      </c>
      <c r="BJ115" s="682">
        <f t="shared" si="305"/>
        <v>0</v>
      </c>
      <c r="BK115" s="4">
        <f t="shared" si="306"/>
        <v>22.5</v>
      </c>
      <c r="BL115" s="386">
        <f t="shared" si="307"/>
        <v>0</v>
      </c>
      <c r="BM115" s="386">
        <f t="shared" si="363"/>
        <v>22.5</v>
      </c>
      <c r="BN115" s="386">
        <f t="shared" si="308"/>
        <v>9.3770000000000007</v>
      </c>
      <c r="BO115" s="387">
        <f t="shared" si="309"/>
        <v>131278</v>
      </c>
      <c r="BP115" s="682">
        <f t="shared" si="310"/>
        <v>0</v>
      </c>
      <c r="BQ115" s="4">
        <f t="shared" si="311"/>
        <v>0</v>
      </c>
      <c r="BR115" s="386">
        <f t="shared" si="312"/>
        <v>3106</v>
      </c>
      <c r="BS115" s="386">
        <f t="shared" si="364"/>
        <v>3106</v>
      </c>
      <c r="BT115" s="386">
        <f t="shared" si="314"/>
        <v>2193.0659999999998</v>
      </c>
      <c r="BU115" s="387">
        <f t="shared" si="315"/>
        <v>28509857.999999996</v>
      </c>
      <c r="BV115" s="682" t="str">
        <f t="shared" si="316"/>
        <v/>
      </c>
      <c r="BW115" s="4" t="str">
        <f t="shared" si="317"/>
        <v/>
      </c>
      <c r="BX115" s="386" t="str">
        <f t="shared" si="318"/>
        <v/>
      </c>
      <c r="BY115" s="386">
        <f t="shared" si="370"/>
        <v>0</v>
      </c>
      <c r="BZ115" s="386" t="str">
        <f t="shared" si="319"/>
        <v/>
      </c>
      <c r="CA115" s="387" t="str">
        <f t="shared" si="320"/>
        <v/>
      </c>
      <c r="CB115" s="682" t="str">
        <f t="shared" si="371"/>
        <v/>
      </c>
      <c r="CC115" s="4" t="str">
        <f t="shared" si="322"/>
        <v/>
      </c>
      <c r="CD115" s="386" t="str">
        <f t="shared" si="372"/>
        <v/>
      </c>
      <c r="CE115" s="386">
        <f t="shared" si="259"/>
        <v>0</v>
      </c>
      <c r="CF115" s="386" t="str">
        <f t="shared" si="373"/>
        <v/>
      </c>
      <c r="CG115" s="387" t="str">
        <f t="shared" si="374"/>
        <v/>
      </c>
      <c r="CH115" s="682">
        <f t="shared" si="326"/>
        <v>0</v>
      </c>
      <c r="CI115" s="4">
        <f t="shared" si="327"/>
        <v>5</v>
      </c>
      <c r="CJ115" s="386">
        <f t="shared" si="328"/>
        <v>4062.42</v>
      </c>
      <c r="CK115" s="386">
        <f t="shared" si="365"/>
        <v>4067.42</v>
      </c>
      <c r="CL115" s="386">
        <f t="shared" si="330"/>
        <v>877.22336000000018</v>
      </c>
      <c r="CM115" s="387">
        <f t="shared" si="331"/>
        <v>20562115.558400001</v>
      </c>
      <c r="CN115" s="682">
        <f t="shared" si="332"/>
        <v>0</v>
      </c>
      <c r="CO115" s="4">
        <f t="shared" si="333"/>
        <v>0</v>
      </c>
      <c r="CP115" s="386">
        <f t="shared" si="334"/>
        <v>165</v>
      </c>
      <c r="CQ115" s="386">
        <f t="shared" si="366"/>
        <v>165</v>
      </c>
      <c r="CR115" s="386">
        <f t="shared" si="336"/>
        <v>34.237500000000004</v>
      </c>
      <c r="CS115" s="387">
        <f t="shared" si="337"/>
        <v>595047.75000000012</v>
      </c>
      <c r="CT115" s="682" t="str">
        <f t="shared" si="338"/>
        <v/>
      </c>
      <c r="CU115" s="4" t="str">
        <f t="shared" si="339"/>
        <v/>
      </c>
      <c r="CV115" s="386" t="str">
        <f t="shared" si="340"/>
        <v/>
      </c>
      <c r="CW115" s="386">
        <f t="shared" si="260"/>
        <v>0</v>
      </c>
      <c r="CX115" s="386" t="str">
        <f t="shared" si="341"/>
        <v/>
      </c>
      <c r="CY115" s="387" t="str">
        <f t="shared" si="342"/>
        <v/>
      </c>
      <c r="CZ115" s="682" t="str">
        <f t="shared" si="343"/>
        <v/>
      </c>
      <c r="DA115" s="4" t="str">
        <f t="shared" si="344"/>
        <v/>
      </c>
      <c r="DB115" s="386" t="str">
        <f t="shared" si="345"/>
        <v/>
      </c>
      <c r="DC115" s="386">
        <f t="shared" si="261"/>
        <v>0</v>
      </c>
      <c r="DD115" s="386" t="str">
        <f t="shared" si="346"/>
        <v/>
      </c>
      <c r="DE115" s="387" t="str">
        <f t="shared" si="347"/>
        <v/>
      </c>
      <c r="DF115" s="682">
        <f t="shared" si="348"/>
        <v>0</v>
      </c>
      <c r="DG115" s="4">
        <f t="shared" si="349"/>
        <v>0</v>
      </c>
      <c r="DH115" s="386">
        <f t="shared" si="350"/>
        <v>332</v>
      </c>
      <c r="DI115" s="386">
        <f t="shared" si="367"/>
        <v>332</v>
      </c>
      <c r="DJ115" s="386">
        <f t="shared" si="352"/>
        <v>76.52600000000001</v>
      </c>
      <c r="DK115" s="387">
        <f t="shared" si="353"/>
        <v>1577081</v>
      </c>
      <c r="DL115" s="682"/>
      <c r="DM115" s="4" t="str">
        <f t="shared" si="354"/>
        <v/>
      </c>
      <c r="DN115" s="386" t="str">
        <f t="shared" si="355"/>
        <v/>
      </c>
      <c r="DO115" s="386">
        <f t="shared" si="368"/>
        <v>0</v>
      </c>
      <c r="DP115" s="386" t="str">
        <f t="shared" si="357"/>
        <v/>
      </c>
      <c r="DQ115" s="387" t="str">
        <f t="shared" si="358"/>
        <v/>
      </c>
    </row>
    <row r="116" spans="1:121" x14ac:dyDescent="0.25">
      <c r="A116" t="s">
        <v>378</v>
      </c>
      <c r="B116" t="s">
        <v>33</v>
      </c>
      <c r="C116" s="383" t="s">
        <v>34</v>
      </c>
      <c r="D116" t="s">
        <v>270</v>
      </c>
      <c r="E116" s="383" t="s">
        <v>271</v>
      </c>
      <c r="F116" t="s">
        <v>379</v>
      </c>
      <c r="G116" s="383" t="s">
        <v>95</v>
      </c>
      <c r="H116" s="385" t="str">
        <f t="shared" si="264"/>
        <v/>
      </c>
      <c r="I116" s="386" t="str">
        <f t="shared" si="265"/>
        <v/>
      </c>
      <c r="J116" s="386" t="str">
        <f t="shared" si="266"/>
        <v/>
      </c>
      <c r="K116" s="386">
        <f t="shared" si="267"/>
        <v>0</v>
      </c>
      <c r="L116" s="386" t="str">
        <f t="shared" si="268"/>
        <v/>
      </c>
      <c r="M116" s="387" t="str">
        <f t="shared" si="269"/>
        <v/>
      </c>
      <c r="N116" s="385"/>
      <c r="O116" s="386"/>
      <c r="P116" s="386"/>
      <c r="Q116" s="386"/>
      <c r="R116" s="386"/>
      <c r="S116" s="387"/>
      <c r="T116" s="385">
        <f t="shared" si="270"/>
        <v>0</v>
      </c>
      <c r="U116" s="386">
        <f t="shared" si="271"/>
        <v>0</v>
      </c>
      <c r="V116" s="386">
        <f t="shared" si="272"/>
        <v>4</v>
      </c>
      <c r="W116" s="386">
        <f t="shared" si="273"/>
        <v>4</v>
      </c>
      <c r="X116" s="386">
        <f t="shared" si="274"/>
        <v>0</v>
      </c>
      <c r="Y116" s="387">
        <f t="shared" si="275"/>
        <v>35797.500000000007</v>
      </c>
      <c r="Z116" s="3" t="str">
        <f t="shared" si="276"/>
        <v/>
      </c>
      <c r="AA116" s="4" t="str">
        <f t="shared" si="277"/>
        <v/>
      </c>
      <c r="AB116" s="386" t="str">
        <f t="shared" si="278"/>
        <v/>
      </c>
      <c r="AC116" s="386">
        <f t="shared" si="279"/>
        <v>0</v>
      </c>
      <c r="AD116" s="386" t="str">
        <f t="shared" si="280"/>
        <v/>
      </c>
      <c r="AE116" s="387" t="str">
        <f t="shared" si="281"/>
        <v/>
      </c>
      <c r="AF116" s="682">
        <f t="shared" si="282"/>
        <v>0</v>
      </c>
      <c r="AG116" s="4">
        <f t="shared" si="283"/>
        <v>13</v>
      </c>
      <c r="AH116" s="386">
        <f t="shared" si="284"/>
        <v>3430</v>
      </c>
      <c r="AI116" s="386">
        <f t="shared" si="359"/>
        <v>3443</v>
      </c>
      <c r="AJ116" s="386">
        <f t="shared" si="286"/>
        <v>4393.9350000000004</v>
      </c>
      <c r="AK116" s="387">
        <f t="shared" si="287"/>
        <v>87878700</v>
      </c>
      <c r="AL116" s="385"/>
      <c r="AM116" s="386"/>
      <c r="AN116" s="386"/>
      <c r="AO116" s="386"/>
      <c r="AP116" s="386"/>
      <c r="AQ116" s="387"/>
      <c r="AR116" s="682" t="str">
        <f t="shared" si="288"/>
        <v/>
      </c>
      <c r="AS116" s="4" t="str">
        <f t="shared" si="289"/>
        <v/>
      </c>
      <c r="AT116" s="386" t="str">
        <f t="shared" si="290"/>
        <v/>
      </c>
      <c r="AU116" s="386">
        <f t="shared" si="360"/>
        <v>0</v>
      </c>
      <c r="AV116" s="386" t="str">
        <f t="shared" si="292"/>
        <v/>
      </c>
      <c r="AW116" s="387" t="str">
        <f t="shared" si="293"/>
        <v/>
      </c>
      <c r="AX116" s="682" t="str">
        <f t="shared" si="294"/>
        <v/>
      </c>
      <c r="AY116" s="4" t="str">
        <f t="shared" si="295"/>
        <v/>
      </c>
      <c r="AZ116" s="386" t="str">
        <f t="shared" si="296"/>
        <v/>
      </c>
      <c r="BA116" s="386">
        <f t="shared" si="361"/>
        <v>0</v>
      </c>
      <c r="BB116" s="386" t="str">
        <f t="shared" si="298"/>
        <v/>
      </c>
      <c r="BC116" s="387" t="str">
        <f t="shared" si="299"/>
        <v/>
      </c>
      <c r="BD116" s="682" t="str">
        <f t="shared" si="300"/>
        <v/>
      </c>
      <c r="BE116" s="4" t="str">
        <f t="shared" si="301"/>
        <v/>
      </c>
      <c r="BF116" s="386" t="str">
        <f t="shared" si="302"/>
        <v/>
      </c>
      <c r="BG116" s="386">
        <f t="shared" si="362"/>
        <v>0</v>
      </c>
      <c r="BH116" s="386" t="str">
        <f t="shared" si="303"/>
        <v/>
      </c>
      <c r="BI116" s="387" t="str">
        <f t="shared" si="304"/>
        <v/>
      </c>
      <c r="BJ116" s="682" t="str">
        <f t="shared" si="305"/>
        <v/>
      </c>
      <c r="BK116" s="4" t="str">
        <f t="shared" si="306"/>
        <v/>
      </c>
      <c r="BL116" s="386" t="str">
        <f t="shared" si="307"/>
        <v/>
      </c>
      <c r="BM116" s="386">
        <f t="shared" si="363"/>
        <v>0</v>
      </c>
      <c r="BN116" s="386" t="str">
        <f t="shared" si="308"/>
        <v/>
      </c>
      <c r="BO116" s="387" t="str">
        <f t="shared" si="309"/>
        <v/>
      </c>
      <c r="BP116" s="682">
        <f t="shared" si="310"/>
        <v>0</v>
      </c>
      <c r="BQ116" s="4">
        <f t="shared" si="311"/>
        <v>0</v>
      </c>
      <c r="BR116" s="386">
        <f t="shared" si="312"/>
        <v>607</v>
      </c>
      <c r="BS116" s="386">
        <f t="shared" si="364"/>
        <v>607</v>
      </c>
      <c r="BT116" s="386">
        <f t="shared" si="314"/>
        <v>265.86599999999999</v>
      </c>
      <c r="BU116" s="387">
        <f t="shared" si="315"/>
        <v>3456258</v>
      </c>
      <c r="BV116" s="682" t="str">
        <f t="shared" si="316"/>
        <v/>
      </c>
      <c r="BW116" s="4" t="str">
        <f t="shared" si="317"/>
        <v/>
      </c>
      <c r="BX116" s="386" t="str">
        <f t="shared" si="318"/>
        <v/>
      </c>
      <c r="BY116" s="386">
        <f t="shared" si="370"/>
        <v>0</v>
      </c>
      <c r="BZ116" s="386" t="str">
        <f t="shared" si="319"/>
        <v/>
      </c>
      <c r="CA116" s="387" t="str">
        <f t="shared" si="320"/>
        <v/>
      </c>
      <c r="CB116" s="682" t="str">
        <f t="shared" si="371"/>
        <v/>
      </c>
      <c r="CC116" s="4" t="str">
        <f t="shared" si="322"/>
        <v/>
      </c>
      <c r="CD116" s="386" t="str">
        <f t="shared" si="372"/>
        <v/>
      </c>
      <c r="CE116" s="386">
        <f t="shared" si="259"/>
        <v>0</v>
      </c>
      <c r="CF116" s="386" t="str">
        <f t="shared" si="373"/>
        <v/>
      </c>
      <c r="CG116" s="387" t="str">
        <f t="shared" si="374"/>
        <v/>
      </c>
      <c r="CH116" s="682">
        <f t="shared" si="326"/>
        <v>0</v>
      </c>
      <c r="CI116" s="4">
        <f t="shared" si="327"/>
        <v>0</v>
      </c>
      <c r="CJ116" s="386">
        <f t="shared" si="328"/>
        <v>38.200000000000003</v>
      </c>
      <c r="CK116" s="386">
        <f t="shared" si="365"/>
        <v>38.200000000000003</v>
      </c>
      <c r="CL116" s="386">
        <f t="shared" si="330"/>
        <v>15.891200000000001</v>
      </c>
      <c r="CM116" s="387">
        <f t="shared" si="331"/>
        <v>372489.72800000006</v>
      </c>
      <c r="CN116" s="682">
        <f t="shared" si="332"/>
        <v>0</v>
      </c>
      <c r="CO116" s="4">
        <f t="shared" si="333"/>
        <v>1</v>
      </c>
      <c r="CP116" s="386">
        <f t="shared" si="334"/>
        <v>0</v>
      </c>
      <c r="CQ116" s="386">
        <f t="shared" si="366"/>
        <v>1</v>
      </c>
      <c r="CR116" s="386">
        <f t="shared" si="336"/>
        <v>3.97</v>
      </c>
      <c r="CS116" s="387">
        <f t="shared" si="337"/>
        <v>68998.599999999991</v>
      </c>
      <c r="CT116" s="682" t="str">
        <f t="shared" si="338"/>
        <v/>
      </c>
      <c r="CU116" s="4" t="str">
        <f t="shared" si="339"/>
        <v/>
      </c>
      <c r="CV116" s="386" t="str">
        <f t="shared" si="340"/>
        <v/>
      </c>
      <c r="CW116" s="386">
        <f t="shared" si="260"/>
        <v>0</v>
      </c>
      <c r="CX116" s="386" t="str">
        <f t="shared" si="341"/>
        <v/>
      </c>
      <c r="CY116" s="387" t="str">
        <f t="shared" si="342"/>
        <v/>
      </c>
      <c r="CZ116" s="682" t="str">
        <f t="shared" si="343"/>
        <v/>
      </c>
      <c r="DA116" s="4" t="str">
        <f t="shared" si="344"/>
        <v/>
      </c>
      <c r="DB116" s="386" t="str">
        <f t="shared" si="345"/>
        <v/>
      </c>
      <c r="DC116" s="386">
        <f t="shared" si="261"/>
        <v>0</v>
      </c>
      <c r="DD116" s="386" t="str">
        <f t="shared" si="346"/>
        <v/>
      </c>
      <c r="DE116" s="387" t="str">
        <f t="shared" si="347"/>
        <v/>
      </c>
      <c r="DF116" s="682">
        <f t="shared" si="348"/>
        <v>0</v>
      </c>
      <c r="DG116" s="4">
        <f t="shared" si="349"/>
        <v>7</v>
      </c>
      <c r="DH116" s="386">
        <f t="shared" si="350"/>
        <v>150</v>
      </c>
      <c r="DI116" s="386">
        <f t="shared" si="367"/>
        <v>157</v>
      </c>
      <c r="DJ116" s="386">
        <f t="shared" si="352"/>
        <v>101.42000000000002</v>
      </c>
      <c r="DK116" s="387">
        <f t="shared" si="353"/>
        <v>1756778.8000000003</v>
      </c>
      <c r="DL116" s="682"/>
      <c r="DM116" s="4" t="str">
        <f t="shared" si="354"/>
        <v/>
      </c>
      <c r="DN116" s="386" t="str">
        <f t="shared" si="355"/>
        <v/>
      </c>
      <c r="DO116" s="386">
        <f t="shared" si="368"/>
        <v>0</v>
      </c>
      <c r="DP116" s="386" t="str">
        <f t="shared" si="357"/>
        <v/>
      </c>
      <c r="DQ116" s="387" t="str">
        <f t="shared" si="358"/>
        <v/>
      </c>
    </row>
    <row r="117" spans="1:121" x14ac:dyDescent="0.25">
      <c r="A117" t="s">
        <v>380</v>
      </c>
      <c r="B117" t="s">
        <v>33</v>
      </c>
      <c r="C117" s="383" t="s">
        <v>34</v>
      </c>
      <c r="D117" t="s">
        <v>270</v>
      </c>
      <c r="E117" s="383" t="s">
        <v>271</v>
      </c>
      <c r="F117" t="s">
        <v>381</v>
      </c>
      <c r="G117" s="383" t="s">
        <v>382</v>
      </c>
      <c r="H117" s="385" t="str">
        <f t="shared" si="264"/>
        <v/>
      </c>
      <c r="I117" s="386" t="str">
        <f t="shared" si="265"/>
        <v/>
      </c>
      <c r="J117" s="386" t="str">
        <f t="shared" si="266"/>
        <v/>
      </c>
      <c r="K117" s="386">
        <f t="shared" si="267"/>
        <v>0</v>
      </c>
      <c r="L117" s="386" t="str">
        <f t="shared" si="268"/>
        <v/>
      </c>
      <c r="M117" s="387" t="str">
        <f t="shared" si="269"/>
        <v/>
      </c>
      <c r="N117" s="385"/>
      <c r="O117" s="386"/>
      <c r="P117" s="386"/>
      <c r="Q117" s="386"/>
      <c r="R117" s="386"/>
      <c r="S117" s="387"/>
      <c r="T117" s="385">
        <f t="shared" si="270"/>
        <v>60</v>
      </c>
      <c r="U117" s="386">
        <f t="shared" si="271"/>
        <v>0</v>
      </c>
      <c r="V117" s="386">
        <f t="shared" si="272"/>
        <v>69</v>
      </c>
      <c r="W117" s="386">
        <f t="shared" si="273"/>
        <v>69</v>
      </c>
      <c r="X117" s="386">
        <f t="shared" si="274"/>
        <v>9</v>
      </c>
      <c r="Y117" s="387">
        <f t="shared" si="275"/>
        <v>135000</v>
      </c>
      <c r="Z117" s="3">
        <f t="shared" si="276"/>
        <v>0</v>
      </c>
      <c r="AA117" s="4">
        <f t="shared" si="277"/>
        <v>0</v>
      </c>
      <c r="AB117" s="386">
        <f t="shared" si="278"/>
        <v>1500</v>
      </c>
      <c r="AC117" s="386">
        <f t="shared" si="279"/>
        <v>1500</v>
      </c>
      <c r="AD117" s="386" t="str">
        <f t="shared" si="280"/>
        <v/>
      </c>
      <c r="AE117" s="387">
        <f t="shared" si="281"/>
        <v>11961000</v>
      </c>
      <c r="AF117" s="682">
        <f t="shared" si="282"/>
        <v>0</v>
      </c>
      <c r="AG117" s="4">
        <f t="shared" si="283"/>
        <v>0</v>
      </c>
      <c r="AH117" s="386">
        <f t="shared" si="284"/>
        <v>1250</v>
      </c>
      <c r="AI117" s="386">
        <f t="shared" si="359"/>
        <v>1250</v>
      </c>
      <c r="AJ117" s="386">
        <f t="shared" si="286"/>
        <v>1359.375</v>
      </c>
      <c r="AK117" s="387">
        <f t="shared" si="287"/>
        <v>27187500</v>
      </c>
      <c r="AL117" s="385"/>
      <c r="AM117" s="386"/>
      <c r="AN117" s="386"/>
      <c r="AO117" s="386"/>
      <c r="AP117" s="386"/>
      <c r="AQ117" s="387"/>
      <c r="AR117" s="682" t="str">
        <f t="shared" si="288"/>
        <v/>
      </c>
      <c r="AS117" s="4" t="str">
        <f t="shared" si="289"/>
        <v/>
      </c>
      <c r="AT117" s="386" t="str">
        <f t="shared" si="290"/>
        <v/>
      </c>
      <c r="AU117" s="386">
        <f t="shared" si="360"/>
        <v>0</v>
      </c>
      <c r="AV117" s="386" t="str">
        <f t="shared" si="292"/>
        <v/>
      </c>
      <c r="AW117" s="387" t="str">
        <f t="shared" si="293"/>
        <v/>
      </c>
      <c r="AX117" s="682" t="str">
        <f t="shared" si="294"/>
        <v/>
      </c>
      <c r="AY117" s="4" t="str">
        <f t="shared" si="295"/>
        <v/>
      </c>
      <c r="AZ117" s="386" t="str">
        <f t="shared" si="296"/>
        <v/>
      </c>
      <c r="BA117" s="386">
        <f t="shared" si="361"/>
        <v>0</v>
      </c>
      <c r="BB117" s="386" t="str">
        <f t="shared" si="298"/>
        <v/>
      </c>
      <c r="BC117" s="387" t="str">
        <f t="shared" si="299"/>
        <v/>
      </c>
      <c r="BD117" s="682" t="str">
        <f t="shared" si="300"/>
        <v/>
      </c>
      <c r="BE117" s="4" t="str">
        <f t="shared" si="301"/>
        <v/>
      </c>
      <c r="BF117" s="386" t="str">
        <f t="shared" si="302"/>
        <v/>
      </c>
      <c r="BG117" s="386">
        <f t="shared" si="362"/>
        <v>0</v>
      </c>
      <c r="BH117" s="386" t="str">
        <f t="shared" si="303"/>
        <v/>
      </c>
      <c r="BI117" s="387" t="str">
        <f t="shared" si="304"/>
        <v/>
      </c>
      <c r="BJ117" s="682">
        <f t="shared" si="305"/>
        <v>0</v>
      </c>
      <c r="BK117" s="4">
        <f t="shared" si="306"/>
        <v>1518</v>
      </c>
      <c r="BL117" s="386">
        <f t="shared" si="307"/>
        <v>15</v>
      </c>
      <c r="BM117" s="386">
        <f t="shared" si="363"/>
        <v>1533</v>
      </c>
      <c r="BN117" s="386">
        <f t="shared" si="308"/>
        <v>644.57000000000005</v>
      </c>
      <c r="BO117" s="387">
        <f t="shared" si="309"/>
        <v>9023980</v>
      </c>
      <c r="BP117" s="682">
        <f t="shared" si="310"/>
        <v>0</v>
      </c>
      <c r="BQ117" s="4">
        <f t="shared" si="311"/>
        <v>0</v>
      </c>
      <c r="BR117" s="386">
        <f t="shared" si="312"/>
        <v>1580</v>
      </c>
      <c r="BS117" s="386">
        <f t="shared" si="364"/>
        <v>1580</v>
      </c>
      <c r="BT117" s="386">
        <f t="shared" si="314"/>
        <v>668.87600000000009</v>
      </c>
      <c r="BU117" s="387">
        <f t="shared" si="315"/>
        <v>8695388.0000000019</v>
      </c>
      <c r="BV117" s="682" t="str">
        <f t="shared" si="316"/>
        <v/>
      </c>
      <c r="BW117" s="4" t="str">
        <f t="shared" si="317"/>
        <v/>
      </c>
      <c r="BX117" s="386" t="str">
        <f t="shared" si="318"/>
        <v/>
      </c>
      <c r="BY117" s="386">
        <f t="shared" si="370"/>
        <v>0</v>
      </c>
      <c r="BZ117" s="386" t="str">
        <f t="shared" si="319"/>
        <v/>
      </c>
      <c r="CA117" s="387" t="str">
        <f t="shared" si="320"/>
        <v/>
      </c>
      <c r="CB117" s="682" t="str">
        <f t="shared" si="371"/>
        <v/>
      </c>
      <c r="CC117" s="4" t="str">
        <f t="shared" si="322"/>
        <v/>
      </c>
      <c r="CD117" s="386" t="str">
        <f t="shared" si="372"/>
        <v/>
      </c>
      <c r="CE117" s="386">
        <f t="shared" si="259"/>
        <v>0</v>
      </c>
      <c r="CF117" s="386" t="str">
        <f t="shared" si="373"/>
        <v/>
      </c>
      <c r="CG117" s="387" t="str">
        <f t="shared" si="374"/>
        <v/>
      </c>
      <c r="CH117" s="682">
        <f t="shared" si="326"/>
        <v>0</v>
      </c>
      <c r="CI117" s="4">
        <f t="shared" si="327"/>
        <v>61.5</v>
      </c>
      <c r="CJ117" s="386">
        <f t="shared" si="328"/>
        <v>388.5</v>
      </c>
      <c r="CK117" s="386">
        <f t="shared" si="365"/>
        <v>450</v>
      </c>
      <c r="CL117" s="386">
        <f t="shared" si="330"/>
        <v>417.45600000000002</v>
      </c>
      <c r="CM117" s="387">
        <f t="shared" si="331"/>
        <v>9785168.6400000006</v>
      </c>
      <c r="CN117" s="682" t="str">
        <f t="shared" si="332"/>
        <v/>
      </c>
      <c r="CO117" s="4" t="str">
        <f t="shared" si="333"/>
        <v/>
      </c>
      <c r="CP117" s="386" t="str">
        <f t="shared" si="334"/>
        <v/>
      </c>
      <c r="CQ117" s="386">
        <f t="shared" si="366"/>
        <v>0</v>
      </c>
      <c r="CR117" s="386" t="str">
        <f t="shared" si="336"/>
        <v/>
      </c>
      <c r="CS117" s="387" t="str">
        <f t="shared" si="337"/>
        <v/>
      </c>
      <c r="CT117" s="682" t="str">
        <f t="shared" si="338"/>
        <v/>
      </c>
      <c r="CU117" s="4" t="str">
        <f t="shared" si="339"/>
        <v/>
      </c>
      <c r="CV117" s="386" t="str">
        <f t="shared" si="340"/>
        <v/>
      </c>
      <c r="CW117" s="386">
        <f t="shared" si="260"/>
        <v>0</v>
      </c>
      <c r="CX117" s="386" t="str">
        <f t="shared" si="341"/>
        <v/>
      </c>
      <c r="CY117" s="387" t="str">
        <f t="shared" si="342"/>
        <v/>
      </c>
      <c r="CZ117" s="682" t="str">
        <f t="shared" si="343"/>
        <v/>
      </c>
      <c r="DA117" s="4" t="str">
        <f t="shared" si="344"/>
        <v/>
      </c>
      <c r="DB117" s="386" t="str">
        <f t="shared" si="345"/>
        <v/>
      </c>
      <c r="DC117" s="386">
        <f t="shared" si="261"/>
        <v>0</v>
      </c>
      <c r="DD117" s="386" t="str">
        <f t="shared" si="346"/>
        <v/>
      </c>
      <c r="DE117" s="387" t="str">
        <f t="shared" si="347"/>
        <v/>
      </c>
      <c r="DF117" s="682">
        <f t="shared" si="348"/>
        <v>0</v>
      </c>
      <c r="DG117" s="4">
        <f t="shared" si="349"/>
        <v>0</v>
      </c>
      <c r="DH117" s="386">
        <f t="shared" si="350"/>
        <v>3090</v>
      </c>
      <c r="DI117" s="386">
        <f t="shared" si="367"/>
        <v>3090</v>
      </c>
      <c r="DJ117" s="386">
        <f t="shared" si="352"/>
        <v>1424.49</v>
      </c>
      <c r="DK117" s="387">
        <f t="shared" si="353"/>
        <v>25227717.900000002</v>
      </c>
      <c r="DL117" s="682"/>
      <c r="DM117" s="4" t="str">
        <f t="shared" si="354"/>
        <v/>
      </c>
      <c r="DN117" s="386" t="str">
        <f t="shared" si="355"/>
        <v/>
      </c>
      <c r="DO117" s="386">
        <f t="shared" si="368"/>
        <v>0</v>
      </c>
      <c r="DP117" s="386" t="str">
        <f t="shared" si="357"/>
        <v/>
      </c>
      <c r="DQ117" s="387" t="str">
        <f t="shared" si="358"/>
        <v/>
      </c>
    </row>
    <row r="118" spans="1:121" x14ac:dyDescent="0.25">
      <c r="A118" t="s">
        <v>383</v>
      </c>
      <c r="B118" t="s">
        <v>33</v>
      </c>
      <c r="C118" s="383" t="s">
        <v>34</v>
      </c>
      <c r="D118" t="s">
        <v>270</v>
      </c>
      <c r="E118" s="383" t="s">
        <v>271</v>
      </c>
      <c r="F118" t="s">
        <v>384</v>
      </c>
      <c r="G118" s="383" t="s">
        <v>385</v>
      </c>
      <c r="H118" s="385" t="str">
        <f t="shared" si="264"/>
        <v/>
      </c>
      <c r="I118" s="386" t="str">
        <f t="shared" si="265"/>
        <v/>
      </c>
      <c r="J118" s="386" t="str">
        <f t="shared" si="266"/>
        <v/>
      </c>
      <c r="K118" s="386">
        <f t="shared" si="267"/>
        <v>0</v>
      </c>
      <c r="L118" s="386" t="str">
        <f t="shared" si="268"/>
        <v/>
      </c>
      <c r="M118" s="387" t="str">
        <f t="shared" si="269"/>
        <v/>
      </c>
      <c r="N118" s="385"/>
      <c r="O118" s="386"/>
      <c r="P118" s="386"/>
      <c r="Q118" s="386"/>
      <c r="R118" s="386"/>
      <c r="S118" s="387"/>
      <c r="T118" s="385">
        <f t="shared" si="270"/>
        <v>0</v>
      </c>
      <c r="U118" s="386">
        <f t="shared" si="271"/>
        <v>0</v>
      </c>
      <c r="V118" s="386">
        <f t="shared" si="272"/>
        <v>10</v>
      </c>
      <c r="W118" s="386">
        <f t="shared" si="273"/>
        <v>10</v>
      </c>
      <c r="X118" s="386">
        <f t="shared" si="274"/>
        <v>0</v>
      </c>
      <c r="Y118" s="387">
        <f t="shared" si="275"/>
        <v>0</v>
      </c>
      <c r="Z118" s="3" t="str">
        <f t="shared" si="276"/>
        <v/>
      </c>
      <c r="AA118" s="4" t="str">
        <f t="shared" si="277"/>
        <v/>
      </c>
      <c r="AB118" s="386" t="str">
        <f t="shared" si="278"/>
        <v/>
      </c>
      <c r="AC118" s="386">
        <f t="shared" si="279"/>
        <v>0</v>
      </c>
      <c r="AD118" s="386" t="str">
        <f t="shared" si="280"/>
        <v/>
      </c>
      <c r="AE118" s="387" t="str">
        <f t="shared" si="281"/>
        <v/>
      </c>
      <c r="AF118" s="682" t="str">
        <f t="shared" si="282"/>
        <v/>
      </c>
      <c r="AG118" s="4" t="str">
        <f t="shared" si="283"/>
        <v/>
      </c>
      <c r="AH118" s="386" t="str">
        <f t="shared" si="284"/>
        <v/>
      </c>
      <c r="AI118" s="386">
        <f t="shared" si="359"/>
        <v>0</v>
      </c>
      <c r="AJ118" s="386" t="str">
        <f t="shared" si="286"/>
        <v/>
      </c>
      <c r="AK118" s="387" t="str">
        <f t="shared" si="287"/>
        <v/>
      </c>
      <c r="AL118" s="385"/>
      <c r="AM118" s="386"/>
      <c r="AN118" s="386"/>
      <c r="AO118" s="386"/>
      <c r="AP118" s="386"/>
      <c r="AQ118" s="387"/>
      <c r="AR118" s="682" t="str">
        <f t="shared" si="288"/>
        <v/>
      </c>
      <c r="AS118" s="4" t="str">
        <f t="shared" si="289"/>
        <v/>
      </c>
      <c r="AT118" s="386" t="str">
        <f t="shared" si="290"/>
        <v/>
      </c>
      <c r="AU118" s="386">
        <f t="shared" si="360"/>
        <v>0</v>
      </c>
      <c r="AV118" s="386" t="str">
        <f t="shared" si="292"/>
        <v/>
      </c>
      <c r="AW118" s="387" t="str">
        <f t="shared" si="293"/>
        <v/>
      </c>
      <c r="AX118" s="682">
        <f t="shared" si="294"/>
        <v>2785</v>
      </c>
      <c r="AY118" s="4">
        <f t="shared" si="295"/>
        <v>319</v>
      </c>
      <c r="AZ118" s="386">
        <f t="shared" si="296"/>
        <v>319</v>
      </c>
      <c r="BA118" s="386">
        <f t="shared" si="361"/>
        <v>638</v>
      </c>
      <c r="BB118" s="386"/>
      <c r="BC118" s="387">
        <f>IFERROR(VLOOKUP(G118,EGAY_PANGASINAN,15,FALSE),"")</f>
        <v>5396080</v>
      </c>
      <c r="BD118" s="682" t="str">
        <f t="shared" si="300"/>
        <v/>
      </c>
      <c r="BE118" s="4" t="str">
        <f t="shared" si="301"/>
        <v/>
      </c>
      <c r="BF118" s="386" t="str">
        <f t="shared" si="302"/>
        <v/>
      </c>
      <c r="BG118" s="386">
        <f t="shared" si="362"/>
        <v>0</v>
      </c>
      <c r="BH118" s="386" t="str">
        <f t="shared" si="303"/>
        <v/>
      </c>
      <c r="BI118" s="387" t="str">
        <f t="shared" si="304"/>
        <v/>
      </c>
      <c r="BJ118" s="682" t="str">
        <f t="shared" si="305"/>
        <v/>
      </c>
      <c r="BK118" s="4" t="str">
        <f t="shared" si="306"/>
        <v/>
      </c>
      <c r="BL118" s="386" t="str">
        <f t="shared" si="307"/>
        <v/>
      </c>
      <c r="BM118" s="386">
        <f t="shared" si="363"/>
        <v>0</v>
      </c>
      <c r="BN118" s="386" t="str">
        <f t="shared" si="308"/>
        <v/>
      </c>
      <c r="BO118" s="387" t="str">
        <f t="shared" si="309"/>
        <v/>
      </c>
      <c r="BP118" s="682">
        <f t="shared" si="310"/>
        <v>0</v>
      </c>
      <c r="BQ118" s="4">
        <f t="shared" si="311"/>
        <v>204</v>
      </c>
      <c r="BR118" s="386">
        <f t="shared" si="312"/>
        <v>1490</v>
      </c>
      <c r="BS118" s="386">
        <f t="shared" si="364"/>
        <v>1694</v>
      </c>
      <c r="BT118" s="386">
        <f t="shared" si="314"/>
        <v>1489.2</v>
      </c>
      <c r="BU118" s="387">
        <f t="shared" si="315"/>
        <v>19359600</v>
      </c>
      <c r="BV118" s="682" t="str">
        <f t="shared" si="316"/>
        <v/>
      </c>
      <c r="BW118" s="4" t="str">
        <f t="shared" si="317"/>
        <v/>
      </c>
      <c r="BX118" s="386" t="str">
        <f t="shared" si="318"/>
        <v/>
      </c>
      <c r="BY118" s="386">
        <f t="shared" si="370"/>
        <v>0</v>
      </c>
      <c r="BZ118" s="386" t="str">
        <f t="shared" si="319"/>
        <v/>
      </c>
      <c r="CA118" s="387" t="str">
        <f t="shared" si="320"/>
        <v/>
      </c>
      <c r="CB118" s="682" t="str">
        <f t="shared" si="371"/>
        <v/>
      </c>
      <c r="CC118" s="4" t="str">
        <f t="shared" si="322"/>
        <v/>
      </c>
      <c r="CD118" s="386" t="str">
        <f t="shared" si="372"/>
        <v/>
      </c>
      <c r="CE118" s="386">
        <f t="shared" si="259"/>
        <v>0</v>
      </c>
      <c r="CF118" s="386" t="str">
        <f t="shared" si="373"/>
        <v/>
      </c>
      <c r="CG118" s="387" t="str">
        <f t="shared" si="374"/>
        <v/>
      </c>
      <c r="CH118" s="682" t="str">
        <f t="shared" si="326"/>
        <v/>
      </c>
      <c r="CI118" s="4" t="str">
        <f t="shared" si="327"/>
        <v/>
      </c>
      <c r="CJ118" s="386" t="str">
        <f t="shared" si="328"/>
        <v/>
      </c>
      <c r="CK118" s="386">
        <f t="shared" si="365"/>
        <v>0</v>
      </c>
      <c r="CL118" s="386" t="str">
        <f t="shared" si="330"/>
        <v/>
      </c>
      <c r="CM118" s="387" t="str">
        <f t="shared" si="331"/>
        <v/>
      </c>
      <c r="CN118" s="682">
        <f t="shared" si="332"/>
        <v>0</v>
      </c>
      <c r="CO118" s="4">
        <f t="shared" si="333"/>
        <v>250</v>
      </c>
      <c r="CP118" s="386">
        <f t="shared" si="334"/>
        <v>784.5</v>
      </c>
      <c r="CQ118" s="386">
        <f t="shared" si="366"/>
        <v>1034.5</v>
      </c>
      <c r="CR118" s="386">
        <f t="shared" si="336"/>
        <v>1200.2837500000001</v>
      </c>
      <c r="CS118" s="387">
        <f t="shared" si="337"/>
        <v>20860931.574999999</v>
      </c>
      <c r="CT118" s="682" t="str">
        <f t="shared" si="338"/>
        <v/>
      </c>
      <c r="CU118" s="4" t="str">
        <f t="shared" si="339"/>
        <v/>
      </c>
      <c r="CV118" s="386" t="str">
        <f t="shared" si="340"/>
        <v/>
      </c>
      <c r="CW118" s="386">
        <f t="shared" si="260"/>
        <v>0</v>
      </c>
      <c r="CX118" s="386" t="str">
        <f t="shared" si="341"/>
        <v/>
      </c>
      <c r="CY118" s="387" t="str">
        <f t="shared" si="342"/>
        <v/>
      </c>
      <c r="CZ118" s="682" t="str">
        <f t="shared" si="343"/>
        <v/>
      </c>
      <c r="DA118" s="4" t="str">
        <f t="shared" si="344"/>
        <v/>
      </c>
      <c r="DB118" s="386" t="str">
        <f t="shared" si="345"/>
        <v/>
      </c>
      <c r="DC118" s="386">
        <f t="shared" si="261"/>
        <v>0</v>
      </c>
      <c r="DD118" s="386" t="str">
        <f t="shared" si="346"/>
        <v/>
      </c>
      <c r="DE118" s="387" t="str">
        <f t="shared" si="347"/>
        <v/>
      </c>
      <c r="DF118" s="682">
        <f t="shared" si="348"/>
        <v>0</v>
      </c>
      <c r="DG118" s="4">
        <f t="shared" si="349"/>
        <v>550</v>
      </c>
      <c r="DH118" s="386">
        <f t="shared" si="350"/>
        <v>525.5</v>
      </c>
      <c r="DI118" s="386">
        <f t="shared" si="367"/>
        <v>1075.5</v>
      </c>
      <c r="DJ118" s="386">
        <f t="shared" si="352"/>
        <v>2777.7554999999998</v>
      </c>
      <c r="DK118" s="387">
        <f t="shared" si="353"/>
        <v>49194049.905000001</v>
      </c>
      <c r="DL118" s="682"/>
      <c r="DM118" s="4" t="str">
        <f t="shared" si="354"/>
        <v/>
      </c>
      <c r="DN118" s="386" t="str">
        <f t="shared" si="355"/>
        <v/>
      </c>
      <c r="DO118" s="386">
        <f t="shared" si="368"/>
        <v>0</v>
      </c>
      <c r="DP118" s="386" t="str">
        <f t="shared" si="357"/>
        <v/>
      </c>
      <c r="DQ118" s="387" t="str">
        <f t="shared" si="358"/>
        <v/>
      </c>
    </row>
    <row r="119" spans="1:121" x14ac:dyDescent="0.25">
      <c r="A119" t="s">
        <v>386</v>
      </c>
      <c r="B119" t="s">
        <v>33</v>
      </c>
      <c r="C119" s="383" t="s">
        <v>34</v>
      </c>
      <c r="D119" t="s">
        <v>270</v>
      </c>
      <c r="E119" s="383" t="s">
        <v>271</v>
      </c>
      <c r="F119" t="s">
        <v>387</v>
      </c>
      <c r="G119" s="383" t="s">
        <v>186</v>
      </c>
      <c r="H119" s="385">
        <f t="shared" si="264"/>
        <v>80</v>
      </c>
      <c r="I119" s="386">
        <f t="shared" si="265"/>
        <v>0</v>
      </c>
      <c r="J119" s="386">
        <f t="shared" si="266"/>
        <v>86.55</v>
      </c>
      <c r="K119" s="386">
        <f t="shared" si="267"/>
        <v>86.55</v>
      </c>
      <c r="L119" s="386">
        <f t="shared" si="268"/>
        <v>0</v>
      </c>
      <c r="M119" s="387">
        <f t="shared" si="269"/>
        <v>0</v>
      </c>
      <c r="N119" s="385"/>
      <c r="O119" s="386"/>
      <c r="P119" s="386"/>
      <c r="Q119" s="386"/>
      <c r="R119" s="386"/>
      <c r="S119" s="387"/>
      <c r="T119" s="385">
        <f t="shared" si="270"/>
        <v>10</v>
      </c>
      <c r="U119" s="386">
        <f t="shared" si="271"/>
        <v>0</v>
      </c>
      <c r="V119" s="386">
        <f t="shared" si="272"/>
        <v>9.6</v>
      </c>
      <c r="W119" s="386">
        <f t="shared" si="273"/>
        <v>9.6</v>
      </c>
      <c r="X119" s="386">
        <f t="shared" si="274"/>
        <v>7.1999999999999993</v>
      </c>
      <c r="Y119" s="387">
        <f t="shared" si="275"/>
        <v>107999.99999999999</v>
      </c>
      <c r="Z119" s="3">
        <f t="shared" si="276"/>
        <v>0</v>
      </c>
      <c r="AA119" s="4">
        <f t="shared" si="277"/>
        <v>0</v>
      </c>
      <c r="AB119" s="386">
        <f t="shared" si="278"/>
        <v>5</v>
      </c>
      <c r="AC119" s="386">
        <f t="shared" si="279"/>
        <v>5</v>
      </c>
      <c r="AD119" s="386" t="str">
        <f t="shared" si="280"/>
        <v/>
      </c>
      <c r="AE119" s="387">
        <f t="shared" si="281"/>
        <v>59804.999999999993</v>
      </c>
      <c r="AF119" s="682" t="str">
        <f t="shared" si="282"/>
        <v/>
      </c>
      <c r="AG119" s="4" t="str">
        <f t="shared" si="283"/>
        <v/>
      </c>
      <c r="AH119" s="386" t="str">
        <f t="shared" si="284"/>
        <v/>
      </c>
      <c r="AI119" s="386">
        <f t="shared" si="359"/>
        <v>0</v>
      </c>
      <c r="AJ119" s="386" t="str">
        <f t="shared" si="286"/>
        <v/>
      </c>
      <c r="AK119" s="387" t="str">
        <f t="shared" si="287"/>
        <v/>
      </c>
      <c r="AL119" s="385"/>
      <c r="AM119" s="386"/>
      <c r="AN119" s="386"/>
      <c r="AO119" s="386"/>
      <c r="AP119" s="386"/>
      <c r="AQ119" s="387"/>
      <c r="AR119" s="682">
        <f t="shared" si="288"/>
        <v>264</v>
      </c>
      <c r="AS119" s="4">
        <f t="shared" si="289"/>
        <v>195</v>
      </c>
      <c r="AT119" s="386">
        <f t="shared" si="290"/>
        <v>0</v>
      </c>
      <c r="AU119" s="386">
        <f t="shared" si="360"/>
        <v>195</v>
      </c>
      <c r="AV119" s="386">
        <f t="shared" si="292"/>
        <v>512.05000000000007</v>
      </c>
      <c r="AW119" s="387">
        <f t="shared" si="293"/>
        <v>0</v>
      </c>
      <c r="AX119" s="682" t="str">
        <f t="shared" si="294"/>
        <v/>
      </c>
      <c r="AY119" s="4" t="str">
        <f t="shared" si="295"/>
        <v/>
      </c>
      <c r="AZ119" s="386" t="str">
        <f t="shared" si="296"/>
        <v/>
      </c>
      <c r="BA119" s="386">
        <f t="shared" si="361"/>
        <v>0</v>
      </c>
      <c r="BB119" s="386" t="str">
        <f t="shared" ref="BB119:BB127" si="375">IFERROR(VLOOKUP(G119,EGAY_PANGASINAN,15,FALSE),"")</f>
        <v/>
      </c>
      <c r="BC119" s="387" t="str">
        <f t="shared" ref="BC119:BC127" si="376">IFERROR(VLOOKUP(G119,EGAY_PANGASINAN,17,FALSE),"")</f>
        <v/>
      </c>
      <c r="BD119" s="682" t="str">
        <f t="shared" si="300"/>
        <v/>
      </c>
      <c r="BE119" s="4" t="str">
        <f t="shared" si="301"/>
        <v/>
      </c>
      <c r="BF119" s="386" t="str">
        <f t="shared" si="302"/>
        <v/>
      </c>
      <c r="BG119" s="386">
        <f t="shared" si="362"/>
        <v>0</v>
      </c>
      <c r="BH119" s="386" t="str">
        <f t="shared" si="303"/>
        <v/>
      </c>
      <c r="BI119" s="387" t="str">
        <f t="shared" si="304"/>
        <v/>
      </c>
      <c r="BJ119" s="682" t="str">
        <f t="shared" si="305"/>
        <v/>
      </c>
      <c r="BK119" s="4" t="str">
        <f t="shared" si="306"/>
        <v/>
      </c>
      <c r="BL119" s="386" t="str">
        <f t="shared" si="307"/>
        <v/>
      </c>
      <c r="BM119" s="386">
        <f t="shared" si="363"/>
        <v>0</v>
      </c>
      <c r="BN119" s="386" t="str">
        <f t="shared" si="308"/>
        <v/>
      </c>
      <c r="BO119" s="387" t="str">
        <f t="shared" si="309"/>
        <v/>
      </c>
      <c r="BP119" s="682">
        <f t="shared" si="310"/>
        <v>0</v>
      </c>
      <c r="BQ119" s="4">
        <f t="shared" si="311"/>
        <v>299</v>
      </c>
      <c r="BR119" s="386">
        <f t="shared" si="312"/>
        <v>130</v>
      </c>
      <c r="BS119" s="386">
        <f t="shared" si="364"/>
        <v>429</v>
      </c>
      <c r="BT119" s="386">
        <f t="shared" si="314"/>
        <v>549.69000000000005</v>
      </c>
      <c r="BU119" s="387">
        <f t="shared" si="315"/>
        <v>7145970</v>
      </c>
      <c r="BV119" s="682" t="str">
        <f t="shared" si="316"/>
        <v/>
      </c>
      <c r="BW119" s="4" t="str">
        <f t="shared" si="317"/>
        <v/>
      </c>
      <c r="BX119" s="386" t="str">
        <f t="shared" si="318"/>
        <v/>
      </c>
      <c r="BY119" s="386">
        <f t="shared" si="370"/>
        <v>0</v>
      </c>
      <c r="BZ119" s="386" t="str">
        <f t="shared" si="319"/>
        <v/>
      </c>
      <c r="CA119" s="387" t="str">
        <f t="shared" si="320"/>
        <v/>
      </c>
      <c r="CB119" s="682" t="str">
        <f t="shared" si="371"/>
        <v/>
      </c>
      <c r="CC119" s="4" t="str">
        <f t="shared" si="322"/>
        <v/>
      </c>
      <c r="CD119" s="386" t="str">
        <f t="shared" si="372"/>
        <v/>
      </c>
      <c r="CE119" s="386">
        <f t="shared" si="259"/>
        <v>0</v>
      </c>
      <c r="CF119" s="386" t="str">
        <f t="shared" si="373"/>
        <v/>
      </c>
      <c r="CG119" s="387" t="str">
        <f t="shared" si="374"/>
        <v/>
      </c>
      <c r="CH119" s="682" t="str">
        <f t="shared" si="326"/>
        <v/>
      </c>
      <c r="CI119" s="4" t="str">
        <f t="shared" si="327"/>
        <v/>
      </c>
      <c r="CJ119" s="386" t="str">
        <f t="shared" si="328"/>
        <v/>
      </c>
      <c r="CK119" s="386">
        <f t="shared" si="365"/>
        <v>0</v>
      </c>
      <c r="CL119" s="386" t="str">
        <f t="shared" si="330"/>
        <v/>
      </c>
      <c r="CM119" s="387" t="str">
        <f t="shared" si="331"/>
        <v/>
      </c>
      <c r="CN119" s="682">
        <f t="shared" si="332"/>
        <v>0</v>
      </c>
      <c r="CO119" s="4">
        <f t="shared" si="333"/>
        <v>0</v>
      </c>
      <c r="CP119" s="386">
        <f t="shared" si="334"/>
        <v>147.5</v>
      </c>
      <c r="CQ119" s="386">
        <f t="shared" si="366"/>
        <v>147.5</v>
      </c>
      <c r="CR119" s="386">
        <f t="shared" si="336"/>
        <v>5.8557500000000005</v>
      </c>
      <c r="CS119" s="387">
        <f t="shared" si="337"/>
        <v>101772.935</v>
      </c>
      <c r="CT119" s="682" t="str">
        <f t="shared" si="338"/>
        <v/>
      </c>
      <c r="CU119" s="4" t="str">
        <f t="shared" si="339"/>
        <v/>
      </c>
      <c r="CV119" s="386" t="str">
        <f t="shared" si="340"/>
        <v/>
      </c>
      <c r="CW119" s="386">
        <f t="shared" si="260"/>
        <v>0</v>
      </c>
      <c r="CX119" s="386" t="str">
        <f t="shared" si="341"/>
        <v/>
      </c>
      <c r="CY119" s="387" t="str">
        <f t="shared" si="342"/>
        <v/>
      </c>
      <c r="CZ119" s="682" t="str">
        <f t="shared" si="343"/>
        <v/>
      </c>
      <c r="DA119" s="4" t="str">
        <f t="shared" si="344"/>
        <v/>
      </c>
      <c r="DB119" s="386" t="str">
        <f t="shared" si="345"/>
        <v/>
      </c>
      <c r="DC119" s="386">
        <f t="shared" si="261"/>
        <v>0</v>
      </c>
      <c r="DD119" s="386" t="str">
        <f t="shared" si="346"/>
        <v/>
      </c>
      <c r="DE119" s="387" t="str">
        <f t="shared" si="347"/>
        <v/>
      </c>
      <c r="DF119" s="682">
        <f t="shared" si="348"/>
        <v>0</v>
      </c>
      <c r="DG119" s="4">
        <f t="shared" si="349"/>
        <v>0</v>
      </c>
      <c r="DH119" s="386">
        <f t="shared" si="350"/>
        <v>837.1</v>
      </c>
      <c r="DI119" s="386">
        <f t="shared" si="367"/>
        <v>837.1</v>
      </c>
      <c r="DJ119" s="386">
        <f t="shared" si="352"/>
        <v>385.90310000000011</v>
      </c>
      <c r="DK119" s="387">
        <f t="shared" si="353"/>
        <v>6834343.9010000015</v>
      </c>
      <c r="DL119" s="682"/>
      <c r="DM119" s="4" t="str">
        <f t="shared" si="354"/>
        <v/>
      </c>
      <c r="DN119" s="386" t="str">
        <f t="shared" si="355"/>
        <v/>
      </c>
      <c r="DO119" s="386">
        <f t="shared" si="368"/>
        <v>0</v>
      </c>
      <c r="DP119" s="386" t="str">
        <f t="shared" si="357"/>
        <v/>
      </c>
      <c r="DQ119" s="387" t="str">
        <f t="shared" si="358"/>
        <v/>
      </c>
    </row>
    <row r="120" spans="1:121" x14ac:dyDescent="0.25">
      <c r="A120" t="s">
        <v>388</v>
      </c>
      <c r="B120" t="s">
        <v>33</v>
      </c>
      <c r="C120" s="383" t="s">
        <v>34</v>
      </c>
      <c r="D120" t="s">
        <v>270</v>
      </c>
      <c r="E120" s="383" t="s">
        <v>271</v>
      </c>
      <c r="F120" t="s">
        <v>389</v>
      </c>
      <c r="G120" s="383" t="s">
        <v>259</v>
      </c>
      <c r="H120" s="385">
        <f t="shared" si="264"/>
        <v>70</v>
      </c>
      <c r="I120" s="386">
        <f t="shared" si="265"/>
        <v>0</v>
      </c>
      <c r="J120" s="386">
        <f t="shared" si="266"/>
        <v>76.5</v>
      </c>
      <c r="K120" s="386">
        <f t="shared" si="267"/>
        <v>76.5</v>
      </c>
      <c r="L120" s="386">
        <f t="shared" si="268"/>
        <v>57.375</v>
      </c>
      <c r="M120" s="387">
        <f t="shared" si="269"/>
        <v>946687.5</v>
      </c>
      <c r="N120" s="385"/>
      <c r="O120" s="386"/>
      <c r="P120" s="386"/>
      <c r="Q120" s="386"/>
      <c r="R120" s="386"/>
      <c r="S120" s="387"/>
      <c r="T120" s="385" t="str">
        <f t="shared" si="270"/>
        <v/>
      </c>
      <c r="U120" s="386" t="str">
        <f t="shared" si="271"/>
        <v/>
      </c>
      <c r="V120" s="386" t="str">
        <f t="shared" si="272"/>
        <v/>
      </c>
      <c r="W120" s="386">
        <f t="shared" si="273"/>
        <v>0</v>
      </c>
      <c r="X120" s="386" t="str">
        <f t="shared" si="274"/>
        <v/>
      </c>
      <c r="Y120" s="387" t="str">
        <f t="shared" si="275"/>
        <v/>
      </c>
      <c r="Z120" s="3" t="str">
        <f t="shared" si="276"/>
        <v/>
      </c>
      <c r="AA120" s="4" t="str">
        <f t="shared" si="277"/>
        <v/>
      </c>
      <c r="AB120" s="386" t="str">
        <f t="shared" si="278"/>
        <v/>
      </c>
      <c r="AC120" s="386">
        <f t="shared" si="279"/>
        <v>0</v>
      </c>
      <c r="AD120" s="386" t="str">
        <f t="shared" si="280"/>
        <v/>
      </c>
      <c r="AE120" s="387" t="str">
        <f t="shared" si="281"/>
        <v/>
      </c>
      <c r="AF120" s="682">
        <f t="shared" si="282"/>
        <v>0</v>
      </c>
      <c r="AG120" s="4">
        <f t="shared" si="283"/>
        <v>0</v>
      </c>
      <c r="AH120" s="386">
        <f t="shared" si="284"/>
        <v>700</v>
      </c>
      <c r="AI120" s="386">
        <f t="shared" si="359"/>
        <v>700</v>
      </c>
      <c r="AJ120" s="386">
        <f t="shared" si="286"/>
        <v>548.1</v>
      </c>
      <c r="AK120" s="387">
        <f t="shared" si="287"/>
        <v>10962000</v>
      </c>
      <c r="AL120" s="385"/>
      <c r="AM120" s="386"/>
      <c r="AN120" s="386"/>
      <c r="AO120" s="386"/>
      <c r="AP120" s="386"/>
      <c r="AQ120" s="387"/>
      <c r="AR120" s="682" t="str">
        <f t="shared" si="288"/>
        <v/>
      </c>
      <c r="AS120" s="4" t="str">
        <f t="shared" si="289"/>
        <v/>
      </c>
      <c r="AT120" s="386" t="str">
        <f t="shared" si="290"/>
        <v/>
      </c>
      <c r="AU120" s="386">
        <f t="shared" si="360"/>
        <v>0</v>
      </c>
      <c r="AV120" s="386" t="str">
        <f t="shared" si="292"/>
        <v/>
      </c>
      <c r="AW120" s="387" t="str">
        <f t="shared" si="293"/>
        <v/>
      </c>
      <c r="AX120" s="682" t="str">
        <f t="shared" si="294"/>
        <v/>
      </c>
      <c r="AY120" s="4" t="str">
        <f t="shared" si="295"/>
        <v/>
      </c>
      <c r="AZ120" s="386" t="str">
        <f t="shared" si="296"/>
        <v/>
      </c>
      <c r="BA120" s="386">
        <f t="shared" si="361"/>
        <v>0</v>
      </c>
      <c r="BB120" s="386" t="str">
        <f t="shared" si="375"/>
        <v/>
      </c>
      <c r="BC120" s="387" t="str">
        <f t="shared" si="376"/>
        <v/>
      </c>
      <c r="BD120" s="682" t="str">
        <f t="shared" si="300"/>
        <v/>
      </c>
      <c r="BE120" s="4" t="str">
        <f t="shared" si="301"/>
        <v/>
      </c>
      <c r="BF120" s="386" t="str">
        <f t="shared" si="302"/>
        <v/>
      </c>
      <c r="BG120" s="386">
        <f t="shared" si="362"/>
        <v>0</v>
      </c>
      <c r="BH120" s="386" t="str">
        <f t="shared" si="303"/>
        <v/>
      </c>
      <c r="BI120" s="387" t="str">
        <f t="shared" si="304"/>
        <v/>
      </c>
      <c r="BJ120" s="682" t="str">
        <f t="shared" si="305"/>
        <v/>
      </c>
      <c r="BK120" s="4" t="str">
        <f t="shared" si="306"/>
        <v/>
      </c>
      <c r="BL120" s="386" t="str">
        <f t="shared" si="307"/>
        <v/>
      </c>
      <c r="BM120" s="386">
        <f t="shared" si="363"/>
        <v>0</v>
      </c>
      <c r="BN120" s="386" t="str">
        <f t="shared" si="308"/>
        <v/>
      </c>
      <c r="BO120" s="387" t="str">
        <f t="shared" si="309"/>
        <v/>
      </c>
      <c r="BP120" s="682">
        <f t="shared" si="310"/>
        <v>0</v>
      </c>
      <c r="BQ120" s="4">
        <f t="shared" si="311"/>
        <v>0</v>
      </c>
      <c r="BR120" s="386">
        <f t="shared" si="312"/>
        <v>452</v>
      </c>
      <c r="BS120" s="386">
        <f t="shared" si="364"/>
        <v>452</v>
      </c>
      <c r="BT120" s="386">
        <f t="shared" si="314"/>
        <v>282.072</v>
      </c>
      <c r="BU120" s="387">
        <f t="shared" si="315"/>
        <v>3666936</v>
      </c>
      <c r="BV120" s="682" t="str">
        <f t="shared" si="316"/>
        <v/>
      </c>
      <c r="BW120" s="4" t="str">
        <f t="shared" si="317"/>
        <v/>
      </c>
      <c r="BX120" s="386" t="str">
        <f t="shared" si="318"/>
        <v/>
      </c>
      <c r="BY120" s="386">
        <f t="shared" si="370"/>
        <v>0</v>
      </c>
      <c r="BZ120" s="386" t="str">
        <f t="shared" si="319"/>
        <v/>
      </c>
      <c r="CA120" s="387" t="str">
        <f t="shared" si="320"/>
        <v/>
      </c>
      <c r="CB120" s="682" t="str">
        <f t="shared" si="371"/>
        <v/>
      </c>
      <c r="CC120" s="4" t="str">
        <f t="shared" si="322"/>
        <v/>
      </c>
      <c r="CD120" s="386" t="str">
        <f t="shared" si="372"/>
        <v/>
      </c>
      <c r="CE120" s="386">
        <f t="shared" si="259"/>
        <v>0</v>
      </c>
      <c r="CF120" s="386" t="str">
        <f t="shared" si="373"/>
        <v/>
      </c>
      <c r="CG120" s="387" t="str">
        <f t="shared" si="374"/>
        <v/>
      </c>
      <c r="CH120" s="682" t="str">
        <f t="shared" si="326"/>
        <v/>
      </c>
      <c r="CI120" s="4" t="str">
        <f t="shared" si="327"/>
        <v/>
      </c>
      <c r="CJ120" s="386" t="str">
        <f t="shared" si="328"/>
        <v/>
      </c>
      <c r="CK120" s="386">
        <f t="shared" si="365"/>
        <v>0</v>
      </c>
      <c r="CL120" s="386" t="str">
        <f t="shared" si="330"/>
        <v/>
      </c>
      <c r="CM120" s="387" t="str">
        <f t="shared" si="331"/>
        <v/>
      </c>
      <c r="CN120" s="682" t="str">
        <f t="shared" si="332"/>
        <v/>
      </c>
      <c r="CO120" s="4" t="str">
        <f t="shared" si="333"/>
        <v/>
      </c>
      <c r="CP120" s="386" t="str">
        <f t="shared" si="334"/>
        <v/>
      </c>
      <c r="CQ120" s="386">
        <f t="shared" si="366"/>
        <v>0</v>
      </c>
      <c r="CR120" s="386" t="str">
        <f t="shared" si="336"/>
        <v/>
      </c>
      <c r="CS120" s="387" t="str">
        <f t="shared" si="337"/>
        <v/>
      </c>
      <c r="CT120" s="682" t="str">
        <f t="shared" si="338"/>
        <v/>
      </c>
      <c r="CU120" s="4" t="str">
        <f t="shared" si="339"/>
        <v/>
      </c>
      <c r="CV120" s="386" t="str">
        <f t="shared" si="340"/>
        <v/>
      </c>
      <c r="CW120" s="386">
        <f t="shared" si="260"/>
        <v>0</v>
      </c>
      <c r="CX120" s="386" t="str">
        <f t="shared" si="341"/>
        <v/>
      </c>
      <c r="CY120" s="387" t="str">
        <f t="shared" si="342"/>
        <v/>
      </c>
      <c r="CZ120" s="682" t="str">
        <f t="shared" si="343"/>
        <v/>
      </c>
      <c r="DA120" s="4" t="str">
        <f t="shared" si="344"/>
        <v/>
      </c>
      <c r="DB120" s="386" t="str">
        <f t="shared" si="345"/>
        <v/>
      </c>
      <c r="DC120" s="386">
        <f t="shared" si="261"/>
        <v>0</v>
      </c>
      <c r="DD120" s="386" t="str">
        <f t="shared" si="346"/>
        <v/>
      </c>
      <c r="DE120" s="387" t="str">
        <f t="shared" si="347"/>
        <v/>
      </c>
      <c r="DF120" s="682">
        <f t="shared" si="348"/>
        <v>0</v>
      </c>
      <c r="DG120" s="4">
        <f t="shared" si="349"/>
        <v>0</v>
      </c>
      <c r="DH120" s="386">
        <f t="shared" si="350"/>
        <v>467</v>
      </c>
      <c r="DI120" s="386">
        <f t="shared" si="367"/>
        <v>467</v>
      </c>
      <c r="DJ120" s="386">
        <f t="shared" si="352"/>
        <v>215.28700000000003</v>
      </c>
      <c r="DK120" s="387">
        <f t="shared" si="353"/>
        <v>3812732.7700000009</v>
      </c>
      <c r="DL120" s="682"/>
      <c r="DM120" s="4" t="str">
        <f t="shared" si="354"/>
        <v/>
      </c>
      <c r="DN120" s="386" t="str">
        <f t="shared" si="355"/>
        <v/>
      </c>
      <c r="DO120" s="386">
        <f t="shared" si="368"/>
        <v>0</v>
      </c>
      <c r="DP120" s="386" t="str">
        <f t="shared" si="357"/>
        <v/>
      </c>
      <c r="DQ120" s="387" t="str">
        <f t="shared" si="358"/>
        <v/>
      </c>
    </row>
    <row r="121" spans="1:121" x14ac:dyDescent="0.25">
      <c r="A121" t="s">
        <v>390</v>
      </c>
      <c r="B121" t="s">
        <v>33</v>
      </c>
      <c r="C121" s="383" t="s">
        <v>34</v>
      </c>
      <c r="D121" t="s">
        <v>270</v>
      </c>
      <c r="E121" s="383" t="s">
        <v>271</v>
      </c>
      <c r="F121" t="s">
        <v>391</v>
      </c>
      <c r="G121" s="383" t="s">
        <v>392</v>
      </c>
      <c r="H121" s="385">
        <f t="shared" si="264"/>
        <v>20</v>
      </c>
      <c r="I121" s="386">
        <f t="shared" si="265"/>
        <v>0</v>
      </c>
      <c r="J121" s="386">
        <f t="shared" si="266"/>
        <v>23.85</v>
      </c>
      <c r="K121" s="386">
        <f t="shared" si="267"/>
        <v>23.85</v>
      </c>
      <c r="L121" s="386">
        <f t="shared" si="268"/>
        <v>17.887499999999999</v>
      </c>
      <c r="M121" s="387">
        <f t="shared" si="269"/>
        <v>295143.75</v>
      </c>
      <c r="N121" s="385"/>
      <c r="O121" s="386"/>
      <c r="P121" s="386"/>
      <c r="Q121" s="386"/>
      <c r="R121" s="386"/>
      <c r="S121" s="387"/>
      <c r="T121" s="385" t="str">
        <f t="shared" si="270"/>
        <v/>
      </c>
      <c r="U121" s="386" t="str">
        <f t="shared" si="271"/>
        <v/>
      </c>
      <c r="V121" s="386" t="str">
        <f t="shared" si="272"/>
        <v/>
      </c>
      <c r="W121" s="386">
        <f t="shared" si="273"/>
        <v>0</v>
      </c>
      <c r="X121" s="386" t="str">
        <f t="shared" si="274"/>
        <v/>
      </c>
      <c r="Y121" s="387" t="str">
        <f t="shared" si="275"/>
        <v/>
      </c>
      <c r="Z121" s="3">
        <f t="shared" si="276"/>
        <v>0</v>
      </c>
      <c r="AA121" s="4">
        <f t="shared" si="277"/>
        <v>0</v>
      </c>
      <c r="AB121" s="386">
        <f t="shared" si="278"/>
        <v>150</v>
      </c>
      <c r="AC121" s="386">
        <f t="shared" si="279"/>
        <v>150</v>
      </c>
      <c r="AD121" s="386" t="str">
        <f t="shared" si="280"/>
        <v/>
      </c>
      <c r="AE121" s="387">
        <f t="shared" si="281"/>
        <v>1196100.0000000002</v>
      </c>
      <c r="AF121" s="682">
        <f t="shared" si="282"/>
        <v>0</v>
      </c>
      <c r="AG121" s="4">
        <f t="shared" si="283"/>
        <v>0</v>
      </c>
      <c r="AH121" s="386">
        <f t="shared" si="284"/>
        <v>997.1</v>
      </c>
      <c r="AI121" s="386">
        <f t="shared" si="359"/>
        <v>997.1</v>
      </c>
      <c r="AJ121" s="386">
        <f t="shared" si="286"/>
        <v>1080.4964999999997</v>
      </c>
      <c r="AK121" s="387">
        <f t="shared" si="287"/>
        <v>21609929.999999996</v>
      </c>
      <c r="AL121" s="385"/>
      <c r="AM121" s="386"/>
      <c r="AN121" s="386"/>
      <c r="AO121" s="386"/>
      <c r="AP121" s="386"/>
      <c r="AQ121" s="387"/>
      <c r="AR121" s="682" t="str">
        <f t="shared" si="288"/>
        <v/>
      </c>
      <c r="AS121" s="4" t="str">
        <f t="shared" si="289"/>
        <v/>
      </c>
      <c r="AT121" s="386" t="str">
        <f t="shared" si="290"/>
        <v/>
      </c>
      <c r="AU121" s="386">
        <f t="shared" si="360"/>
        <v>0</v>
      </c>
      <c r="AV121" s="386" t="str">
        <f t="shared" si="292"/>
        <v/>
      </c>
      <c r="AW121" s="387" t="str">
        <f t="shared" si="293"/>
        <v/>
      </c>
      <c r="AX121" s="682" t="str">
        <f t="shared" si="294"/>
        <v/>
      </c>
      <c r="AY121" s="4" t="str">
        <f t="shared" si="295"/>
        <v/>
      </c>
      <c r="AZ121" s="386" t="str">
        <f t="shared" si="296"/>
        <v/>
      </c>
      <c r="BA121" s="386">
        <f t="shared" si="361"/>
        <v>0</v>
      </c>
      <c r="BB121" s="386" t="str">
        <f t="shared" si="375"/>
        <v/>
      </c>
      <c r="BC121" s="387" t="str">
        <f t="shared" si="376"/>
        <v/>
      </c>
      <c r="BD121" s="682" t="str">
        <f t="shared" si="300"/>
        <v/>
      </c>
      <c r="BE121" s="4" t="str">
        <f t="shared" si="301"/>
        <v/>
      </c>
      <c r="BF121" s="386" t="str">
        <f t="shared" si="302"/>
        <v/>
      </c>
      <c r="BG121" s="386">
        <f t="shared" si="362"/>
        <v>0</v>
      </c>
      <c r="BH121" s="386" t="str">
        <f t="shared" si="303"/>
        <v/>
      </c>
      <c r="BI121" s="387" t="str">
        <f t="shared" si="304"/>
        <v/>
      </c>
      <c r="BJ121" s="682">
        <f t="shared" si="305"/>
        <v>0</v>
      </c>
      <c r="BK121" s="4">
        <f t="shared" si="306"/>
        <v>462</v>
      </c>
      <c r="BL121" s="386">
        <f t="shared" si="307"/>
        <v>0</v>
      </c>
      <c r="BM121" s="386">
        <f t="shared" si="363"/>
        <v>462</v>
      </c>
      <c r="BN121" s="386">
        <f t="shared" si="308"/>
        <v>188.81300000000002</v>
      </c>
      <c r="BO121" s="387">
        <f t="shared" si="309"/>
        <v>2643382</v>
      </c>
      <c r="BP121" s="682">
        <f t="shared" si="310"/>
        <v>0</v>
      </c>
      <c r="BQ121" s="4">
        <f t="shared" si="311"/>
        <v>0</v>
      </c>
      <c r="BR121" s="386">
        <f t="shared" si="312"/>
        <v>841.87999999999988</v>
      </c>
      <c r="BS121" s="386">
        <f t="shared" si="364"/>
        <v>841.87999999999988</v>
      </c>
      <c r="BT121" s="386">
        <f t="shared" si="314"/>
        <v>438.80019000000004</v>
      </c>
      <c r="BU121" s="387">
        <f t="shared" si="315"/>
        <v>5704402.4699999997</v>
      </c>
      <c r="BV121" s="682" t="str">
        <f t="shared" si="316"/>
        <v/>
      </c>
      <c r="BW121" s="4" t="str">
        <f t="shared" si="317"/>
        <v/>
      </c>
      <c r="BX121" s="386" t="str">
        <f t="shared" si="318"/>
        <v/>
      </c>
      <c r="BY121" s="386">
        <f t="shared" si="370"/>
        <v>0</v>
      </c>
      <c r="BZ121" s="386" t="str">
        <f t="shared" si="319"/>
        <v/>
      </c>
      <c r="CA121" s="387" t="str">
        <f t="shared" si="320"/>
        <v/>
      </c>
      <c r="CB121" s="682" t="str">
        <f t="shared" si="371"/>
        <v/>
      </c>
      <c r="CC121" s="4" t="str">
        <f t="shared" si="322"/>
        <v/>
      </c>
      <c r="CD121" s="386" t="str">
        <f t="shared" si="372"/>
        <v/>
      </c>
      <c r="CE121" s="386">
        <f t="shared" si="259"/>
        <v>0</v>
      </c>
      <c r="CF121" s="386" t="str">
        <f t="shared" si="373"/>
        <v/>
      </c>
      <c r="CG121" s="387" t="str">
        <f t="shared" si="374"/>
        <v/>
      </c>
      <c r="CH121" s="682">
        <f t="shared" si="326"/>
        <v>0</v>
      </c>
      <c r="CI121" s="4">
        <f t="shared" si="327"/>
        <v>2.86</v>
      </c>
      <c r="CJ121" s="386">
        <f t="shared" si="328"/>
        <v>396</v>
      </c>
      <c r="CK121" s="386">
        <f t="shared" si="365"/>
        <v>398.86</v>
      </c>
      <c r="CL121" s="386">
        <f t="shared" si="330"/>
        <v>176.6336</v>
      </c>
      <c r="CM121" s="387">
        <f t="shared" si="331"/>
        <v>4140291.5839999998</v>
      </c>
      <c r="CN121" s="682">
        <f t="shared" si="332"/>
        <v>0</v>
      </c>
      <c r="CO121" s="4">
        <f t="shared" si="333"/>
        <v>1.25</v>
      </c>
      <c r="CP121" s="386">
        <f t="shared" si="334"/>
        <v>0</v>
      </c>
      <c r="CQ121" s="386">
        <f t="shared" si="366"/>
        <v>1.25</v>
      </c>
      <c r="CR121" s="386">
        <f t="shared" si="336"/>
        <v>5.1875</v>
      </c>
      <c r="CS121" s="387">
        <f t="shared" si="337"/>
        <v>90158.75</v>
      </c>
      <c r="CT121" s="682" t="str">
        <f t="shared" si="338"/>
        <v/>
      </c>
      <c r="CU121" s="4" t="str">
        <f t="shared" si="339"/>
        <v/>
      </c>
      <c r="CV121" s="386" t="str">
        <f t="shared" si="340"/>
        <v/>
      </c>
      <c r="CW121" s="386">
        <f t="shared" si="260"/>
        <v>0</v>
      </c>
      <c r="CX121" s="386" t="str">
        <f t="shared" si="341"/>
        <v/>
      </c>
      <c r="CY121" s="387" t="str">
        <f t="shared" si="342"/>
        <v/>
      </c>
      <c r="CZ121" s="682" t="str">
        <f t="shared" si="343"/>
        <v/>
      </c>
      <c r="DA121" s="4" t="str">
        <f t="shared" si="344"/>
        <v/>
      </c>
      <c r="DB121" s="386" t="str">
        <f t="shared" si="345"/>
        <v/>
      </c>
      <c r="DC121" s="386">
        <f t="shared" si="261"/>
        <v>0</v>
      </c>
      <c r="DD121" s="386" t="str">
        <f t="shared" si="346"/>
        <v/>
      </c>
      <c r="DE121" s="387" t="str">
        <f t="shared" si="347"/>
        <v/>
      </c>
      <c r="DF121" s="682">
        <f t="shared" si="348"/>
        <v>0</v>
      </c>
      <c r="DG121" s="4">
        <f t="shared" si="349"/>
        <v>0</v>
      </c>
      <c r="DH121" s="386">
        <f t="shared" si="350"/>
        <v>991</v>
      </c>
      <c r="DI121" s="386">
        <f t="shared" si="367"/>
        <v>991</v>
      </c>
      <c r="DJ121" s="386">
        <f t="shared" si="352"/>
        <v>456.85100000000006</v>
      </c>
      <c r="DK121" s="387">
        <f t="shared" si="353"/>
        <v>8090831.2100000009</v>
      </c>
      <c r="DL121" s="682"/>
      <c r="DM121" s="4" t="str">
        <f t="shared" si="354"/>
        <v/>
      </c>
      <c r="DN121" s="386" t="str">
        <f t="shared" si="355"/>
        <v/>
      </c>
      <c r="DO121" s="386">
        <f t="shared" si="368"/>
        <v>0</v>
      </c>
      <c r="DP121" s="386" t="str">
        <f t="shared" si="357"/>
        <v/>
      </c>
      <c r="DQ121" s="387" t="str">
        <f t="shared" si="358"/>
        <v/>
      </c>
    </row>
    <row r="122" spans="1:121" x14ac:dyDescent="0.25">
      <c r="A122" t="s">
        <v>393</v>
      </c>
      <c r="B122" t="s">
        <v>33</v>
      </c>
      <c r="C122" s="383" t="s">
        <v>34</v>
      </c>
      <c r="D122" t="s">
        <v>270</v>
      </c>
      <c r="E122" s="383" t="s">
        <v>271</v>
      </c>
      <c r="F122" t="s">
        <v>394</v>
      </c>
      <c r="G122" s="383" t="s">
        <v>395</v>
      </c>
      <c r="H122" s="385" t="str">
        <f t="shared" si="264"/>
        <v/>
      </c>
      <c r="I122" s="386" t="str">
        <f t="shared" si="265"/>
        <v/>
      </c>
      <c r="J122" s="386" t="str">
        <f t="shared" si="266"/>
        <v/>
      </c>
      <c r="K122" s="386">
        <f t="shared" si="267"/>
        <v>0</v>
      </c>
      <c r="L122" s="386" t="str">
        <f t="shared" si="268"/>
        <v/>
      </c>
      <c r="M122" s="387" t="str">
        <f t="shared" si="269"/>
        <v/>
      </c>
      <c r="N122" s="385"/>
      <c r="O122" s="386"/>
      <c r="P122" s="386"/>
      <c r="Q122" s="386"/>
      <c r="R122" s="386"/>
      <c r="S122" s="387"/>
      <c r="T122" s="385" t="str">
        <f t="shared" si="270"/>
        <v/>
      </c>
      <c r="U122" s="386" t="str">
        <f t="shared" si="271"/>
        <v/>
      </c>
      <c r="V122" s="386" t="str">
        <f t="shared" si="272"/>
        <v/>
      </c>
      <c r="W122" s="386">
        <f t="shared" si="273"/>
        <v>0</v>
      </c>
      <c r="X122" s="386" t="str">
        <f t="shared" si="274"/>
        <v/>
      </c>
      <c r="Y122" s="387" t="str">
        <f t="shared" si="275"/>
        <v/>
      </c>
      <c r="Z122" s="3" t="str">
        <f t="shared" si="276"/>
        <v/>
      </c>
      <c r="AA122" s="4" t="str">
        <f t="shared" si="277"/>
        <v/>
      </c>
      <c r="AB122" s="386" t="str">
        <f t="shared" si="278"/>
        <v/>
      </c>
      <c r="AC122" s="386">
        <f t="shared" si="279"/>
        <v>0</v>
      </c>
      <c r="AD122" s="386" t="str">
        <f t="shared" si="280"/>
        <v/>
      </c>
      <c r="AE122" s="387" t="str">
        <f t="shared" si="281"/>
        <v/>
      </c>
      <c r="AF122" s="682">
        <f t="shared" si="282"/>
        <v>0</v>
      </c>
      <c r="AG122" s="4">
        <f t="shared" si="283"/>
        <v>0</v>
      </c>
      <c r="AH122" s="386">
        <f t="shared" si="284"/>
        <v>1150</v>
      </c>
      <c r="AI122" s="386">
        <f t="shared" si="359"/>
        <v>1150</v>
      </c>
      <c r="AJ122" s="386">
        <f t="shared" si="286"/>
        <v>1435.5</v>
      </c>
      <c r="AK122" s="387">
        <f t="shared" si="287"/>
        <v>28710000</v>
      </c>
      <c r="AL122" s="385"/>
      <c r="AM122" s="386"/>
      <c r="AN122" s="386"/>
      <c r="AO122" s="386"/>
      <c r="AP122" s="386"/>
      <c r="AQ122" s="387"/>
      <c r="AR122" s="682" t="str">
        <f t="shared" si="288"/>
        <v/>
      </c>
      <c r="AS122" s="4" t="str">
        <f t="shared" si="289"/>
        <v/>
      </c>
      <c r="AT122" s="386" t="str">
        <f t="shared" si="290"/>
        <v/>
      </c>
      <c r="AU122" s="386">
        <f t="shared" si="360"/>
        <v>0</v>
      </c>
      <c r="AV122" s="386" t="str">
        <f t="shared" si="292"/>
        <v/>
      </c>
      <c r="AW122" s="387" t="str">
        <f t="shared" si="293"/>
        <v/>
      </c>
      <c r="AX122" s="682" t="str">
        <f t="shared" si="294"/>
        <v/>
      </c>
      <c r="AY122" s="4" t="str">
        <f t="shared" si="295"/>
        <v/>
      </c>
      <c r="AZ122" s="386" t="str">
        <f t="shared" si="296"/>
        <v/>
      </c>
      <c r="BA122" s="386">
        <f t="shared" si="361"/>
        <v>0</v>
      </c>
      <c r="BB122" s="386" t="str">
        <f t="shared" si="375"/>
        <v/>
      </c>
      <c r="BC122" s="387" t="str">
        <f t="shared" si="376"/>
        <v/>
      </c>
      <c r="BD122" s="682" t="str">
        <f t="shared" si="300"/>
        <v/>
      </c>
      <c r="BE122" s="4" t="str">
        <f t="shared" si="301"/>
        <v/>
      </c>
      <c r="BF122" s="386" t="str">
        <f t="shared" si="302"/>
        <v/>
      </c>
      <c r="BG122" s="386">
        <f t="shared" si="362"/>
        <v>0</v>
      </c>
      <c r="BH122" s="386" t="str">
        <f t="shared" si="303"/>
        <v/>
      </c>
      <c r="BI122" s="387" t="str">
        <f t="shared" si="304"/>
        <v/>
      </c>
      <c r="BJ122" s="682" t="str">
        <f t="shared" si="305"/>
        <v/>
      </c>
      <c r="BK122" s="4" t="str">
        <f t="shared" si="306"/>
        <v/>
      </c>
      <c r="BL122" s="386" t="str">
        <f t="shared" si="307"/>
        <v/>
      </c>
      <c r="BM122" s="386">
        <f t="shared" si="363"/>
        <v>0</v>
      </c>
      <c r="BN122" s="386" t="str">
        <f t="shared" si="308"/>
        <v/>
      </c>
      <c r="BO122" s="387" t="str">
        <f t="shared" si="309"/>
        <v/>
      </c>
      <c r="BP122" s="682">
        <f t="shared" si="310"/>
        <v>0</v>
      </c>
      <c r="BQ122" s="4">
        <f t="shared" si="311"/>
        <v>0</v>
      </c>
      <c r="BR122" s="386">
        <f t="shared" si="312"/>
        <v>1566.25</v>
      </c>
      <c r="BS122" s="386">
        <f t="shared" si="364"/>
        <v>1566.25</v>
      </c>
      <c r="BT122" s="386">
        <f t="shared" si="314"/>
        <v>759.9615</v>
      </c>
      <c r="BU122" s="387">
        <f t="shared" si="315"/>
        <v>9879499.5</v>
      </c>
      <c r="BV122" s="682" t="str">
        <f t="shared" si="316"/>
        <v/>
      </c>
      <c r="BW122" s="4" t="str">
        <f t="shared" si="317"/>
        <v/>
      </c>
      <c r="BX122" s="386" t="str">
        <f t="shared" si="318"/>
        <v/>
      </c>
      <c r="BY122" s="386">
        <f t="shared" si="370"/>
        <v>0</v>
      </c>
      <c r="BZ122" s="386" t="str">
        <f t="shared" si="319"/>
        <v/>
      </c>
      <c r="CA122" s="387" t="str">
        <f t="shared" si="320"/>
        <v/>
      </c>
      <c r="CB122" s="682" t="str">
        <f t="shared" si="371"/>
        <v/>
      </c>
      <c r="CC122" s="4" t="str">
        <f t="shared" si="322"/>
        <v/>
      </c>
      <c r="CD122" s="386" t="str">
        <f t="shared" si="372"/>
        <v/>
      </c>
      <c r="CE122" s="386">
        <f t="shared" si="259"/>
        <v>0</v>
      </c>
      <c r="CF122" s="386" t="str">
        <f t="shared" si="373"/>
        <v/>
      </c>
      <c r="CG122" s="387" t="str">
        <f t="shared" si="374"/>
        <v/>
      </c>
      <c r="CH122" s="682" t="str">
        <f t="shared" si="326"/>
        <v/>
      </c>
      <c r="CI122" s="4" t="str">
        <f t="shared" si="327"/>
        <v/>
      </c>
      <c r="CJ122" s="386" t="str">
        <f t="shared" si="328"/>
        <v/>
      </c>
      <c r="CK122" s="386">
        <f t="shared" si="365"/>
        <v>0</v>
      </c>
      <c r="CL122" s="386" t="str">
        <f t="shared" si="330"/>
        <v/>
      </c>
      <c r="CM122" s="387" t="str">
        <f t="shared" si="331"/>
        <v/>
      </c>
      <c r="CN122" s="682">
        <f t="shared" si="332"/>
        <v>0</v>
      </c>
      <c r="CO122" s="4">
        <f t="shared" si="333"/>
        <v>0</v>
      </c>
      <c r="CP122" s="386">
        <f t="shared" si="334"/>
        <v>301</v>
      </c>
      <c r="CQ122" s="386">
        <f t="shared" si="366"/>
        <v>301</v>
      </c>
      <c r="CR122" s="386">
        <f t="shared" si="336"/>
        <v>124.91500000000002</v>
      </c>
      <c r="CS122" s="387">
        <f t="shared" si="337"/>
        <v>2171022.7000000002</v>
      </c>
      <c r="CT122" s="682" t="str">
        <f t="shared" si="338"/>
        <v/>
      </c>
      <c r="CU122" s="4" t="str">
        <f t="shared" si="339"/>
        <v/>
      </c>
      <c r="CV122" s="386" t="str">
        <f t="shared" si="340"/>
        <v/>
      </c>
      <c r="CW122" s="386">
        <f t="shared" si="260"/>
        <v>0</v>
      </c>
      <c r="CX122" s="386" t="str">
        <f t="shared" si="341"/>
        <v/>
      </c>
      <c r="CY122" s="387" t="str">
        <f t="shared" si="342"/>
        <v/>
      </c>
      <c r="CZ122" s="682" t="str">
        <f t="shared" si="343"/>
        <v/>
      </c>
      <c r="DA122" s="4" t="str">
        <f t="shared" si="344"/>
        <v/>
      </c>
      <c r="DB122" s="386" t="str">
        <f t="shared" si="345"/>
        <v/>
      </c>
      <c r="DC122" s="386">
        <f t="shared" si="261"/>
        <v>0</v>
      </c>
      <c r="DD122" s="386" t="str">
        <f t="shared" si="346"/>
        <v/>
      </c>
      <c r="DE122" s="387" t="str">
        <f t="shared" si="347"/>
        <v/>
      </c>
      <c r="DF122" s="682">
        <f t="shared" si="348"/>
        <v>0</v>
      </c>
      <c r="DG122" s="4">
        <f t="shared" si="349"/>
        <v>0</v>
      </c>
      <c r="DH122" s="386">
        <f t="shared" si="350"/>
        <v>400</v>
      </c>
      <c r="DI122" s="386">
        <f t="shared" si="367"/>
        <v>400</v>
      </c>
      <c r="DJ122" s="386">
        <f t="shared" si="352"/>
        <v>184.40000000000003</v>
      </c>
      <c r="DK122" s="387">
        <f t="shared" si="353"/>
        <v>3265724</v>
      </c>
      <c r="DL122" s="682"/>
      <c r="DM122" s="4" t="str">
        <f t="shared" si="354"/>
        <v/>
      </c>
      <c r="DN122" s="386" t="str">
        <f t="shared" si="355"/>
        <v/>
      </c>
      <c r="DO122" s="386">
        <f t="shared" si="368"/>
        <v>0</v>
      </c>
      <c r="DP122" s="386" t="str">
        <f t="shared" si="357"/>
        <v/>
      </c>
      <c r="DQ122" s="387" t="str">
        <f t="shared" si="358"/>
        <v/>
      </c>
    </row>
    <row r="123" spans="1:121" x14ac:dyDescent="0.25">
      <c r="A123" t="s">
        <v>396</v>
      </c>
      <c r="B123" t="s">
        <v>33</v>
      </c>
      <c r="C123" s="383" t="s">
        <v>34</v>
      </c>
      <c r="D123" t="s">
        <v>270</v>
      </c>
      <c r="E123" s="383" t="s">
        <v>271</v>
      </c>
      <c r="F123" t="s">
        <v>397</v>
      </c>
      <c r="G123" s="383" t="s">
        <v>398</v>
      </c>
      <c r="H123" s="385" t="str">
        <f t="shared" si="264"/>
        <v/>
      </c>
      <c r="I123" s="386" t="str">
        <f t="shared" si="265"/>
        <v/>
      </c>
      <c r="J123" s="386" t="str">
        <f t="shared" si="266"/>
        <v/>
      </c>
      <c r="K123" s="386">
        <f t="shared" si="267"/>
        <v>0</v>
      </c>
      <c r="L123" s="386" t="str">
        <f t="shared" si="268"/>
        <v/>
      </c>
      <c r="M123" s="387" t="str">
        <f t="shared" si="269"/>
        <v/>
      </c>
      <c r="N123" s="385"/>
      <c r="O123" s="386"/>
      <c r="P123" s="386"/>
      <c r="Q123" s="386"/>
      <c r="R123" s="386"/>
      <c r="S123" s="387"/>
      <c r="T123" s="385">
        <f t="shared" si="270"/>
        <v>180</v>
      </c>
      <c r="U123" s="386">
        <f t="shared" si="271"/>
        <v>0</v>
      </c>
      <c r="V123" s="386">
        <f t="shared" si="272"/>
        <v>196.9</v>
      </c>
      <c r="W123" s="386">
        <f t="shared" si="273"/>
        <v>196.9</v>
      </c>
      <c r="X123" s="386">
        <f t="shared" si="274"/>
        <v>16.25</v>
      </c>
      <c r="Y123" s="387">
        <f t="shared" si="275"/>
        <v>243750</v>
      </c>
      <c r="Z123" s="3">
        <f t="shared" si="276"/>
        <v>0</v>
      </c>
      <c r="AA123" s="4">
        <f t="shared" si="277"/>
        <v>0</v>
      </c>
      <c r="AB123" s="386">
        <f t="shared" si="278"/>
        <v>11</v>
      </c>
      <c r="AC123" s="386">
        <f t="shared" si="279"/>
        <v>11</v>
      </c>
      <c r="AD123" s="386" t="str">
        <f t="shared" si="280"/>
        <v/>
      </c>
      <c r="AE123" s="387">
        <f t="shared" si="281"/>
        <v>131571</v>
      </c>
      <c r="AF123" s="682">
        <f t="shared" si="282"/>
        <v>0</v>
      </c>
      <c r="AG123" s="4">
        <f t="shared" si="283"/>
        <v>16</v>
      </c>
      <c r="AH123" s="386">
        <f t="shared" si="284"/>
        <v>896.5</v>
      </c>
      <c r="AI123" s="386">
        <f t="shared" si="359"/>
        <v>912.5</v>
      </c>
      <c r="AJ123" s="386">
        <f t="shared" si="286"/>
        <v>944.40674999999987</v>
      </c>
      <c r="AK123" s="387">
        <f t="shared" si="287"/>
        <v>18888135</v>
      </c>
      <c r="AL123" s="385"/>
      <c r="AM123" s="386"/>
      <c r="AN123" s="386"/>
      <c r="AO123" s="386"/>
      <c r="AP123" s="386"/>
      <c r="AQ123" s="387"/>
      <c r="AR123" s="682">
        <f t="shared" si="288"/>
        <v>238</v>
      </c>
      <c r="AS123" s="4">
        <f t="shared" si="289"/>
        <v>15</v>
      </c>
      <c r="AT123" s="386">
        <f t="shared" si="290"/>
        <v>295.5</v>
      </c>
      <c r="AU123" s="386">
        <f t="shared" si="360"/>
        <v>310.5</v>
      </c>
      <c r="AV123" s="386">
        <f t="shared" si="292"/>
        <v>239.33</v>
      </c>
      <c r="AW123" s="387">
        <f t="shared" si="293"/>
        <v>2538950</v>
      </c>
      <c r="AX123" s="682" t="str">
        <f t="shared" si="294"/>
        <v/>
      </c>
      <c r="AY123" s="4" t="str">
        <f t="shared" si="295"/>
        <v/>
      </c>
      <c r="AZ123" s="386" t="str">
        <f t="shared" si="296"/>
        <v/>
      </c>
      <c r="BA123" s="386">
        <f t="shared" si="361"/>
        <v>0</v>
      </c>
      <c r="BB123" s="386" t="str">
        <f t="shared" si="375"/>
        <v/>
      </c>
      <c r="BC123" s="387" t="str">
        <f t="shared" si="376"/>
        <v/>
      </c>
      <c r="BD123" s="682">
        <f t="shared" si="300"/>
        <v>0</v>
      </c>
      <c r="BE123" s="4">
        <f t="shared" si="301"/>
        <v>25.15</v>
      </c>
      <c r="BF123" s="386">
        <f t="shared" si="302"/>
        <v>0</v>
      </c>
      <c r="BG123" s="386">
        <f t="shared" si="362"/>
        <v>25.15</v>
      </c>
      <c r="BH123" s="386">
        <f t="shared" si="303"/>
        <v>7.8000000000000016</v>
      </c>
      <c r="BI123" s="387">
        <f t="shared" si="304"/>
        <v>175800.00000000003</v>
      </c>
      <c r="BJ123" s="682">
        <f t="shared" si="305"/>
        <v>0</v>
      </c>
      <c r="BK123" s="4">
        <f t="shared" si="306"/>
        <v>210.5</v>
      </c>
      <c r="BL123" s="386">
        <f t="shared" si="307"/>
        <v>3</v>
      </c>
      <c r="BM123" s="386">
        <f t="shared" si="363"/>
        <v>213.5</v>
      </c>
      <c r="BN123" s="386">
        <f t="shared" si="308"/>
        <v>97.102500000000006</v>
      </c>
      <c r="BO123" s="387">
        <f t="shared" si="309"/>
        <v>1359435.0000000002</v>
      </c>
      <c r="BP123" s="682">
        <f t="shared" si="310"/>
        <v>0</v>
      </c>
      <c r="BQ123" s="4">
        <f t="shared" si="311"/>
        <v>4.75</v>
      </c>
      <c r="BR123" s="386">
        <f t="shared" si="312"/>
        <v>176.6</v>
      </c>
      <c r="BS123" s="386">
        <f t="shared" si="364"/>
        <v>181.35</v>
      </c>
      <c r="BT123" s="386">
        <f t="shared" si="314"/>
        <v>109.21530000000001</v>
      </c>
      <c r="BU123" s="387">
        <f t="shared" si="315"/>
        <v>1419798.9</v>
      </c>
      <c r="BV123" s="682" t="str">
        <f t="shared" si="316"/>
        <v/>
      </c>
      <c r="BW123" s="4" t="str">
        <f t="shared" si="317"/>
        <v/>
      </c>
      <c r="BX123" s="386" t="str">
        <f t="shared" si="318"/>
        <v/>
      </c>
      <c r="BY123" s="386">
        <f t="shared" si="370"/>
        <v>0</v>
      </c>
      <c r="BZ123" s="386" t="str">
        <f t="shared" si="319"/>
        <v/>
      </c>
      <c r="CA123" s="387" t="str">
        <f t="shared" si="320"/>
        <v/>
      </c>
      <c r="CB123" s="682" t="str">
        <f t="shared" si="371"/>
        <v/>
      </c>
      <c r="CC123" s="4" t="str">
        <f t="shared" si="322"/>
        <v/>
      </c>
      <c r="CD123" s="386" t="str">
        <f t="shared" si="372"/>
        <v/>
      </c>
      <c r="CE123" s="386">
        <f t="shared" si="259"/>
        <v>0</v>
      </c>
      <c r="CF123" s="386" t="str">
        <f t="shared" si="373"/>
        <v/>
      </c>
      <c r="CG123" s="387" t="str">
        <f t="shared" si="374"/>
        <v/>
      </c>
      <c r="CH123" s="682">
        <f t="shared" si="326"/>
        <v>0</v>
      </c>
      <c r="CI123" s="4">
        <f t="shared" si="327"/>
        <v>0</v>
      </c>
      <c r="CJ123" s="386">
        <f t="shared" si="328"/>
        <v>634.5</v>
      </c>
      <c r="CK123" s="386">
        <f t="shared" si="365"/>
        <v>634.5</v>
      </c>
      <c r="CL123" s="386">
        <f t="shared" si="330"/>
        <v>263.952</v>
      </c>
      <c r="CM123" s="387">
        <f t="shared" si="331"/>
        <v>6187034.8800000008</v>
      </c>
      <c r="CN123" s="682" t="str">
        <f t="shared" si="332"/>
        <v/>
      </c>
      <c r="CO123" s="4" t="str">
        <f t="shared" si="333"/>
        <v/>
      </c>
      <c r="CP123" s="386" t="str">
        <f t="shared" si="334"/>
        <v/>
      </c>
      <c r="CQ123" s="386">
        <f t="shared" si="366"/>
        <v>0</v>
      </c>
      <c r="CR123" s="386" t="str">
        <f t="shared" si="336"/>
        <v/>
      </c>
      <c r="CS123" s="387" t="str">
        <f t="shared" si="337"/>
        <v/>
      </c>
      <c r="CT123" s="682" t="str">
        <f t="shared" si="338"/>
        <v/>
      </c>
      <c r="CU123" s="4" t="str">
        <f t="shared" si="339"/>
        <v/>
      </c>
      <c r="CV123" s="386" t="str">
        <f t="shared" si="340"/>
        <v/>
      </c>
      <c r="CW123" s="386">
        <f t="shared" si="260"/>
        <v>0</v>
      </c>
      <c r="CX123" s="386" t="str">
        <f t="shared" si="341"/>
        <v/>
      </c>
      <c r="CY123" s="387" t="str">
        <f t="shared" si="342"/>
        <v/>
      </c>
      <c r="CZ123" s="682" t="str">
        <f t="shared" si="343"/>
        <v/>
      </c>
      <c r="DA123" s="4" t="str">
        <f t="shared" si="344"/>
        <v/>
      </c>
      <c r="DB123" s="386" t="str">
        <f t="shared" si="345"/>
        <v/>
      </c>
      <c r="DC123" s="386">
        <f t="shared" si="261"/>
        <v>0</v>
      </c>
      <c r="DD123" s="386" t="str">
        <f t="shared" si="346"/>
        <v/>
      </c>
      <c r="DE123" s="387" t="str">
        <f t="shared" si="347"/>
        <v/>
      </c>
      <c r="DF123" s="682">
        <f t="shared" si="348"/>
        <v>0</v>
      </c>
      <c r="DG123" s="4">
        <f t="shared" si="349"/>
        <v>0</v>
      </c>
      <c r="DH123" s="386">
        <f t="shared" si="350"/>
        <v>1400</v>
      </c>
      <c r="DI123" s="386">
        <f t="shared" si="367"/>
        <v>1400</v>
      </c>
      <c r="DJ123" s="386">
        <f t="shared" si="352"/>
        <v>645.40000000000009</v>
      </c>
      <c r="DK123" s="387">
        <f t="shared" si="353"/>
        <v>11430034</v>
      </c>
      <c r="DL123" s="682"/>
      <c r="DM123" s="4" t="str">
        <f t="shared" si="354"/>
        <v/>
      </c>
      <c r="DN123" s="386" t="str">
        <f t="shared" si="355"/>
        <v/>
      </c>
      <c r="DO123" s="386">
        <f t="shared" si="368"/>
        <v>0</v>
      </c>
      <c r="DP123" s="386" t="str">
        <f t="shared" si="357"/>
        <v/>
      </c>
      <c r="DQ123" s="387" t="str">
        <f t="shared" si="358"/>
        <v/>
      </c>
    </row>
    <row r="124" spans="1:121" x14ac:dyDescent="0.25">
      <c r="A124" t="s">
        <v>399</v>
      </c>
      <c r="B124" t="s">
        <v>33</v>
      </c>
      <c r="C124" s="383" t="s">
        <v>34</v>
      </c>
      <c r="D124" t="s">
        <v>270</v>
      </c>
      <c r="E124" s="383" t="s">
        <v>271</v>
      </c>
      <c r="F124" t="s">
        <v>400</v>
      </c>
      <c r="G124" s="383" t="s">
        <v>401</v>
      </c>
      <c r="H124" s="385">
        <f t="shared" si="264"/>
        <v>145</v>
      </c>
      <c r="I124" s="386">
        <f t="shared" si="265"/>
        <v>0</v>
      </c>
      <c r="J124" s="386">
        <f t="shared" si="266"/>
        <v>174</v>
      </c>
      <c r="K124" s="386">
        <f t="shared" si="267"/>
        <v>174</v>
      </c>
      <c r="L124" s="386">
        <f t="shared" si="268"/>
        <v>130.5</v>
      </c>
      <c r="M124" s="387">
        <f t="shared" si="269"/>
        <v>1957500</v>
      </c>
      <c r="N124" s="385"/>
      <c r="O124" s="386"/>
      <c r="P124" s="386"/>
      <c r="Q124" s="386"/>
      <c r="R124" s="386"/>
      <c r="S124" s="387"/>
      <c r="T124" s="385">
        <f t="shared" si="270"/>
        <v>180</v>
      </c>
      <c r="U124" s="386">
        <f t="shared" si="271"/>
        <v>0</v>
      </c>
      <c r="V124" s="386">
        <f t="shared" si="272"/>
        <v>119.5</v>
      </c>
      <c r="W124" s="386">
        <f t="shared" si="273"/>
        <v>119.5</v>
      </c>
      <c r="X124" s="386">
        <f t="shared" si="274"/>
        <v>25.692500000000003</v>
      </c>
      <c r="Y124" s="387">
        <f t="shared" si="275"/>
        <v>385387.50000000006</v>
      </c>
      <c r="Z124" s="3">
        <f t="shared" si="276"/>
        <v>0</v>
      </c>
      <c r="AA124" s="4">
        <f t="shared" si="277"/>
        <v>0</v>
      </c>
      <c r="AB124" s="386">
        <f t="shared" si="278"/>
        <v>20</v>
      </c>
      <c r="AC124" s="386">
        <f t="shared" si="279"/>
        <v>20</v>
      </c>
      <c r="AD124" s="386" t="str">
        <f t="shared" si="280"/>
        <v/>
      </c>
      <c r="AE124" s="387">
        <f t="shared" si="281"/>
        <v>159480</v>
      </c>
      <c r="AF124" s="682">
        <f t="shared" si="282"/>
        <v>0</v>
      </c>
      <c r="AG124" s="4">
        <f t="shared" si="283"/>
        <v>0</v>
      </c>
      <c r="AH124" s="386">
        <f t="shared" si="284"/>
        <v>6819</v>
      </c>
      <c r="AI124" s="386">
        <f t="shared" si="359"/>
        <v>6819</v>
      </c>
      <c r="AJ124" s="386">
        <f t="shared" si="286"/>
        <v>7672.0949999999993</v>
      </c>
      <c r="AK124" s="387">
        <f t="shared" si="287"/>
        <v>153441900</v>
      </c>
      <c r="AL124" s="385"/>
      <c r="AM124" s="386"/>
      <c r="AN124" s="386"/>
      <c r="AO124" s="386"/>
      <c r="AP124" s="386"/>
      <c r="AQ124" s="387"/>
      <c r="AR124" s="682" t="str">
        <f t="shared" si="288"/>
        <v/>
      </c>
      <c r="AS124" s="4" t="str">
        <f t="shared" si="289"/>
        <v/>
      </c>
      <c r="AT124" s="386" t="str">
        <f t="shared" si="290"/>
        <v/>
      </c>
      <c r="AU124" s="386">
        <f t="shared" si="360"/>
        <v>0</v>
      </c>
      <c r="AV124" s="386" t="str">
        <f t="shared" si="292"/>
        <v/>
      </c>
      <c r="AW124" s="387" t="str">
        <f t="shared" si="293"/>
        <v/>
      </c>
      <c r="AX124" s="682" t="str">
        <f t="shared" si="294"/>
        <v/>
      </c>
      <c r="AY124" s="4" t="str">
        <f t="shared" si="295"/>
        <v/>
      </c>
      <c r="AZ124" s="386" t="str">
        <f t="shared" si="296"/>
        <v/>
      </c>
      <c r="BA124" s="386">
        <f t="shared" si="361"/>
        <v>0</v>
      </c>
      <c r="BB124" s="386" t="str">
        <f t="shared" si="375"/>
        <v/>
      </c>
      <c r="BC124" s="387" t="str">
        <f t="shared" si="376"/>
        <v/>
      </c>
      <c r="BD124" s="682" t="str">
        <f t="shared" si="300"/>
        <v/>
      </c>
      <c r="BE124" s="4" t="str">
        <f t="shared" si="301"/>
        <v/>
      </c>
      <c r="BF124" s="386" t="str">
        <f t="shared" si="302"/>
        <v/>
      </c>
      <c r="BG124" s="386">
        <f t="shared" si="362"/>
        <v>0</v>
      </c>
      <c r="BH124" s="386" t="str">
        <f t="shared" si="303"/>
        <v/>
      </c>
      <c r="BI124" s="387" t="str">
        <f t="shared" si="304"/>
        <v/>
      </c>
      <c r="BJ124" s="682">
        <f t="shared" si="305"/>
        <v>0</v>
      </c>
      <c r="BK124" s="4">
        <f t="shared" si="306"/>
        <v>571.5</v>
      </c>
      <c r="BL124" s="386">
        <f t="shared" si="307"/>
        <v>0</v>
      </c>
      <c r="BM124" s="386">
        <f t="shared" si="363"/>
        <v>571.5</v>
      </c>
      <c r="BN124" s="386">
        <f t="shared" si="308"/>
        <v>260.79000000000002</v>
      </c>
      <c r="BO124" s="387">
        <f t="shared" si="309"/>
        <v>3651060.0000000005</v>
      </c>
      <c r="BP124" s="682">
        <f t="shared" si="310"/>
        <v>0</v>
      </c>
      <c r="BQ124" s="4">
        <f t="shared" si="311"/>
        <v>0</v>
      </c>
      <c r="BR124" s="386">
        <f t="shared" si="312"/>
        <v>2964</v>
      </c>
      <c r="BS124" s="386">
        <f t="shared" si="364"/>
        <v>2964</v>
      </c>
      <c r="BT124" s="386">
        <f t="shared" si="314"/>
        <v>1475.7795000000001</v>
      </c>
      <c r="BU124" s="387">
        <f t="shared" si="315"/>
        <v>19185133.499999996</v>
      </c>
      <c r="BV124" s="682" t="str">
        <f t="shared" si="316"/>
        <v/>
      </c>
      <c r="BW124" s="4" t="str">
        <f t="shared" si="317"/>
        <v/>
      </c>
      <c r="BX124" s="386" t="str">
        <f t="shared" si="318"/>
        <v/>
      </c>
      <c r="BY124" s="386">
        <f t="shared" si="370"/>
        <v>0</v>
      </c>
      <c r="BZ124" s="386" t="str">
        <f t="shared" si="319"/>
        <v/>
      </c>
      <c r="CA124" s="387" t="str">
        <f t="shared" si="320"/>
        <v/>
      </c>
      <c r="CB124" s="682" t="str">
        <f t="shared" si="371"/>
        <v/>
      </c>
      <c r="CC124" s="4" t="str">
        <f t="shared" si="322"/>
        <v/>
      </c>
      <c r="CD124" s="386" t="str">
        <f t="shared" si="372"/>
        <v/>
      </c>
      <c r="CE124" s="386">
        <f t="shared" si="259"/>
        <v>0</v>
      </c>
      <c r="CF124" s="386" t="str">
        <f t="shared" si="373"/>
        <v/>
      </c>
      <c r="CG124" s="387" t="str">
        <f t="shared" si="374"/>
        <v/>
      </c>
      <c r="CH124" s="682">
        <f t="shared" si="326"/>
        <v>0</v>
      </c>
      <c r="CI124" s="4">
        <f t="shared" si="327"/>
        <v>55</v>
      </c>
      <c r="CJ124" s="386">
        <f t="shared" si="328"/>
        <v>30</v>
      </c>
      <c r="CK124" s="386">
        <f t="shared" si="365"/>
        <v>85</v>
      </c>
      <c r="CL124" s="386">
        <f t="shared" si="330"/>
        <v>241.28</v>
      </c>
      <c r="CM124" s="387">
        <f t="shared" si="331"/>
        <v>5655603.2000000002</v>
      </c>
      <c r="CN124" s="682" t="str">
        <f t="shared" si="332"/>
        <v/>
      </c>
      <c r="CO124" s="4" t="str">
        <f t="shared" si="333"/>
        <v/>
      </c>
      <c r="CP124" s="386" t="str">
        <f t="shared" si="334"/>
        <v/>
      </c>
      <c r="CQ124" s="386">
        <f t="shared" si="366"/>
        <v>0</v>
      </c>
      <c r="CR124" s="386" t="str">
        <f t="shared" si="336"/>
        <v/>
      </c>
      <c r="CS124" s="387" t="str">
        <f t="shared" si="337"/>
        <v/>
      </c>
      <c r="CT124" s="682" t="str">
        <f t="shared" si="338"/>
        <v/>
      </c>
      <c r="CU124" s="4" t="str">
        <f t="shared" si="339"/>
        <v/>
      </c>
      <c r="CV124" s="386" t="str">
        <f t="shared" si="340"/>
        <v/>
      </c>
      <c r="CW124" s="386">
        <f t="shared" si="260"/>
        <v>0</v>
      </c>
      <c r="CX124" s="386" t="str">
        <f t="shared" si="341"/>
        <v/>
      </c>
      <c r="CY124" s="387" t="str">
        <f t="shared" si="342"/>
        <v/>
      </c>
      <c r="CZ124" s="682" t="str">
        <f t="shared" si="343"/>
        <v/>
      </c>
      <c r="DA124" s="4" t="str">
        <f t="shared" si="344"/>
        <v/>
      </c>
      <c r="DB124" s="386" t="str">
        <f t="shared" si="345"/>
        <v/>
      </c>
      <c r="DC124" s="386">
        <f t="shared" si="261"/>
        <v>0</v>
      </c>
      <c r="DD124" s="386" t="str">
        <f t="shared" si="346"/>
        <v/>
      </c>
      <c r="DE124" s="387" t="str">
        <f t="shared" si="347"/>
        <v/>
      </c>
      <c r="DF124" s="682">
        <f t="shared" si="348"/>
        <v>0</v>
      </c>
      <c r="DG124" s="4">
        <f t="shared" si="349"/>
        <v>0</v>
      </c>
      <c r="DH124" s="386">
        <f t="shared" si="350"/>
        <v>3362.6</v>
      </c>
      <c r="DI124" s="386">
        <f t="shared" si="367"/>
        <v>3362.6</v>
      </c>
      <c r="DJ124" s="386">
        <f t="shared" si="352"/>
        <v>1276.2616000000003</v>
      </c>
      <c r="DK124" s="387">
        <f t="shared" si="353"/>
        <v>22602592.936000001</v>
      </c>
      <c r="DL124" s="682"/>
      <c r="DM124" s="4" t="str">
        <f t="shared" si="354"/>
        <v/>
      </c>
      <c r="DN124" s="386" t="str">
        <f t="shared" si="355"/>
        <v/>
      </c>
      <c r="DO124" s="386">
        <f t="shared" si="368"/>
        <v>0</v>
      </c>
      <c r="DP124" s="386" t="str">
        <f t="shared" si="357"/>
        <v/>
      </c>
      <c r="DQ124" s="387" t="str">
        <f t="shared" si="358"/>
        <v/>
      </c>
    </row>
    <row r="125" spans="1:121" x14ac:dyDescent="0.25">
      <c r="A125" t="s">
        <v>402</v>
      </c>
      <c r="B125" t="s">
        <v>33</v>
      </c>
      <c r="C125" s="383" t="s">
        <v>34</v>
      </c>
      <c r="D125" t="s">
        <v>270</v>
      </c>
      <c r="E125" s="383" t="s">
        <v>271</v>
      </c>
      <c r="F125" t="s">
        <v>403</v>
      </c>
      <c r="G125" s="383" t="s">
        <v>404</v>
      </c>
      <c r="H125" s="385" t="str">
        <f t="shared" si="264"/>
        <v/>
      </c>
      <c r="I125" s="386" t="str">
        <f t="shared" si="265"/>
        <v/>
      </c>
      <c r="J125" s="386" t="str">
        <f t="shared" si="266"/>
        <v/>
      </c>
      <c r="K125" s="386">
        <f t="shared" si="267"/>
        <v>0</v>
      </c>
      <c r="L125" s="386" t="str">
        <f t="shared" si="268"/>
        <v/>
      </c>
      <c r="M125" s="387" t="str">
        <f t="shared" si="269"/>
        <v/>
      </c>
      <c r="N125" s="385"/>
      <c r="O125" s="386"/>
      <c r="P125" s="386"/>
      <c r="Q125" s="386"/>
      <c r="R125" s="386"/>
      <c r="S125" s="387"/>
      <c r="T125" s="385" t="str">
        <f t="shared" si="270"/>
        <v/>
      </c>
      <c r="U125" s="386" t="str">
        <f t="shared" si="271"/>
        <v/>
      </c>
      <c r="V125" s="386" t="str">
        <f t="shared" si="272"/>
        <v/>
      </c>
      <c r="W125" s="386">
        <f t="shared" si="273"/>
        <v>0</v>
      </c>
      <c r="X125" s="386" t="str">
        <f t="shared" si="274"/>
        <v/>
      </c>
      <c r="Y125" s="387" t="str">
        <f t="shared" si="275"/>
        <v/>
      </c>
      <c r="Z125" s="3" t="str">
        <f t="shared" si="276"/>
        <v/>
      </c>
      <c r="AA125" s="4" t="str">
        <f t="shared" si="277"/>
        <v/>
      </c>
      <c r="AB125" s="386" t="str">
        <f t="shared" si="278"/>
        <v/>
      </c>
      <c r="AC125" s="386">
        <f t="shared" si="279"/>
        <v>0</v>
      </c>
      <c r="AD125" s="386" t="str">
        <f t="shared" si="280"/>
        <v/>
      </c>
      <c r="AE125" s="387" t="str">
        <f t="shared" si="281"/>
        <v/>
      </c>
      <c r="AF125" s="682" t="str">
        <f t="shared" si="282"/>
        <v/>
      </c>
      <c r="AG125" s="4" t="str">
        <f t="shared" si="283"/>
        <v/>
      </c>
      <c r="AH125" s="386" t="str">
        <f t="shared" si="284"/>
        <v/>
      </c>
      <c r="AI125" s="386">
        <f t="shared" si="359"/>
        <v>0</v>
      </c>
      <c r="AJ125" s="386" t="str">
        <f t="shared" si="286"/>
        <v/>
      </c>
      <c r="AK125" s="387" t="str">
        <f t="shared" si="287"/>
        <v/>
      </c>
      <c r="AL125" s="385"/>
      <c r="AM125" s="386"/>
      <c r="AN125" s="386"/>
      <c r="AO125" s="386"/>
      <c r="AP125" s="386"/>
      <c r="AQ125" s="387"/>
      <c r="AR125" s="682" t="str">
        <f t="shared" si="288"/>
        <v/>
      </c>
      <c r="AS125" s="4" t="str">
        <f t="shared" si="289"/>
        <v/>
      </c>
      <c r="AT125" s="386" t="str">
        <f t="shared" si="290"/>
        <v/>
      </c>
      <c r="AU125" s="386">
        <f t="shared" si="360"/>
        <v>0</v>
      </c>
      <c r="AV125" s="386" t="str">
        <f t="shared" si="292"/>
        <v/>
      </c>
      <c r="AW125" s="387" t="str">
        <f t="shared" si="293"/>
        <v/>
      </c>
      <c r="AX125" s="682" t="str">
        <f t="shared" si="294"/>
        <v/>
      </c>
      <c r="AY125" s="4" t="str">
        <f t="shared" si="295"/>
        <v/>
      </c>
      <c r="AZ125" s="386" t="str">
        <f t="shared" si="296"/>
        <v/>
      </c>
      <c r="BA125" s="386">
        <f t="shared" si="361"/>
        <v>0</v>
      </c>
      <c r="BB125" s="386" t="str">
        <f t="shared" si="375"/>
        <v/>
      </c>
      <c r="BC125" s="387" t="str">
        <f t="shared" si="376"/>
        <v/>
      </c>
      <c r="BD125" s="682" t="str">
        <f t="shared" si="300"/>
        <v/>
      </c>
      <c r="BE125" s="4" t="str">
        <f t="shared" si="301"/>
        <v/>
      </c>
      <c r="BF125" s="386" t="str">
        <f t="shared" si="302"/>
        <v/>
      </c>
      <c r="BG125" s="386">
        <f t="shared" si="362"/>
        <v>0</v>
      </c>
      <c r="BH125" s="386" t="str">
        <f t="shared" si="303"/>
        <v/>
      </c>
      <c r="BI125" s="387" t="str">
        <f t="shared" si="304"/>
        <v/>
      </c>
      <c r="BJ125" s="682">
        <f t="shared" si="305"/>
        <v>0</v>
      </c>
      <c r="BK125" s="4">
        <f t="shared" si="306"/>
        <v>92</v>
      </c>
      <c r="BL125" s="386">
        <f t="shared" si="307"/>
        <v>0</v>
      </c>
      <c r="BM125" s="386">
        <f t="shared" si="363"/>
        <v>92</v>
      </c>
      <c r="BN125" s="386">
        <f t="shared" si="308"/>
        <v>15.042</v>
      </c>
      <c r="BO125" s="387">
        <f t="shared" si="309"/>
        <v>210588</v>
      </c>
      <c r="BP125" s="682">
        <f t="shared" si="310"/>
        <v>0</v>
      </c>
      <c r="BQ125" s="4">
        <f t="shared" si="311"/>
        <v>2429</v>
      </c>
      <c r="BR125" s="386">
        <f t="shared" si="312"/>
        <v>0</v>
      </c>
      <c r="BS125" s="386">
        <f t="shared" si="364"/>
        <v>2429</v>
      </c>
      <c r="BT125" s="386">
        <f t="shared" si="314"/>
        <v>10639.02</v>
      </c>
      <c r="BU125" s="387">
        <f t="shared" si="315"/>
        <v>138307260</v>
      </c>
      <c r="BV125" s="682" t="str">
        <f t="shared" si="316"/>
        <v/>
      </c>
      <c r="BW125" s="4" t="str">
        <f t="shared" si="317"/>
        <v/>
      </c>
      <c r="BX125" s="386" t="str">
        <f t="shared" si="318"/>
        <v/>
      </c>
      <c r="BY125" s="386">
        <f t="shared" si="370"/>
        <v>0</v>
      </c>
      <c r="BZ125" s="386" t="str">
        <f t="shared" si="319"/>
        <v/>
      </c>
      <c r="CA125" s="387" t="str">
        <f t="shared" si="320"/>
        <v/>
      </c>
      <c r="CB125" s="682" t="str">
        <f t="shared" si="371"/>
        <v/>
      </c>
      <c r="CC125" s="4" t="str">
        <f t="shared" si="322"/>
        <v/>
      </c>
      <c r="CD125" s="386" t="str">
        <f t="shared" si="372"/>
        <v/>
      </c>
      <c r="CE125" s="386">
        <f t="shared" si="259"/>
        <v>0</v>
      </c>
      <c r="CF125" s="386" t="str">
        <f t="shared" si="373"/>
        <v/>
      </c>
      <c r="CG125" s="387" t="str">
        <f t="shared" si="374"/>
        <v/>
      </c>
      <c r="CH125" s="682">
        <f t="shared" si="326"/>
        <v>0</v>
      </c>
      <c r="CI125" s="4">
        <f t="shared" si="327"/>
        <v>0</v>
      </c>
      <c r="CJ125" s="386">
        <f t="shared" si="328"/>
        <v>15</v>
      </c>
      <c r="CK125" s="386">
        <f t="shared" si="365"/>
        <v>15</v>
      </c>
      <c r="CL125" s="386">
        <f t="shared" si="330"/>
        <v>6.24</v>
      </c>
      <c r="CM125" s="387">
        <f t="shared" si="331"/>
        <v>146265.60000000001</v>
      </c>
      <c r="CN125" s="682">
        <f t="shared" si="332"/>
        <v>0</v>
      </c>
      <c r="CO125" s="4">
        <f t="shared" si="333"/>
        <v>10</v>
      </c>
      <c r="CP125" s="386">
        <f t="shared" si="334"/>
        <v>100</v>
      </c>
      <c r="CQ125" s="386">
        <f t="shared" si="366"/>
        <v>110</v>
      </c>
      <c r="CR125" s="386">
        <f t="shared" si="336"/>
        <v>62.25</v>
      </c>
      <c r="CS125" s="387">
        <f t="shared" si="337"/>
        <v>1081905</v>
      </c>
      <c r="CT125" s="682" t="str">
        <f t="shared" si="338"/>
        <v/>
      </c>
      <c r="CU125" s="4" t="str">
        <f t="shared" si="339"/>
        <v/>
      </c>
      <c r="CV125" s="386" t="str">
        <f t="shared" si="340"/>
        <v/>
      </c>
      <c r="CW125" s="386">
        <f t="shared" si="260"/>
        <v>0</v>
      </c>
      <c r="CX125" s="386" t="str">
        <f t="shared" si="341"/>
        <v/>
      </c>
      <c r="CY125" s="387" t="str">
        <f t="shared" si="342"/>
        <v/>
      </c>
      <c r="CZ125" s="682" t="str">
        <f t="shared" si="343"/>
        <v/>
      </c>
      <c r="DA125" s="4" t="str">
        <f t="shared" si="344"/>
        <v/>
      </c>
      <c r="DB125" s="386" t="str">
        <f t="shared" si="345"/>
        <v/>
      </c>
      <c r="DC125" s="386">
        <f t="shared" si="261"/>
        <v>0</v>
      </c>
      <c r="DD125" s="386" t="str">
        <f t="shared" si="346"/>
        <v/>
      </c>
      <c r="DE125" s="387" t="str">
        <f t="shared" si="347"/>
        <v/>
      </c>
      <c r="DF125" s="682">
        <f t="shared" si="348"/>
        <v>0</v>
      </c>
      <c r="DG125" s="4">
        <f t="shared" si="349"/>
        <v>235</v>
      </c>
      <c r="DH125" s="386">
        <f t="shared" si="350"/>
        <v>500</v>
      </c>
      <c r="DI125" s="386">
        <f t="shared" si="367"/>
        <v>735</v>
      </c>
      <c r="DJ125" s="386">
        <f t="shared" si="352"/>
        <v>1313.8500000000001</v>
      </c>
      <c r="DK125" s="387">
        <f t="shared" si="353"/>
        <v>23268283.500000004</v>
      </c>
      <c r="DL125" s="682"/>
      <c r="DM125" s="4" t="str">
        <f t="shared" si="354"/>
        <v/>
      </c>
      <c r="DN125" s="386" t="str">
        <f t="shared" si="355"/>
        <v/>
      </c>
      <c r="DO125" s="386">
        <f t="shared" si="368"/>
        <v>0</v>
      </c>
      <c r="DP125" s="386" t="str">
        <f t="shared" si="357"/>
        <v/>
      </c>
      <c r="DQ125" s="387" t="str">
        <f t="shared" si="358"/>
        <v/>
      </c>
    </row>
    <row r="126" spans="1:121" x14ac:dyDescent="0.25">
      <c r="A126" t="s">
        <v>405</v>
      </c>
      <c r="B126" t="s">
        <v>33</v>
      </c>
      <c r="C126" s="383" t="s">
        <v>34</v>
      </c>
      <c r="D126" t="s">
        <v>270</v>
      </c>
      <c r="E126" s="383" t="s">
        <v>271</v>
      </c>
      <c r="F126" t="s">
        <v>406</v>
      </c>
      <c r="G126" s="383" t="s">
        <v>407</v>
      </c>
      <c r="H126" s="385" t="str">
        <f t="shared" si="264"/>
        <v/>
      </c>
      <c r="I126" s="386" t="str">
        <f t="shared" si="265"/>
        <v/>
      </c>
      <c r="J126" s="386" t="str">
        <f t="shared" si="266"/>
        <v/>
      </c>
      <c r="K126" s="386">
        <f t="shared" si="267"/>
        <v>0</v>
      </c>
      <c r="L126" s="386" t="str">
        <f t="shared" si="268"/>
        <v/>
      </c>
      <c r="M126" s="387" t="str">
        <f t="shared" si="269"/>
        <v/>
      </c>
      <c r="N126" s="385"/>
      <c r="O126" s="386"/>
      <c r="P126" s="386"/>
      <c r="Q126" s="386"/>
      <c r="R126" s="386"/>
      <c r="S126" s="387"/>
      <c r="T126" s="385" t="str">
        <f t="shared" si="270"/>
        <v/>
      </c>
      <c r="U126" s="386" t="str">
        <f t="shared" si="271"/>
        <v/>
      </c>
      <c r="V126" s="386" t="str">
        <f t="shared" si="272"/>
        <v/>
      </c>
      <c r="W126" s="386">
        <f t="shared" si="273"/>
        <v>0</v>
      </c>
      <c r="X126" s="386" t="str">
        <f t="shared" si="274"/>
        <v/>
      </c>
      <c r="Y126" s="387" t="str">
        <f t="shared" si="275"/>
        <v/>
      </c>
      <c r="Z126" s="3">
        <f t="shared" si="276"/>
        <v>0</v>
      </c>
      <c r="AA126" s="4">
        <f t="shared" si="277"/>
        <v>0</v>
      </c>
      <c r="AB126" s="386">
        <f t="shared" si="278"/>
        <v>40</v>
      </c>
      <c r="AC126" s="386">
        <f t="shared" si="279"/>
        <v>40</v>
      </c>
      <c r="AD126" s="386" t="str">
        <f t="shared" si="280"/>
        <v/>
      </c>
      <c r="AE126" s="387">
        <f t="shared" si="281"/>
        <v>318960</v>
      </c>
      <c r="AF126" s="682">
        <f t="shared" si="282"/>
        <v>0</v>
      </c>
      <c r="AG126" s="4">
        <f t="shared" si="283"/>
        <v>286</v>
      </c>
      <c r="AH126" s="386">
        <f t="shared" si="284"/>
        <v>1296.5</v>
      </c>
      <c r="AI126" s="386">
        <f t="shared" si="359"/>
        <v>1582.5</v>
      </c>
      <c r="AJ126" s="386">
        <f t="shared" si="286"/>
        <v>2833.59</v>
      </c>
      <c r="AK126" s="387">
        <f t="shared" si="287"/>
        <v>56671800</v>
      </c>
      <c r="AL126" s="385"/>
      <c r="AM126" s="386"/>
      <c r="AN126" s="386"/>
      <c r="AO126" s="386"/>
      <c r="AP126" s="386"/>
      <c r="AQ126" s="387"/>
      <c r="AR126" s="682">
        <f t="shared" si="288"/>
        <v>6</v>
      </c>
      <c r="AS126" s="4">
        <f t="shared" si="289"/>
        <v>0</v>
      </c>
      <c r="AT126" s="386">
        <f t="shared" si="290"/>
        <v>5.8</v>
      </c>
      <c r="AU126" s="386">
        <f t="shared" si="360"/>
        <v>5.8</v>
      </c>
      <c r="AV126" s="386">
        <f t="shared" si="292"/>
        <v>2.7434000000000003</v>
      </c>
      <c r="AW126" s="387">
        <f t="shared" si="293"/>
        <v>46637.8</v>
      </c>
      <c r="AX126" s="682" t="str">
        <f t="shared" si="294"/>
        <v/>
      </c>
      <c r="AY126" s="4" t="str">
        <f t="shared" si="295"/>
        <v/>
      </c>
      <c r="AZ126" s="386" t="str">
        <f t="shared" si="296"/>
        <v/>
      </c>
      <c r="BA126" s="386">
        <f t="shared" si="361"/>
        <v>0</v>
      </c>
      <c r="BB126" s="386" t="str">
        <f t="shared" si="375"/>
        <v/>
      </c>
      <c r="BC126" s="387" t="str">
        <f t="shared" si="376"/>
        <v/>
      </c>
      <c r="BD126" s="682" t="str">
        <f t="shared" si="300"/>
        <v/>
      </c>
      <c r="BE126" s="4" t="str">
        <f t="shared" si="301"/>
        <v/>
      </c>
      <c r="BF126" s="386" t="str">
        <f t="shared" si="302"/>
        <v/>
      </c>
      <c r="BG126" s="386">
        <f t="shared" si="362"/>
        <v>0</v>
      </c>
      <c r="BH126" s="386" t="str">
        <f t="shared" si="303"/>
        <v/>
      </c>
      <c r="BI126" s="387" t="str">
        <f t="shared" si="304"/>
        <v/>
      </c>
      <c r="BJ126" s="682">
        <f t="shared" si="305"/>
        <v>0</v>
      </c>
      <c r="BK126" s="4">
        <f t="shared" si="306"/>
        <v>562</v>
      </c>
      <c r="BL126" s="386">
        <f t="shared" si="307"/>
        <v>0</v>
      </c>
      <c r="BM126" s="386">
        <f t="shared" si="363"/>
        <v>562</v>
      </c>
      <c r="BN126" s="386">
        <f t="shared" si="308"/>
        <v>276.45100000000008</v>
      </c>
      <c r="BO126" s="387">
        <f t="shared" si="309"/>
        <v>3870314.0000000005</v>
      </c>
      <c r="BP126" s="682">
        <f t="shared" si="310"/>
        <v>0</v>
      </c>
      <c r="BQ126" s="4">
        <f t="shared" si="311"/>
        <v>0</v>
      </c>
      <c r="BR126" s="386">
        <f t="shared" si="312"/>
        <v>4257.5</v>
      </c>
      <c r="BS126" s="386">
        <f t="shared" si="364"/>
        <v>4257.5</v>
      </c>
      <c r="BT126" s="386">
        <f t="shared" si="314"/>
        <v>1871.7045000000001</v>
      </c>
      <c r="BU126" s="387">
        <f t="shared" si="315"/>
        <v>24332158.5</v>
      </c>
      <c r="BV126" s="682">
        <f t="shared" si="316"/>
        <v>0</v>
      </c>
      <c r="BW126" s="4">
        <f t="shared" si="317"/>
        <v>200</v>
      </c>
      <c r="BX126" s="386">
        <f t="shared" si="318"/>
        <v>90</v>
      </c>
      <c r="BY126" s="386">
        <f t="shared" si="370"/>
        <v>290</v>
      </c>
      <c r="BZ126" s="386">
        <f t="shared" si="319"/>
        <v>0</v>
      </c>
      <c r="CA126" s="387">
        <f t="shared" si="320"/>
        <v>3922000</v>
      </c>
      <c r="CB126" s="682" t="str">
        <f t="shared" si="371"/>
        <v/>
      </c>
      <c r="CC126" s="4" t="str">
        <f t="shared" si="322"/>
        <v/>
      </c>
      <c r="CD126" s="386" t="str">
        <f t="shared" si="372"/>
        <v/>
      </c>
      <c r="CE126" s="386">
        <f t="shared" si="259"/>
        <v>0</v>
      </c>
      <c r="CF126" s="386" t="str">
        <f t="shared" si="373"/>
        <v/>
      </c>
      <c r="CG126" s="387" t="str">
        <f t="shared" si="374"/>
        <v/>
      </c>
      <c r="CH126" s="682">
        <f t="shared" si="326"/>
        <v>0</v>
      </c>
      <c r="CI126" s="4">
        <f t="shared" si="327"/>
        <v>85</v>
      </c>
      <c r="CJ126" s="386">
        <f t="shared" si="328"/>
        <v>2067</v>
      </c>
      <c r="CK126" s="386">
        <f t="shared" si="365"/>
        <v>2152</v>
      </c>
      <c r="CL126" s="386">
        <f t="shared" si="330"/>
        <v>1213.472</v>
      </c>
      <c r="CM126" s="387">
        <f t="shared" si="331"/>
        <v>28443783.680000003</v>
      </c>
      <c r="CN126" s="682">
        <f t="shared" si="332"/>
        <v>0</v>
      </c>
      <c r="CO126" s="4">
        <f t="shared" si="333"/>
        <v>0</v>
      </c>
      <c r="CP126" s="386">
        <f t="shared" si="334"/>
        <v>526.1</v>
      </c>
      <c r="CQ126" s="386">
        <f t="shared" si="366"/>
        <v>526.1</v>
      </c>
      <c r="CR126" s="386">
        <f t="shared" si="336"/>
        <v>654.99450000000002</v>
      </c>
      <c r="CS126" s="387">
        <f t="shared" si="337"/>
        <v>11383804.409999998</v>
      </c>
      <c r="CT126" s="682" t="str">
        <f t="shared" si="338"/>
        <v/>
      </c>
      <c r="CU126" s="4" t="str">
        <f t="shared" si="339"/>
        <v/>
      </c>
      <c r="CV126" s="386" t="str">
        <f t="shared" si="340"/>
        <v/>
      </c>
      <c r="CW126" s="386">
        <f t="shared" si="260"/>
        <v>0</v>
      </c>
      <c r="CX126" s="386" t="str">
        <f t="shared" si="341"/>
        <v/>
      </c>
      <c r="CY126" s="387" t="str">
        <f t="shared" si="342"/>
        <v/>
      </c>
      <c r="CZ126" s="682" t="str">
        <f t="shared" si="343"/>
        <v/>
      </c>
      <c r="DA126" s="4" t="str">
        <f t="shared" si="344"/>
        <v/>
      </c>
      <c r="DB126" s="386" t="str">
        <f t="shared" si="345"/>
        <v/>
      </c>
      <c r="DC126" s="386">
        <f t="shared" si="261"/>
        <v>0</v>
      </c>
      <c r="DD126" s="386" t="str">
        <f t="shared" si="346"/>
        <v/>
      </c>
      <c r="DE126" s="387" t="str">
        <f t="shared" si="347"/>
        <v/>
      </c>
      <c r="DF126" s="682">
        <f t="shared" si="348"/>
        <v>0</v>
      </c>
      <c r="DG126" s="4">
        <f t="shared" si="349"/>
        <v>0</v>
      </c>
      <c r="DH126" s="386">
        <f t="shared" si="350"/>
        <v>1057</v>
      </c>
      <c r="DI126" s="386">
        <f t="shared" si="367"/>
        <v>1057</v>
      </c>
      <c r="DJ126" s="386">
        <f t="shared" si="352"/>
        <v>487.27700000000004</v>
      </c>
      <c r="DK126" s="387">
        <f t="shared" si="353"/>
        <v>9022876.4000000022</v>
      </c>
      <c r="DL126" s="682"/>
      <c r="DM126" s="4" t="str">
        <f t="shared" si="354"/>
        <v/>
      </c>
      <c r="DN126" s="386" t="str">
        <f t="shared" si="355"/>
        <v/>
      </c>
      <c r="DO126" s="386">
        <f t="shared" si="368"/>
        <v>0</v>
      </c>
      <c r="DP126" s="386" t="str">
        <f t="shared" si="357"/>
        <v/>
      </c>
      <c r="DQ126" s="387" t="str">
        <f t="shared" si="358"/>
        <v/>
      </c>
    </row>
    <row r="127" spans="1:121" ht="16.5" thickBot="1" x14ac:dyDescent="0.3">
      <c r="A127" t="s">
        <v>408</v>
      </c>
      <c r="B127" t="s">
        <v>33</v>
      </c>
      <c r="C127" s="383" t="s">
        <v>34</v>
      </c>
      <c r="D127" t="s">
        <v>270</v>
      </c>
      <c r="E127" s="383" t="s">
        <v>271</v>
      </c>
      <c r="F127" t="s">
        <v>409</v>
      </c>
      <c r="G127" s="383" t="s">
        <v>410</v>
      </c>
      <c r="H127" s="385" t="str">
        <f t="shared" si="264"/>
        <v/>
      </c>
      <c r="I127" s="386" t="str">
        <f t="shared" si="265"/>
        <v/>
      </c>
      <c r="J127" s="386" t="str">
        <f t="shared" si="266"/>
        <v/>
      </c>
      <c r="K127" s="386">
        <f t="shared" si="267"/>
        <v>0</v>
      </c>
      <c r="L127" s="386" t="str">
        <f t="shared" si="268"/>
        <v/>
      </c>
      <c r="M127" s="387" t="str">
        <f t="shared" si="269"/>
        <v/>
      </c>
      <c r="N127" s="388"/>
      <c r="O127" s="389"/>
      <c r="P127" s="389"/>
      <c r="Q127" s="389"/>
      <c r="R127" s="389"/>
      <c r="S127" s="390"/>
      <c r="T127" s="385" t="str">
        <f t="shared" si="270"/>
        <v/>
      </c>
      <c r="U127" s="386" t="str">
        <f t="shared" si="271"/>
        <v/>
      </c>
      <c r="V127" s="386" t="str">
        <f t="shared" si="272"/>
        <v/>
      </c>
      <c r="W127" s="386">
        <f t="shared" si="273"/>
        <v>0</v>
      </c>
      <c r="X127" s="386" t="str">
        <f t="shared" si="274"/>
        <v/>
      </c>
      <c r="Y127" s="387" t="str">
        <f t="shared" si="275"/>
        <v/>
      </c>
      <c r="Z127" s="3">
        <f t="shared" si="276"/>
        <v>0</v>
      </c>
      <c r="AA127" s="4">
        <f t="shared" si="277"/>
        <v>0</v>
      </c>
      <c r="AB127" s="386">
        <f t="shared" si="278"/>
        <v>517</v>
      </c>
      <c r="AC127" s="386">
        <f t="shared" si="279"/>
        <v>517</v>
      </c>
      <c r="AD127" s="386" t="str">
        <f t="shared" si="280"/>
        <v/>
      </c>
      <c r="AE127" s="387">
        <f t="shared" si="281"/>
        <v>4122558</v>
      </c>
      <c r="AF127" s="682">
        <f t="shared" si="282"/>
        <v>0</v>
      </c>
      <c r="AG127" s="4">
        <f t="shared" si="283"/>
        <v>0</v>
      </c>
      <c r="AH127" s="386">
        <f t="shared" si="284"/>
        <v>2105</v>
      </c>
      <c r="AI127" s="386">
        <f t="shared" si="359"/>
        <v>2105</v>
      </c>
      <c r="AJ127" s="386">
        <f t="shared" si="286"/>
        <v>2289.1875</v>
      </c>
      <c r="AK127" s="387">
        <f t="shared" si="287"/>
        <v>45783750</v>
      </c>
      <c r="AL127" s="388"/>
      <c r="AM127" s="389"/>
      <c r="AN127" s="389"/>
      <c r="AO127" s="389"/>
      <c r="AP127" s="389"/>
      <c r="AQ127" s="390"/>
      <c r="AR127" s="682" t="str">
        <f t="shared" si="288"/>
        <v/>
      </c>
      <c r="AS127" s="4" t="str">
        <f t="shared" si="289"/>
        <v/>
      </c>
      <c r="AT127" s="386" t="str">
        <f t="shared" si="290"/>
        <v/>
      </c>
      <c r="AU127" s="386">
        <f t="shared" si="360"/>
        <v>0</v>
      </c>
      <c r="AV127" s="386" t="str">
        <f t="shared" si="292"/>
        <v/>
      </c>
      <c r="AW127" s="387" t="str">
        <f t="shared" si="293"/>
        <v/>
      </c>
      <c r="AX127" s="682" t="str">
        <f t="shared" si="294"/>
        <v/>
      </c>
      <c r="AY127" s="4" t="str">
        <f t="shared" si="295"/>
        <v/>
      </c>
      <c r="AZ127" s="386" t="str">
        <f t="shared" si="296"/>
        <v/>
      </c>
      <c r="BA127" s="386">
        <f t="shared" si="361"/>
        <v>0</v>
      </c>
      <c r="BB127" s="386" t="str">
        <f t="shared" si="375"/>
        <v/>
      </c>
      <c r="BC127" s="387" t="str">
        <f t="shared" si="376"/>
        <v/>
      </c>
      <c r="BD127" s="682" t="str">
        <f t="shared" si="300"/>
        <v/>
      </c>
      <c r="BE127" s="4" t="str">
        <f t="shared" si="301"/>
        <v/>
      </c>
      <c r="BF127" s="386" t="str">
        <f t="shared" si="302"/>
        <v/>
      </c>
      <c r="BG127" s="386">
        <f t="shared" si="362"/>
        <v>0</v>
      </c>
      <c r="BH127" s="386" t="str">
        <f t="shared" si="303"/>
        <v/>
      </c>
      <c r="BI127" s="387" t="str">
        <f t="shared" si="304"/>
        <v/>
      </c>
      <c r="BJ127" s="682">
        <f t="shared" si="305"/>
        <v>0</v>
      </c>
      <c r="BK127" s="4">
        <f t="shared" si="306"/>
        <v>120</v>
      </c>
      <c r="BL127" s="386">
        <f t="shared" si="307"/>
        <v>0</v>
      </c>
      <c r="BM127" s="386">
        <f t="shared" si="363"/>
        <v>120</v>
      </c>
      <c r="BN127" s="386">
        <f t="shared" si="308"/>
        <v>53.8</v>
      </c>
      <c r="BO127" s="387">
        <f t="shared" si="309"/>
        <v>753200</v>
      </c>
      <c r="BP127" s="682">
        <f t="shared" si="310"/>
        <v>0</v>
      </c>
      <c r="BQ127" s="4">
        <f t="shared" si="311"/>
        <v>1.5</v>
      </c>
      <c r="BR127" s="386">
        <f t="shared" si="312"/>
        <v>3389</v>
      </c>
      <c r="BS127" s="386">
        <f t="shared" si="364"/>
        <v>3390.5</v>
      </c>
      <c r="BT127" s="386">
        <f t="shared" si="314"/>
        <v>2078.31</v>
      </c>
      <c r="BU127" s="387">
        <f t="shared" si="315"/>
        <v>27018030</v>
      </c>
      <c r="BV127" s="682">
        <f t="shared" si="316"/>
        <v>0</v>
      </c>
      <c r="BW127" s="4">
        <f t="shared" si="317"/>
        <v>0</v>
      </c>
      <c r="BX127" s="386">
        <f t="shared" si="318"/>
        <v>100</v>
      </c>
      <c r="BY127" s="386">
        <f t="shared" si="370"/>
        <v>100</v>
      </c>
      <c r="BZ127" s="386">
        <f t="shared" si="319"/>
        <v>0</v>
      </c>
      <c r="CA127" s="387">
        <f t="shared" si="320"/>
        <v>296000</v>
      </c>
      <c r="CB127" s="682" t="str">
        <f t="shared" si="371"/>
        <v/>
      </c>
      <c r="CC127" s="4" t="str">
        <f t="shared" si="322"/>
        <v/>
      </c>
      <c r="CD127" s="386" t="str">
        <f t="shared" si="372"/>
        <v/>
      </c>
      <c r="CE127" s="386">
        <f t="shared" si="259"/>
        <v>0</v>
      </c>
      <c r="CF127" s="386" t="str">
        <f t="shared" si="373"/>
        <v/>
      </c>
      <c r="CG127" s="387" t="str">
        <f t="shared" si="374"/>
        <v/>
      </c>
      <c r="CH127" s="682">
        <f t="shared" si="326"/>
        <v>0</v>
      </c>
      <c r="CI127" s="4">
        <f t="shared" si="327"/>
        <v>0</v>
      </c>
      <c r="CJ127" s="386">
        <f t="shared" si="328"/>
        <v>196</v>
      </c>
      <c r="CK127" s="386">
        <f t="shared" si="365"/>
        <v>196</v>
      </c>
      <c r="CL127" s="386">
        <f t="shared" si="330"/>
        <v>81.536000000000001</v>
      </c>
      <c r="CM127" s="387">
        <f t="shared" si="331"/>
        <v>1911203.8400000001</v>
      </c>
      <c r="CN127" s="682">
        <f t="shared" si="332"/>
        <v>0</v>
      </c>
      <c r="CO127" s="4">
        <f t="shared" si="333"/>
        <v>0</v>
      </c>
      <c r="CP127" s="386">
        <f t="shared" si="334"/>
        <v>116</v>
      </c>
      <c r="CQ127" s="386">
        <f t="shared" si="366"/>
        <v>116</v>
      </c>
      <c r="CR127" s="386">
        <f t="shared" si="336"/>
        <v>48.140000000000008</v>
      </c>
      <c r="CS127" s="387">
        <f t="shared" si="337"/>
        <v>836673.20000000007</v>
      </c>
      <c r="CT127" s="682" t="str">
        <f t="shared" si="338"/>
        <v/>
      </c>
      <c r="CU127" s="4" t="str">
        <f t="shared" si="339"/>
        <v/>
      </c>
      <c r="CV127" s="386" t="str">
        <f t="shared" si="340"/>
        <v/>
      </c>
      <c r="CW127" s="386">
        <f t="shared" si="260"/>
        <v>0</v>
      </c>
      <c r="CX127" s="386" t="str">
        <f t="shared" si="341"/>
        <v/>
      </c>
      <c r="CY127" s="387" t="str">
        <f t="shared" si="342"/>
        <v/>
      </c>
      <c r="CZ127" s="682" t="str">
        <f t="shared" si="343"/>
        <v/>
      </c>
      <c r="DA127" s="4" t="str">
        <f t="shared" si="344"/>
        <v/>
      </c>
      <c r="DB127" s="386" t="str">
        <f t="shared" si="345"/>
        <v/>
      </c>
      <c r="DC127" s="386">
        <f t="shared" si="261"/>
        <v>0</v>
      </c>
      <c r="DD127" s="386" t="str">
        <f t="shared" si="346"/>
        <v/>
      </c>
      <c r="DE127" s="387" t="str">
        <f t="shared" si="347"/>
        <v/>
      </c>
      <c r="DF127" s="682">
        <f t="shared" si="348"/>
        <v>0</v>
      </c>
      <c r="DG127" s="4">
        <f t="shared" si="349"/>
        <v>0</v>
      </c>
      <c r="DH127" s="386">
        <f t="shared" si="350"/>
        <v>192</v>
      </c>
      <c r="DI127" s="386">
        <f t="shared" si="367"/>
        <v>192</v>
      </c>
      <c r="DJ127" s="386">
        <f t="shared" si="352"/>
        <v>88.512</v>
      </c>
      <c r="DK127" s="387">
        <f t="shared" si="353"/>
        <v>1567547.52</v>
      </c>
      <c r="DL127" s="682"/>
      <c r="DM127" s="4">
        <f t="shared" si="354"/>
        <v>0</v>
      </c>
      <c r="DN127" s="386">
        <f t="shared" si="355"/>
        <v>71</v>
      </c>
      <c r="DO127" s="386">
        <f t="shared" si="368"/>
        <v>71</v>
      </c>
      <c r="DP127" s="386">
        <f t="shared" si="357"/>
        <v>185.31</v>
      </c>
      <c r="DQ127" s="387">
        <f t="shared" si="358"/>
        <v>565983.6</v>
      </c>
    </row>
  </sheetData>
  <autoFilter ref="A2:BI127" xr:uid="{7F2EC43E-33AA-FB49-9DB0-AC344D52BFB3}"/>
  <sortState xmlns:xlrd2="http://schemas.microsoft.com/office/spreadsheetml/2017/richdata2" ref="A80:BI127">
    <sortCondition ref="G80:G127"/>
  </sortState>
  <mergeCells count="19">
    <mergeCell ref="BV1:CA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DL1:DQ1"/>
    <mergeCell ref="CB1:CG1"/>
    <mergeCell ref="CH1:CM1"/>
    <mergeCell ref="CN1:CS1"/>
    <mergeCell ref="CT1:CY1"/>
    <mergeCell ref="CZ1:DE1"/>
    <mergeCell ref="DF1:D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160A-2B36-7943-A956-27DFB08312C2}">
  <sheetPr>
    <tabColor rgb="FFC00000"/>
  </sheetPr>
  <dimension ref="A1:KG38"/>
  <sheetViews>
    <sheetView view="pageBreakPreview" topLeftCell="D1" zoomScale="91" zoomScaleNormal="70" zoomScaleSheetLayoutView="91" workbookViewId="0">
      <pane ySplit="17" topLeftCell="A18" activePane="bottomLeft" state="frozen"/>
      <selection activeCell="P74" sqref="P74"/>
      <selection pane="bottomLeft" activeCell="B27" sqref="B27"/>
    </sheetView>
  </sheetViews>
  <sheetFormatPr defaultColWidth="9.125" defaultRowHeight="15.75" x14ac:dyDescent="0.25"/>
  <cols>
    <col min="1" max="1" width="5.875" style="393" customWidth="1"/>
    <col min="2" max="2" width="16" style="393" customWidth="1"/>
    <col min="3" max="3" width="15.125" style="393" customWidth="1"/>
    <col min="4" max="4" width="12" style="393" customWidth="1"/>
    <col min="5" max="5" width="12.625" style="718" customWidth="1"/>
    <col min="6" max="6" width="17.375" style="393" customWidth="1"/>
    <col min="7" max="7" width="13.375" style="393" customWidth="1"/>
    <col min="8" max="8" width="10.625" style="721" bestFit="1" customWidth="1"/>
    <col min="9" max="9" width="11.375" style="393" customWidth="1"/>
    <col min="10" max="10" width="9.375" style="393" customWidth="1"/>
    <col min="11" max="11" width="9" style="393" customWidth="1"/>
    <col min="12" max="12" width="8.125" style="393" customWidth="1"/>
    <col min="13" max="13" width="12.5" style="393" customWidth="1"/>
    <col min="14" max="14" width="12" style="393" customWidth="1"/>
    <col min="15" max="15" width="16.625" style="393" customWidth="1"/>
    <col min="16" max="16" width="13.5" style="393" customWidth="1"/>
    <col min="17" max="17" width="15.625" style="393" customWidth="1"/>
    <col min="18" max="18" width="20.5" style="393" bestFit="1" customWidth="1"/>
    <col min="19" max="19" width="19.375" style="393" customWidth="1"/>
    <col min="20" max="20" width="13.875" style="393" customWidth="1"/>
    <col min="21" max="16384" width="9.125" style="393"/>
  </cols>
  <sheetData>
    <row r="1" spans="1:20" ht="15.75" customHeight="1" x14ac:dyDescent="0.25">
      <c r="A1" s="1727" t="s">
        <v>413</v>
      </c>
      <c r="B1" s="1727"/>
      <c r="C1" s="1727"/>
      <c r="D1" s="1727"/>
      <c r="E1" s="1727"/>
      <c r="F1" s="1727"/>
      <c r="G1" s="1727"/>
      <c r="H1" s="1727"/>
      <c r="I1" s="1727"/>
      <c r="J1" s="1727"/>
      <c r="K1" s="1727"/>
      <c r="L1" s="1727"/>
      <c r="M1" s="1727"/>
      <c r="N1" s="1727"/>
      <c r="O1" s="1727"/>
      <c r="P1" s="1727"/>
      <c r="Q1" s="1727"/>
      <c r="R1" s="1727"/>
      <c r="S1" s="1727"/>
    </row>
    <row r="2" spans="1:20" ht="18" x14ac:dyDescent="0.4">
      <c r="A2" s="757"/>
      <c r="B2" s="392"/>
      <c r="C2" s="392"/>
      <c r="D2" s="757"/>
      <c r="E2" s="392"/>
      <c r="F2" s="1518"/>
      <c r="G2" s="392" t="s">
        <v>919</v>
      </c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</row>
    <row r="3" spans="1:20" ht="18" x14ac:dyDescent="0.4">
      <c r="A3" s="757"/>
      <c r="B3" s="758"/>
      <c r="C3" s="758"/>
      <c r="D3" s="759"/>
      <c r="E3" s="758"/>
      <c r="F3" s="1519"/>
      <c r="G3" s="392" t="s">
        <v>920</v>
      </c>
      <c r="H3" s="758"/>
      <c r="I3" s="760"/>
      <c r="J3" s="758"/>
      <c r="K3" s="758"/>
      <c r="L3" s="758"/>
      <c r="M3" s="758"/>
      <c r="N3" s="758"/>
      <c r="O3" s="758"/>
      <c r="P3" s="758"/>
      <c r="Q3" s="758"/>
      <c r="R3" s="758"/>
      <c r="S3" s="758"/>
    </row>
    <row r="4" spans="1:20" x14ac:dyDescent="0.25">
      <c r="A4" s="757"/>
      <c r="B4" s="392"/>
      <c r="C4" s="392"/>
      <c r="D4" s="757"/>
      <c r="E4" s="392"/>
      <c r="F4" s="1518"/>
      <c r="G4" s="392" t="s">
        <v>754</v>
      </c>
      <c r="H4" s="392"/>
      <c r="I4" s="761"/>
      <c r="J4" s="392"/>
      <c r="K4" s="392"/>
      <c r="L4" s="392"/>
      <c r="M4" s="392"/>
      <c r="N4" s="392"/>
      <c r="O4" s="392"/>
      <c r="P4" s="392"/>
      <c r="Q4" s="392"/>
      <c r="R4" s="392"/>
      <c r="S4" s="392"/>
    </row>
    <row r="5" spans="1:20" x14ac:dyDescent="0.25">
      <c r="A5" s="757"/>
      <c r="B5" s="392"/>
      <c r="C5" s="392"/>
      <c r="D5" s="757"/>
      <c r="E5" s="392"/>
      <c r="F5" s="1518"/>
      <c r="G5" s="392" t="s">
        <v>921</v>
      </c>
      <c r="H5" s="392"/>
      <c r="I5" s="762"/>
      <c r="J5" s="392"/>
      <c r="K5" s="392"/>
      <c r="L5" s="392"/>
      <c r="M5" s="392"/>
      <c r="N5" s="392"/>
      <c r="O5" s="392"/>
      <c r="P5" s="392"/>
      <c r="Q5" s="392"/>
      <c r="R5" s="392"/>
      <c r="S5" s="392"/>
    </row>
    <row r="6" spans="1:20" x14ac:dyDescent="0.25">
      <c r="A6" s="757"/>
      <c r="B6" s="392"/>
      <c r="C6" s="392"/>
      <c r="D6" s="757"/>
      <c r="E6" s="392"/>
      <c r="F6" s="1518"/>
      <c r="G6" s="392" t="s">
        <v>756</v>
      </c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392"/>
      <c r="S6" s="392"/>
    </row>
    <row r="7" spans="1:20" ht="16.5" thickBot="1" x14ac:dyDescent="0.3">
      <c r="A7" s="1598"/>
      <c r="B7" s="1598"/>
      <c r="C7" s="1598"/>
      <c r="D7" s="1598"/>
      <c r="E7" s="1598"/>
      <c r="F7" s="1598"/>
      <c r="G7" s="1598"/>
      <c r="H7" s="1598"/>
      <c r="I7" s="1598"/>
      <c r="J7" s="1598"/>
      <c r="K7" s="1598"/>
      <c r="L7" s="1598"/>
      <c r="M7" s="1598"/>
      <c r="N7" s="1598"/>
      <c r="O7" s="1598"/>
      <c r="P7" s="1598"/>
      <c r="Q7" s="1598"/>
      <c r="R7" s="1598"/>
      <c r="S7" s="1598"/>
    </row>
    <row r="8" spans="1:20" x14ac:dyDescent="0.25">
      <c r="A8" s="763" t="s">
        <v>417</v>
      </c>
      <c r="B8" s="764"/>
      <c r="C8" s="764"/>
      <c r="D8" s="765"/>
      <c r="E8" s="765"/>
      <c r="F8" s="766"/>
      <c r="G8" s="764"/>
      <c r="H8" s="764"/>
      <c r="I8" s="764"/>
      <c r="J8" s="764"/>
      <c r="K8" s="764"/>
      <c r="L8" s="764"/>
      <c r="M8" s="1668" t="s">
        <v>418</v>
      </c>
      <c r="N8" s="1669"/>
      <c r="O8" s="1669"/>
      <c r="P8" s="1669"/>
      <c r="Q8" s="1669"/>
      <c r="R8" s="1669"/>
      <c r="S8" s="1669"/>
      <c r="T8" s="767"/>
    </row>
    <row r="9" spans="1:20" x14ac:dyDescent="0.25">
      <c r="A9" s="768"/>
      <c r="B9" s="403" t="s">
        <v>757</v>
      </c>
      <c r="C9" s="412" t="s">
        <v>758</v>
      </c>
      <c r="D9" s="413"/>
      <c r="E9" s="404"/>
      <c r="F9" s="769"/>
      <c r="G9" s="403"/>
      <c r="H9" s="403"/>
      <c r="I9" s="403"/>
      <c r="J9" s="403"/>
      <c r="K9" s="403"/>
      <c r="L9" s="403"/>
      <c r="M9" s="405" t="s">
        <v>421</v>
      </c>
      <c r="N9" s="395"/>
      <c r="O9" s="395"/>
      <c r="P9" s="395" t="s">
        <v>422</v>
      </c>
      <c r="Q9" s="395"/>
      <c r="R9" s="395"/>
      <c r="S9" s="395"/>
      <c r="T9" s="770"/>
    </row>
    <row r="10" spans="1:20" x14ac:dyDescent="0.25">
      <c r="A10" s="768"/>
      <c r="B10" s="403" t="s">
        <v>759</v>
      </c>
      <c r="C10" s="771"/>
      <c r="D10" s="772"/>
      <c r="E10" s="404"/>
      <c r="F10" s="769"/>
      <c r="G10" s="403"/>
      <c r="H10" s="403"/>
      <c r="I10" s="403"/>
      <c r="J10" s="403"/>
      <c r="K10" s="403"/>
      <c r="L10" s="403"/>
      <c r="M10" s="773"/>
      <c r="O10" s="408" t="s">
        <v>423</v>
      </c>
      <c r="P10" s="403"/>
      <c r="Q10" s="403" t="s">
        <v>760</v>
      </c>
      <c r="R10" s="403"/>
      <c r="S10" s="403"/>
      <c r="T10" s="775"/>
    </row>
    <row r="11" spans="1:20" x14ac:dyDescent="0.25">
      <c r="A11" s="768"/>
      <c r="B11" s="403" t="s">
        <v>761</v>
      </c>
      <c r="C11" s="771"/>
      <c r="D11" s="772"/>
      <c r="E11" s="404"/>
      <c r="F11" s="769"/>
      <c r="G11" s="403"/>
      <c r="H11" s="403"/>
      <c r="I11" s="403"/>
      <c r="J11" s="403"/>
      <c r="K11" s="403"/>
      <c r="L11" s="403"/>
      <c r="M11" s="773"/>
      <c r="N11" s="769" t="s">
        <v>425</v>
      </c>
      <c r="O11" s="408" t="s">
        <v>426</v>
      </c>
      <c r="P11" s="403"/>
      <c r="Q11" s="403" t="s">
        <v>762</v>
      </c>
      <c r="R11" s="403"/>
      <c r="S11" s="403"/>
      <c r="T11" s="775"/>
    </row>
    <row r="12" spans="1:20" ht="18" x14ac:dyDescent="0.4">
      <c r="A12" s="768"/>
      <c r="B12" s="403"/>
      <c r="C12" s="403"/>
      <c r="D12" s="404"/>
      <c r="E12" s="404"/>
      <c r="F12" s="769"/>
      <c r="G12" s="403"/>
      <c r="H12" s="403"/>
      <c r="I12" s="403"/>
      <c r="J12" s="403"/>
      <c r="K12" s="403"/>
      <c r="L12" s="403"/>
      <c r="M12" s="773"/>
      <c r="N12" s="774" t="s">
        <v>922</v>
      </c>
      <c r="O12" s="408" t="s">
        <v>428</v>
      </c>
      <c r="P12" s="403"/>
      <c r="Q12" s="403" t="s">
        <v>763</v>
      </c>
      <c r="R12" s="403"/>
      <c r="S12" s="403"/>
      <c r="T12" s="775"/>
    </row>
    <row r="13" spans="1:20" x14ac:dyDescent="0.25">
      <c r="A13" s="1670" t="s">
        <v>430</v>
      </c>
      <c r="B13" s="1671"/>
      <c r="C13" s="1671"/>
      <c r="D13" s="1671"/>
      <c r="E13" s="1671"/>
      <c r="F13" s="1671"/>
      <c r="G13" s="1671"/>
      <c r="H13" s="1671"/>
      <c r="I13" s="1671"/>
      <c r="J13" s="1671"/>
      <c r="K13" s="1671"/>
      <c r="L13" s="1671"/>
      <c r="M13" s="1671"/>
      <c r="N13" s="1672"/>
      <c r="O13" s="1672"/>
      <c r="P13" s="1672"/>
      <c r="Q13" s="1672"/>
      <c r="R13" s="1672"/>
      <c r="S13" s="1672"/>
      <c r="T13" s="770"/>
    </row>
    <row r="14" spans="1:20" ht="15.75" customHeight="1" x14ac:dyDescent="0.25">
      <c r="A14" s="1673" t="s">
        <v>431</v>
      </c>
      <c r="B14" s="1660" t="s">
        <v>671</v>
      </c>
      <c r="C14" s="1661" t="s">
        <v>668</v>
      </c>
      <c r="D14" s="1675" t="s">
        <v>434</v>
      </c>
      <c r="E14" s="1675" t="s">
        <v>435</v>
      </c>
      <c r="F14" s="1661" t="s">
        <v>436</v>
      </c>
      <c r="G14" s="1660" t="s">
        <v>764</v>
      </c>
      <c r="H14" s="1586" t="s">
        <v>765</v>
      </c>
      <c r="I14" s="1662"/>
      <c r="J14" s="1663"/>
      <c r="K14" s="1586" t="s">
        <v>673</v>
      </c>
      <c r="L14" s="1663"/>
      <c r="M14" s="1586" t="s">
        <v>439</v>
      </c>
      <c r="N14" s="1588" t="s">
        <v>440</v>
      </c>
      <c r="O14" s="1589"/>
      <c r="P14" s="1589"/>
      <c r="Q14" s="1589"/>
      <c r="R14" s="1589"/>
      <c r="S14" s="1589"/>
      <c r="T14" s="777"/>
    </row>
    <row r="15" spans="1:20" ht="15.75" customHeight="1" x14ac:dyDescent="0.25">
      <c r="A15" s="1674"/>
      <c r="B15" s="1660"/>
      <c r="C15" s="1591"/>
      <c r="D15" s="1599"/>
      <c r="E15" s="1599"/>
      <c r="F15" s="1591"/>
      <c r="G15" s="1660"/>
      <c r="H15" s="1587"/>
      <c r="I15" s="1602"/>
      <c r="J15" s="1603"/>
      <c r="K15" s="1587"/>
      <c r="L15" s="1603"/>
      <c r="M15" s="1586"/>
      <c r="N15" s="1664" t="s">
        <v>766</v>
      </c>
      <c r="O15" s="1665"/>
      <c r="P15" s="1666"/>
      <c r="Q15" s="1664" t="s">
        <v>767</v>
      </c>
      <c r="R15" s="1667"/>
      <c r="S15" s="1667"/>
      <c r="T15" s="1658" t="s">
        <v>452</v>
      </c>
    </row>
    <row r="16" spans="1:20" ht="14.25" customHeight="1" x14ac:dyDescent="0.25">
      <c r="A16" s="1674"/>
      <c r="B16" s="1661"/>
      <c r="C16" s="1591"/>
      <c r="D16" s="1599"/>
      <c r="E16" s="1599"/>
      <c r="F16" s="1591"/>
      <c r="G16" s="1661"/>
      <c r="H16" s="778" t="s">
        <v>447</v>
      </c>
      <c r="I16" s="779" t="s">
        <v>448</v>
      </c>
      <c r="J16" s="779" t="s">
        <v>449</v>
      </c>
      <c r="K16" s="779" t="s">
        <v>441</v>
      </c>
      <c r="L16" s="779" t="s">
        <v>442</v>
      </c>
      <c r="M16" s="1587"/>
      <c r="N16" s="1517" t="s">
        <v>450</v>
      </c>
      <c r="O16" s="1517" t="s">
        <v>451</v>
      </c>
      <c r="P16" s="1517" t="s">
        <v>452</v>
      </c>
      <c r="Q16" s="1517" t="s">
        <v>450</v>
      </c>
      <c r="R16" s="1517" t="s">
        <v>453</v>
      </c>
      <c r="S16" s="780" t="s">
        <v>452</v>
      </c>
      <c r="T16" s="1659"/>
    </row>
    <row r="17" spans="1:293" ht="47.25" customHeight="1" x14ac:dyDescent="0.25">
      <c r="A17" s="711" t="s">
        <v>454</v>
      </c>
      <c r="B17" s="422">
        <v>1</v>
      </c>
      <c r="C17" s="422">
        <v>2</v>
      </c>
      <c r="D17" s="422">
        <v>3</v>
      </c>
      <c r="E17" s="422">
        <v>4</v>
      </c>
      <c r="F17" s="422">
        <v>5</v>
      </c>
      <c r="G17" s="422">
        <v>6</v>
      </c>
      <c r="H17" s="422">
        <v>7</v>
      </c>
      <c r="I17" s="422">
        <v>8</v>
      </c>
      <c r="J17" s="422">
        <v>9</v>
      </c>
      <c r="K17" s="422">
        <v>10</v>
      </c>
      <c r="L17" s="422">
        <v>11</v>
      </c>
      <c r="M17" s="422">
        <v>12</v>
      </c>
      <c r="N17" s="422">
        <v>13</v>
      </c>
      <c r="O17" s="422">
        <v>14</v>
      </c>
      <c r="P17" s="422">
        <v>15</v>
      </c>
      <c r="Q17" s="422">
        <v>16</v>
      </c>
      <c r="R17" s="422">
        <v>17</v>
      </c>
      <c r="S17" s="422">
        <v>18</v>
      </c>
      <c r="T17" s="422">
        <v>19</v>
      </c>
    </row>
    <row r="18" spans="1:293" s="875" customFormat="1" x14ac:dyDescent="0.25">
      <c r="A18" s="1050" t="s">
        <v>470</v>
      </c>
      <c r="B18" s="427"/>
      <c r="C18" s="427"/>
      <c r="D18" s="427"/>
      <c r="E18" s="427"/>
      <c r="F18" s="427"/>
      <c r="G18" s="427"/>
      <c r="H18" s="427" t="e">
        <f>H20</f>
        <v>#REF!</v>
      </c>
      <c r="I18" s="427" t="e">
        <f>I20</f>
        <v>#REF!</v>
      </c>
      <c r="J18" s="427" t="e">
        <f>J20</f>
        <v>#REF!</v>
      </c>
      <c r="K18" s="427"/>
      <c r="L18" s="427"/>
      <c r="M18" s="427"/>
      <c r="N18" s="427" t="e">
        <f>N20</f>
        <v>#REF!</v>
      </c>
      <c r="O18" s="427"/>
      <c r="P18" s="427" t="e">
        <f>P20</f>
        <v>#REF!</v>
      </c>
      <c r="Q18" s="1050"/>
      <c r="R18" s="427"/>
      <c r="S18" s="427"/>
      <c r="T18" s="427" t="e">
        <f>T20</f>
        <v>#REF!</v>
      </c>
    </row>
    <row r="19" spans="1:293" ht="18" x14ac:dyDescent="0.25">
      <c r="A19" s="1051"/>
      <c r="B19" s="1052"/>
      <c r="C19" s="1053"/>
      <c r="D19" s="1054"/>
      <c r="E19" s="1054"/>
      <c r="F19" s="1053"/>
      <c r="G19" s="1053"/>
      <c r="H19" s="1055"/>
      <c r="I19" s="1055"/>
      <c r="J19" s="1055"/>
      <c r="K19" s="1053"/>
      <c r="L19" s="1053"/>
      <c r="M19" s="1053"/>
      <c r="N19" s="1053"/>
      <c r="O19" s="1053"/>
      <c r="P19" s="1055"/>
      <c r="Q19" s="1055"/>
      <c r="R19" s="1053"/>
      <c r="S19" s="1055"/>
      <c r="T19" s="1056"/>
    </row>
    <row r="20" spans="1:293" x14ac:dyDescent="0.25">
      <c r="A20" s="1057"/>
      <c r="B20" s="1058" t="s">
        <v>271</v>
      </c>
      <c r="C20" s="1059"/>
      <c r="D20" s="1060"/>
      <c r="E20" s="1060"/>
      <c r="F20" s="1059"/>
      <c r="G20" s="1059"/>
      <c r="H20" s="1061" t="e">
        <f>H21+#REF!+H32</f>
        <v>#REF!</v>
      </c>
      <c r="I20" s="1061" t="e">
        <f>I21+#REF!+I32</f>
        <v>#REF!</v>
      </c>
      <c r="J20" s="1061" t="e">
        <f>J21+#REF!+J32</f>
        <v>#REF!</v>
      </c>
      <c r="K20" s="1059"/>
      <c r="L20" s="1059"/>
      <c r="M20" s="1059"/>
      <c r="N20" s="1061" t="e">
        <f>N21+#REF!+N32</f>
        <v>#REF!</v>
      </c>
      <c r="O20" s="1059"/>
      <c r="P20" s="1061" t="e">
        <f>P21+#REF!+P32</f>
        <v>#REF!</v>
      </c>
      <c r="Q20" s="1061"/>
      <c r="R20" s="1059"/>
      <c r="S20" s="1062"/>
      <c r="T20" s="1061" t="e">
        <f>T21+#REF!+T32</f>
        <v>#REF!</v>
      </c>
    </row>
    <row r="21" spans="1:293" x14ac:dyDescent="0.25">
      <c r="A21" s="1725" t="s">
        <v>475</v>
      </c>
      <c r="B21" s="1726"/>
      <c r="C21" s="1063"/>
      <c r="D21" s="1064"/>
      <c r="E21" s="1064"/>
      <c r="F21" s="1063"/>
      <c r="G21" s="1063"/>
      <c r="H21" s="1065">
        <f>SUM(H23:H25)</f>
        <v>43</v>
      </c>
      <c r="I21" s="1065">
        <f>SUM(I23:I25)</f>
        <v>29</v>
      </c>
      <c r="J21" s="1065">
        <f>SUM(J23:J25)</f>
        <v>14</v>
      </c>
      <c r="K21" s="1063"/>
      <c r="L21" s="1063"/>
      <c r="M21" s="1063"/>
      <c r="N21" s="1065">
        <f>SUM(N23:N23)</f>
        <v>0</v>
      </c>
      <c r="O21" s="1063"/>
      <c r="P21" s="1065">
        <f>SUM(P23:P25)</f>
        <v>235440</v>
      </c>
      <c r="Q21" s="1065"/>
      <c r="R21" s="1063"/>
      <c r="S21" s="1066"/>
      <c r="T21" s="1065">
        <f>SUM(T23:T25)</f>
        <v>235440</v>
      </c>
    </row>
    <row r="22" spans="1:293" s="515" customFormat="1" x14ac:dyDescent="0.25">
      <c r="A22" s="1094"/>
      <c r="B22" s="443" t="s">
        <v>486</v>
      </c>
      <c r="C22" s="751"/>
      <c r="D22" s="1070">
        <f>SUM(D23:D25)</f>
        <v>55</v>
      </c>
      <c r="E22" s="1070">
        <f t="shared" ref="E22:T22" si="0">SUM(E23:E25)</f>
        <v>67</v>
      </c>
      <c r="F22" s="1070">
        <f t="shared" si="0"/>
        <v>0</v>
      </c>
      <c r="G22" s="1070">
        <f t="shared" si="0"/>
        <v>0</v>
      </c>
      <c r="H22" s="1070">
        <f t="shared" si="0"/>
        <v>43</v>
      </c>
      <c r="I22" s="1070">
        <f t="shared" si="0"/>
        <v>29</v>
      </c>
      <c r="J22" s="1070">
        <f t="shared" si="0"/>
        <v>14</v>
      </c>
      <c r="K22" s="1070">
        <f t="shared" si="0"/>
        <v>13.14</v>
      </c>
      <c r="L22" s="1070">
        <f t="shared" si="0"/>
        <v>3.504</v>
      </c>
      <c r="M22" s="1070">
        <f t="shared" si="0"/>
        <v>2.2000000000000002</v>
      </c>
      <c r="N22" s="1070">
        <f t="shared" si="0"/>
        <v>0</v>
      </c>
      <c r="O22" s="1070">
        <f t="shared" si="0"/>
        <v>34600</v>
      </c>
      <c r="P22" s="1070">
        <f t="shared" si="0"/>
        <v>235440</v>
      </c>
      <c r="Q22" s="1070">
        <f t="shared" si="0"/>
        <v>0</v>
      </c>
      <c r="R22" s="1070">
        <f t="shared" si="0"/>
        <v>0</v>
      </c>
      <c r="S22" s="1070">
        <f t="shared" si="0"/>
        <v>0</v>
      </c>
      <c r="T22" s="1070">
        <f t="shared" si="0"/>
        <v>235440</v>
      </c>
    </row>
    <row r="23" spans="1:293" x14ac:dyDescent="0.25">
      <c r="A23" s="711">
        <v>1</v>
      </c>
      <c r="C23" s="705" t="s">
        <v>713</v>
      </c>
      <c r="D23" s="710">
        <v>25</v>
      </c>
      <c r="E23" s="710">
        <v>19</v>
      </c>
      <c r="F23" s="705" t="s">
        <v>625</v>
      </c>
      <c r="G23" s="705" t="s">
        <v>923</v>
      </c>
      <c r="H23" s="422">
        <f>SUM(I23:J23)</f>
        <v>5</v>
      </c>
      <c r="I23" s="705">
        <v>5</v>
      </c>
      <c r="J23" s="705"/>
      <c r="K23" s="697">
        <v>4.38</v>
      </c>
      <c r="L23" s="422">
        <f>K23-(K23*M23)</f>
        <v>0</v>
      </c>
      <c r="M23" s="422">
        <v>1</v>
      </c>
      <c r="N23" s="422"/>
      <c r="O23" s="422">
        <v>14800</v>
      </c>
      <c r="P23" s="422">
        <f>H23*M23*O23</f>
        <v>74000</v>
      </c>
      <c r="Q23" s="697"/>
      <c r="R23" s="422"/>
      <c r="S23" s="712"/>
      <c r="T23" s="713">
        <f>S23+P23</f>
        <v>74000</v>
      </c>
    </row>
    <row r="24" spans="1:293" ht="15.75" customHeight="1" x14ac:dyDescent="0.25">
      <c r="A24" s="423"/>
      <c r="B24" s="704"/>
      <c r="C24" s="705"/>
      <c r="D24" s="710"/>
      <c r="E24" s="710"/>
      <c r="F24" s="705" t="s">
        <v>625</v>
      </c>
      <c r="G24" s="705"/>
      <c r="H24" s="422">
        <f>SUM(I24:J24)</f>
        <v>14</v>
      </c>
      <c r="I24" s="705"/>
      <c r="J24" s="705">
        <v>14</v>
      </c>
      <c r="K24" s="697">
        <v>4.38</v>
      </c>
      <c r="L24" s="422">
        <f>K24-(K24*M24)</f>
        <v>3.504</v>
      </c>
      <c r="M24" s="422">
        <v>0.2</v>
      </c>
      <c r="N24" s="422"/>
      <c r="O24" s="422">
        <v>14800</v>
      </c>
      <c r="P24" s="422">
        <f>H24*M24*O24</f>
        <v>41440.000000000007</v>
      </c>
      <c r="Q24" s="697"/>
      <c r="R24" s="422"/>
      <c r="S24" s="712"/>
      <c r="T24" s="713">
        <f t="shared" ref="T24:T33" si="1">S24+P24</f>
        <v>41440.000000000007</v>
      </c>
    </row>
    <row r="25" spans="1:293" s="875" customFormat="1" x14ac:dyDescent="0.25">
      <c r="A25" s="423"/>
      <c r="B25" s="704"/>
      <c r="C25" s="705"/>
      <c r="D25" s="710">
        <v>30</v>
      </c>
      <c r="E25" s="710">
        <v>48</v>
      </c>
      <c r="F25" s="705" t="s">
        <v>924</v>
      </c>
      <c r="G25" s="705" t="s">
        <v>923</v>
      </c>
      <c r="H25" s="422">
        <f>SUM(I25:J25)</f>
        <v>24</v>
      </c>
      <c r="I25" s="705">
        <v>24</v>
      </c>
      <c r="J25" s="705"/>
      <c r="K25" s="697">
        <v>4.38</v>
      </c>
      <c r="L25" s="422">
        <f>K25-(K25*M25)</f>
        <v>0</v>
      </c>
      <c r="M25" s="422">
        <v>1</v>
      </c>
      <c r="N25" s="422"/>
      <c r="O25" s="422">
        <v>5000</v>
      </c>
      <c r="P25" s="422">
        <f>H25*M25*O25</f>
        <v>120000</v>
      </c>
      <c r="Q25" s="697"/>
      <c r="R25" s="422"/>
      <c r="S25" s="712"/>
      <c r="T25" s="713">
        <f t="shared" si="1"/>
        <v>120000</v>
      </c>
    </row>
    <row r="26" spans="1:293" x14ac:dyDescent="0.25">
      <c r="A26" s="711">
        <v>2</v>
      </c>
      <c r="B26" s="443" t="s">
        <v>494</v>
      </c>
      <c r="C26" s="705"/>
      <c r="D26" s="423"/>
      <c r="E26" s="423"/>
      <c r="F26" s="705" t="s">
        <v>521</v>
      </c>
      <c r="G26" s="705"/>
      <c r="H26" s="422">
        <f>SUM(I26:J26)</f>
        <v>100</v>
      </c>
      <c r="I26" s="691"/>
      <c r="J26" s="422">
        <v>100</v>
      </c>
      <c r="K26" s="697">
        <v>4.38</v>
      </c>
      <c r="L26" s="422">
        <f t="shared" ref="L26:L33" si="2">K26-(K26*M26)</f>
        <v>3.504</v>
      </c>
      <c r="M26" s="422">
        <v>0.2</v>
      </c>
      <c r="N26" s="422"/>
      <c r="O26" s="422">
        <v>14800</v>
      </c>
      <c r="P26" s="422">
        <f>H26*M26*O26</f>
        <v>296000</v>
      </c>
      <c r="Q26" s="695"/>
      <c r="R26" s="691"/>
      <c r="S26" s="706"/>
      <c r="T26" s="713">
        <f t="shared" si="1"/>
        <v>296000</v>
      </c>
      <c r="V26" s="403"/>
      <c r="W26" s="403"/>
      <c r="X26" s="403"/>
      <c r="Y26" s="403"/>
      <c r="Z26" s="403"/>
      <c r="AA26" s="403"/>
      <c r="AB26" s="403"/>
      <c r="AC26" s="403"/>
      <c r="AD26" s="403"/>
      <c r="AE26" s="403"/>
      <c r="AF26" s="403"/>
      <c r="AG26" s="403"/>
      <c r="AH26" s="403"/>
      <c r="AI26" s="403"/>
      <c r="AJ26" s="403"/>
      <c r="AK26" s="403"/>
      <c r="AL26" s="403"/>
      <c r="AM26" s="403"/>
      <c r="AN26" s="403"/>
      <c r="AO26" s="403"/>
      <c r="AP26" s="403"/>
      <c r="AQ26" s="403"/>
      <c r="AR26" s="403"/>
      <c r="AS26" s="403"/>
      <c r="AT26" s="403"/>
      <c r="AU26" s="403"/>
      <c r="AV26" s="403"/>
      <c r="AW26" s="403"/>
      <c r="AX26" s="403"/>
      <c r="AY26" s="403"/>
      <c r="AZ26" s="403"/>
      <c r="BA26" s="403"/>
      <c r="BB26" s="403"/>
      <c r="BC26" s="403"/>
      <c r="BD26" s="403"/>
      <c r="BE26" s="403"/>
      <c r="BF26" s="403"/>
      <c r="BG26" s="403"/>
      <c r="BH26" s="403"/>
      <c r="BI26" s="403"/>
      <c r="BJ26" s="403"/>
      <c r="BK26" s="403"/>
      <c r="BL26" s="403"/>
      <c r="BM26" s="403"/>
      <c r="BN26" s="403"/>
      <c r="BO26" s="403"/>
      <c r="BP26" s="403"/>
      <c r="BQ26" s="403"/>
      <c r="BR26" s="403"/>
      <c r="BS26" s="403"/>
      <c r="BT26" s="403"/>
      <c r="BU26" s="403"/>
      <c r="BV26" s="403"/>
      <c r="BW26" s="403"/>
      <c r="BX26" s="403"/>
      <c r="BY26" s="403"/>
      <c r="BZ26" s="403"/>
      <c r="CA26" s="403"/>
      <c r="CB26" s="403"/>
      <c r="CC26" s="403"/>
      <c r="CD26" s="403"/>
      <c r="CE26" s="403"/>
      <c r="CF26" s="403"/>
      <c r="CG26" s="403"/>
      <c r="CH26" s="403"/>
      <c r="CI26" s="403"/>
      <c r="CJ26" s="403"/>
      <c r="CK26" s="403"/>
      <c r="CL26" s="403"/>
      <c r="CM26" s="403"/>
      <c r="CN26" s="403"/>
      <c r="CO26" s="403"/>
      <c r="CP26" s="403"/>
      <c r="CQ26" s="403"/>
      <c r="CR26" s="403"/>
      <c r="CS26" s="403"/>
      <c r="CT26" s="403"/>
      <c r="CU26" s="403"/>
      <c r="CV26" s="403"/>
      <c r="CW26" s="403"/>
      <c r="CX26" s="403"/>
      <c r="CY26" s="403"/>
      <c r="CZ26" s="403"/>
      <c r="DA26" s="403"/>
      <c r="DB26" s="403"/>
      <c r="DC26" s="403"/>
      <c r="DD26" s="403"/>
      <c r="DE26" s="403"/>
      <c r="DF26" s="403"/>
      <c r="DG26" s="403"/>
      <c r="DH26" s="403"/>
      <c r="DI26" s="403"/>
      <c r="DJ26" s="403"/>
      <c r="DK26" s="403"/>
      <c r="DL26" s="403"/>
      <c r="DM26" s="403"/>
      <c r="DN26" s="403"/>
      <c r="DO26" s="403"/>
      <c r="DP26" s="403"/>
      <c r="DQ26" s="403"/>
      <c r="DR26" s="403"/>
      <c r="DS26" s="403"/>
      <c r="DT26" s="403"/>
      <c r="DU26" s="403"/>
      <c r="DV26" s="403"/>
      <c r="DW26" s="403"/>
      <c r="DX26" s="403"/>
      <c r="DY26" s="403"/>
      <c r="DZ26" s="403"/>
      <c r="EA26" s="403"/>
      <c r="EB26" s="403"/>
      <c r="EC26" s="403"/>
      <c r="ED26" s="403"/>
      <c r="EE26" s="403"/>
      <c r="EF26" s="403"/>
      <c r="EG26" s="403"/>
      <c r="EH26" s="403"/>
      <c r="EI26" s="403"/>
      <c r="EJ26" s="403"/>
      <c r="EK26" s="403"/>
      <c r="EL26" s="403"/>
      <c r="EM26" s="403"/>
      <c r="EN26" s="403"/>
      <c r="EO26" s="403"/>
      <c r="EP26" s="403"/>
      <c r="EQ26" s="403"/>
      <c r="ER26" s="403"/>
      <c r="ES26" s="403"/>
      <c r="ET26" s="403"/>
      <c r="EU26" s="403"/>
      <c r="EV26" s="403"/>
      <c r="EW26" s="403"/>
      <c r="EX26" s="403"/>
      <c r="EY26" s="403"/>
      <c r="EZ26" s="403"/>
      <c r="FA26" s="403"/>
      <c r="FB26" s="403"/>
      <c r="FC26" s="403"/>
      <c r="FD26" s="403"/>
      <c r="FE26" s="403"/>
      <c r="FF26" s="403"/>
      <c r="FG26" s="403"/>
      <c r="FH26" s="403"/>
      <c r="FI26" s="403"/>
      <c r="FJ26" s="403"/>
      <c r="FK26" s="403"/>
      <c r="FL26" s="403"/>
      <c r="FM26" s="403"/>
      <c r="FN26" s="403"/>
      <c r="FO26" s="403"/>
      <c r="FP26" s="403"/>
      <c r="FQ26" s="403"/>
      <c r="FR26" s="403"/>
      <c r="FS26" s="403"/>
      <c r="FT26" s="403"/>
      <c r="FU26" s="403"/>
      <c r="FV26" s="403"/>
      <c r="FW26" s="403"/>
      <c r="FX26" s="403"/>
      <c r="FY26" s="403"/>
      <c r="FZ26" s="403"/>
      <c r="GA26" s="403"/>
      <c r="GB26" s="403"/>
      <c r="GC26" s="403"/>
      <c r="GD26" s="403"/>
      <c r="GE26" s="403"/>
      <c r="GF26" s="403"/>
      <c r="GG26" s="403"/>
      <c r="GH26" s="403"/>
      <c r="GI26" s="403"/>
      <c r="GJ26" s="403"/>
      <c r="GK26" s="403"/>
      <c r="GL26" s="403"/>
      <c r="GM26" s="403"/>
      <c r="GN26" s="403"/>
      <c r="GO26" s="403"/>
      <c r="GP26" s="403"/>
      <c r="GQ26" s="403"/>
      <c r="GR26" s="403"/>
      <c r="GS26" s="403"/>
      <c r="GT26" s="403"/>
      <c r="GU26" s="403"/>
      <c r="GV26" s="403"/>
      <c r="GW26" s="403"/>
      <c r="GX26" s="403"/>
      <c r="GY26" s="403"/>
      <c r="GZ26" s="403"/>
      <c r="HA26" s="403"/>
      <c r="HB26" s="403"/>
      <c r="HC26" s="403"/>
      <c r="HD26" s="403"/>
      <c r="HE26" s="403"/>
      <c r="HF26" s="403"/>
      <c r="HG26" s="403"/>
      <c r="HH26" s="403"/>
      <c r="HI26" s="403"/>
      <c r="HJ26" s="403"/>
      <c r="HK26" s="403"/>
      <c r="HL26" s="403"/>
      <c r="HM26" s="403"/>
      <c r="HN26" s="403"/>
      <c r="HO26" s="403"/>
      <c r="HP26" s="403"/>
      <c r="HQ26" s="403"/>
      <c r="HR26" s="403"/>
      <c r="HS26" s="403"/>
      <c r="HT26" s="403"/>
      <c r="HU26" s="403"/>
      <c r="HV26" s="403"/>
      <c r="HW26" s="403"/>
      <c r="HX26" s="403"/>
      <c r="HY26" s="403"/>
      <c r="HZ26" s="403"/>
      <c r="IA26" s="403"/>
      <c r="IB26" s="403"/>
      <c r="IC26" s="403"/>
      <c r="ID26" s="403"/>
      <c r="IE26" s="403"/>
      <c r="IF26" s="403"/>
      <c r="IG26" s="403"/>
      <c r="IH26" s="403"/>
      <c r="II26" s="403"/>
      <c r="IJ26" s="403"/>
      <c r="IK26" s="403"/>
      <c r="IL26" s="403"/>
      <c r="IM26" s="403"/>
      <c r="IN26" s="403"/>
      <c r="IO26" s="403"/>
      <c r="IP26" s="403"/>
      <c r="IQ26" s="403"/>
      <c r="IR26" s="403"/>
      <c r="IS26" s="403"/>
      <c r="IT26" s="403"/>
      <c r="IU26" s="403"/>
      <c r="IV26" s="403"/>
      <c r="IW26" s="403"/>
      <c r="IX26" s="403"/>
      <c r="IY26" s="403"/>
      <c r="IZ26" s="403"/>
      <c r="JA26" s="403"/>
      <c r="JB26" s="403"/>
      <c r="JC26" s="403"/>
      <c r="JD26" s="403"/>
      <c r="JE26" s="403"/>
      <c r="JF26" s="403"/>
      <c r="JG26" s="403"/>
      <c r="JH26" s="403"/>
      <c r="JI26" s="403"/>
      <c r="JJ26" s="403"/>
      <c r="JK26" s="403"/>
      <c r="JL26" s="403"/>
      <c r="JM26" s="403"/>
      <c r="JN26" s="403"/>
      <c r="JO26" s="403"/>
      <c r="JP26" s="403"/>
      <c r="JQ26" s="403"/>
      <c r="JR26" s="403"/>
      <c r="JS26" s="403"/>
      <c r="JT26" s="403"/>
      <c r="JU26" s="403"/>
      <c r="JV26" s="403"/>
      <c r="JW26" s="403"/>
      <c r="JX26" s="403"/>
      <c r="JY26" s="403"/>
      <c r="JZ26" s="403"/>
      <c r="KA26" s="403"/>
      <c r="KB26" s="403"/>
      <c r="KC26" s="403"/>
      <c r="KD26" s="403"/>
      <c r="KE26" s="403"/>
      <c r="KF26" s="403"/>
      <c r="KG26" s="403"/>
    </row>
    <row r="27" spans="1:293" s="515" customFormat="1" x14ac:dyDescent="0.25">
      <c r="A27" s="1069"/>
      <c r="B27" s="383" t="s">
        <v>407</v>
      </c>
      <c r="C27" s="1073"/>
      <c r="D27" s="1070"/>
      <c r="E27" s="1070"/>
      <c r="F27" s="1073"/>
      <c r="G27" s="1073"/>
      <c r="H27" s="751">
        <f>SUM(H28:H31)</f>
        <v>290</v>
      </c>
      <c r="I27" s="751">
        <f t="shared" ref="I27:T27" si="3">SUM(I28:I31)</f>
        <v>200</v>
      </c>
      <c r="J27" s="751">
        <f t="shared" si="3"/>
        <v>90</v>
      </c>
      <c r="K27" s="751">
        <f t="shared" si="3"/>
        <v>17.52</v>
      </c>
      <c r="L27" s="751">
        <f t="shared" si="3"/>
        <v>9.1980000000000004</v>
      </c>
      <c r="M27" s="751">
        <f t="shared" si="3"/>
        <v>1.9</v>
      </c>
      <c r="N27" s="751">
        <f t="shared" si="3"/>
        <v>17.52</v>
      </c>
      <c r="O27" s="751">
        <f t="shared" si="3"/>
        <v>59200</v>
      </c>
      <c r="P27" s="751">
        <f t="shared" si="3"/>
        <v>3922000</v>
      </c>
      <c r="Q27" s="751">
        <f t="shared" si="3"/>
        <v>0</v>
      </c>
      <c r="R27" s="751">
        <f t="shared" si="3"/>
        <v>0</v>
      </c>
      <c r="S27" s="751">
        <f t="shared" si="3"/>
        <v>0</v>
      </c>
      <c r="T27" s="751">
        <f t="shared" si="3"/>
        <v>3922000</v>
      </c>
      <c r="V27" s="1095"/>
      <c r="W27" s="1095"/>
      <c r="X27" s="1095"/>
      <c r="Y27" s="1095"/>
      <c r="Z27" s="1095"/>
      <c r="AA27" s="1095"/>
      <c r="AB27" s="1095"/>
      <c r="AC27" s="1095"/>
      <c r="AD27" s="1095"/>
      <c r="AE27" s="1095"/>
      <c r="AF27" s="1095"/>
      <c r="AG27" s="1095"/>
      <c r="AH27" s="1095"/>
      <c r="AI27" s="1095"/>
      <c r="AJ27" s="1095"/>
      <c r="AK27" s="1095"/>
      <c r="AL27" s="1095"/>
      <c r="AM27" s="1095"/>
      <c r="AN27" s="1095"/>
      <c r="AO27" s="1095"/>
      <c r="AP27" s="1095"/>
      <c r="AQ27" s="1095"/>
      <c r="AR27" s="1095"/>
      <c r="AS27" s="1095"/>
      <c r="AT27" s="1095"/>
      <c r="AU27" s="1095"/>
      <c r="AV27" s="1095"/>
      <c r="AW27" s="1095"/>
      <c r="AX27" s="1095"/>
      <c r="AY27" s="1095"/>
      <c r="AZ27" s="1095"/>
      <c r="BA27" s="1095"/>
      <c r="BB27" s="1095"/>
      <c r="BC27" s="1095"/>
      <c r="BD27" s="1095"/>
      <c r="BE27" s="1095"/>
      <c r="BF27" s="1095"/>
      <c r="BG27" s="1095"/>
      <c r="BH27" s="1095"/>
      <c r="BI27" s="1095"/>
      <c r="BJ27" s="1095"/>
      <c r="BK27" s="1095"/>
      <c r="BL27" s="1095"/>
      <c r="BM27" s="1095"/>
      <c r="BN27" s="1095"/>
      <c r="BO27" s="1095"/>
      <c r="BP27" s="1095"/>
      <c r="BQ27" s="1095"/>
      <c r="BR27" s="1095"/>
      <c r="BS27" s="1095"/>
      <c r="BT27" s="1095"/>
      <c r="BU27" s="1095"/>
      <c r="BV27" s="1095"/>
      <c r="BW27" s="1095"/>
      <c r="BX27" s="1095"/>
      <c r="BY27" s="1095"/>
      <c r="BZ27" s="1095"/>
      <c r="CA27" s="1095"/>
      <c r="CB27" s="1095"/>
      <c r="CC27" s="1095"/>
      <c r="CD27" s="1095"/>
      <c r="CE27" s="1095"/>
      <c r="CF27" s="1095"/>
      <c r="CG27" s="1095"/>
      <c r="CH27" s="1095"/>
      <c r="CI27" s="1095"/>
      <c r="CJ27" s="1095"/>
      <c r="CK27" s="1095"/>
      <c r="CL27" s="1095"/>
      <c r="CM27" s="1095"/>
      <c r="CN27" s="1095"/>
      <c r="CO27" s="1095"/>
      <c r="CP27" s="1095"/>
      <c r="CQ27" s="1095"/>
      <c r="CR27" s="1095"/>
      <c r="CS27" s="1095"/>
      <c r="CT27" s="1095"/>
      <c r="CU27" s="1095"/>
      <c r="CV27" s="1095"/>
      <c r="CW27" s="1095"/>
      <c r="CX27" s="1095"/>
      <c r="CY27" s="1095"/>
      <c r="CZ27" s="1095"/>
      <c r="DA27" s="1095"/>
      <c r="DB27" s="1095"/>
      <c r="DC27" s="1095"/>
      <c r="DD27" s="1095"/>
      <c r="DE27" s="1095"/>
      <c r="DF27" s="1095"/>
      <c r="DG27" s="1095"/>
      <c r="DH27" s="1095"/>
      <c r="DI27" s="1095"/>
      <c r="DJ27" s="1095"/>
      <c r="DK27" s="1095"/>
      <c r="DL27" s="1095"/>
      <c r="DM27" s="1095"/>
      <c r="DN27" s="1095"/>
      <c r="DO27" s="1095"/>
      <c r="DP27" s="1095"/>
      <c r="DQ27" s="1095"/>
      <c r="DR27" s="1095"/>
      <c r="DS27" s="1095"/>
      <c r="DT27" s="1095"/>
      <c r="DU27" s="1095"/>
      <c r="DV27" s="1095"/>
      <c r="DW27" s="1095"/>
      <c r="DX27" s="1095"/>
      <c r="DY27" s="1095"/>
      <c r="DZ27" s="1095"/>
      <c r="EA27" s="1095"/>
      <c r="EB27" s="1095"/>
      <c r="EC27" s="1095"/>
      <c r="ED27" s="1095"/>
      <c r="EE27" s="1095"/>
      <c r="EF27" s="1095"/>
      <c r="EG27" s="1095"/>
      <c r="EH27" s="1095"/>
      <c r="EI27" s="1095"/>
      <c r="EJ27" s="1095"/>
      <c r="EK27" s="1095"/>
      <c r="EL27" s="1095"/>
      <c r="EM27" s="1095"/>
      <c r="EN27" s="1095"/>
      <c r="EO27" s="1095"/>
      <c r="EP27" s="1095"/>
      <c r="EQ27" s="1095"/>
      <c r="ER27" s="1095"/>
      <c r="ES27" s="1095"/>
      <c r="ET27" s="1095"/>
      <c r="EU27" s="1095"/>
      <c r="EV27" s="1095"/>
      <c r="EW27" s="1095"/>
      <c r="EX27" s="1095"/>
      <c r="EY27" s="1095"/>
      <c r="EZ27" s="1095"/>
      <c r="FA27" s="1095"/>
      <c r="FB27" s="1095"/>
      <c r="FC27" s="1095"/>
      <c r="FD27" s="1095"/>
      <c r="FE27" s="1095"/>
      <c r="FF27" s="1095"/>
      <c r="FG27" s="1095"/>
      <c r="FH27" s="1095"/>
      <c r="FI27" s="1095"/>
      <c r="FJ27" s="1095"/>
      <c r="FK27" s="1095"/>
      <c r="FL27" s="1095"/>
      <c r="FM27" s="1095"/>
      <c r="FN27" s="1095"/>
      <c r="FO27" s="1095"/>
      <c r="FP27" s="1095"/>
      <c r="FQ27" s="1095"/>
      <c r="FR27" s="1095"/>
      <c r="FS27" s="1095"/>
      <c r="FT27" s="1095"/>
      <c r="FU27" s="1095"/>
      <c r="FV27" s="1095"/>
      <c r="FW27" s="1095"/>
      <c r="FX27" s="1095"/>
      <c r="FY27" s="1095"/>
      <c r="FZ27" s="1095"/>
      <c r="GA27" s="1095"/>
      <c r="GB27" s="1095"/>
      <c r="GC27" s="1095"/>
      <c r="GD27" s="1095"/>
      <c r="GE27" s="1095"/>
      <c r="GF27" s="1095"/>
      <c r="GG27" s="1095"/>
      <c r="GH27" s="1095"/>
      <c r="GI27" s="1095"/>
      <c r="GJ27" s="1095"/>
      <c r="GK27" s="1095"/>
      <c r="GL27" s="1095"/>
      <c r="GM27" s="1095"/>
      <c r="GN27" s="1095"/>
      <c r="GO27" s="1095"/>
      <c r="GP27" s="1095"/>
      <c r="GQ27" s="1095"/>
      <c r="GR27" s="1095"/>
      <c r="GS27" s="1095"/>
      <c r="GT27" s="1095"/>
      <c r="GU27" s="1095"/>
      <c r="GV27" s="1095"/>
      <c r="GW27" s="1095"/>
      <c r="GX27" s="1095"/>
      <c r="GY27" s="1095"/>
      <c r="GZ27" s="1095"/>
      <c r="HA27" s="1095"/>
      <c r="HB27" s="1095"/>
      <c r="HC27" s="1095"/>
      <c r="HD27" s="1095"/>
      <c r="HE27" s="1095"/>
      <c r="HF27" s="1095"/>
      <c r="HG27" s="1095"/>
      <c r="HH27" s="1095"/>
      <c r="HI27" s="1095"/>
      <c r="HJ27" s="1095"/>
      <c r="HK27" s="1095"/>
      <c r="HL27" s="1095"/>
      <c r="HM27" s="1095"/>
      <c r="HN27" s="1095"/>
      <c r="HO27" s="1095"/>
      <c r="HP27" s="1095"/>
      <c r="HQ27" s="1095"/>
      <c r="HR27" s="1095"/>
      <c r="HS27" s="1095"/>
      <c r="HT27" s="1095"/>
      <c r="HU27" s="1095"/>
      <c r="HV27" s="1095"/>
      <c r="HW27" s="1095"/>
      <c r="HX27" s="1095"/>
      <c r="HY27" s="1095"/>
      <c r="HZ27" s="1095"/>
      <c r="IA27" s="1095"/>
      <c r="IB27" s="1095"/>
      <c r="IC27" s="1095"/>
      <c r="ID27" s="1095"/>
      <c r="IE27" s="1095"/>
      <c r="IF27" s="1095"/>
      <c r="IG27" s="1095"/>
      <c r="IH27" s="1095"/>
      <c r="II27" s="1095"/>
      <c r="IJ27" s="1095"/>
      <c r="IK27" s="1095"/>
      <c r="IL27" s="1095"/>
      <c r="IM27" s="1095"/>
      <c r="IN27" s="1095"/>
      <c r="IO27" s="1095"/>
      <c r="IP27" s="1095"/>
      <c r="IQ27" s="1095"/>
      <c r="IR27" s="1095"/>
      <c r="IS27" s="1095"/>
      <c r="IT27" s="1095"/>
      <c r="IU27" s="1095"/>
      <c r="IV27" s="1095"/>
      <c r="IW27" s="1095"/>
      <c r="IX27" s="1095"/>
      <c r="IY27" s="1095"/>
      <c r="IZ27" s="1095"/>
      <c r="JA27" s="1095"/>
      <c r="JB27" s="1095"/>
      <c r="JC27" s="1095"/>
      <c r="JD27" s="1095"/>
      <c r="JE27" s="1095"/>
      <c r="JF27" s="1095"/>
      <c r="JG27" s="1095"/>
      <c r="JH27" s="1095"/>
      <c r="JI27" s="1095"/>
      <c r="JJ27" s="1095"/>
      <c r="JK27" s="1095"/>
      <c r="JL27" s="1095"/>
      <c r="JM27" s="1095"/>
      <c r="JN27" s="1095"/>
      <c r="JO27" s="1095"/>
      <c r="JP27" s="1095"/>
      <c r="JQ27" s="1095"/>
      <c r="JR27" s="1095"/>
      <c r="JS27" s="1095"/>
      <c r="JT27" s="1095"/>
      <c r="JU27" s="1095"/>
      <c r="JV27" s="1095"/>
      <c r="JW27" s="1095"/>
      <c r="JX27" s="1095"/>
      <c r="JY27" s="1095"/>
      <c r="JZ27" s="1095"/>
      <c r="KA27" s="1095"/>
      <c r="KB27" s="1095"/>
      <c r="KC27" s="1095"/>
      <c r="KD27" s="1095"/>
      <c r="KE27" s="1095"/>
      <c r="KF27" s="1095"/>
      <c r="KG27" s="1095"/>
    </row>
    <row r="28" spans="1:293" x14ac:dyDescent="0.25">
      <c r="A28" s="711">
        <v>3</v>
      </c>
      <c r="C28" s="705"/>
      <c r="D28" s="423"/>
      <c r="E28" s="423"/>
      <c r="F28" s="705" t="s">
        <v>625</v>
      </c>
      <c r="G28" s="705"/>
      <c r="H28" s="422">
        <f>SUM(I28:J28)</f>
        <v>50</v>
      </c>
      <c r="I28" s="691"/>
      <c r="J28" s="422">
        <v>50</v>
      </c>
      <c r="K28" s="697">
        <v>4.38</v>
      </c>
      <c r="L28" s="422">
        <f t="shared" si="2"/>
        <v>2.19</v>
      </c>
      <c r="M28" s="422">
        <v>0.5</v>
      </c>
      <c r="N28" s="422"/>
      <c r="O28" s="422">
        <v>14800</v>
      </c>
      <c r="P28" s="422">
        <f>H28*M28*O28</f>
        <v>370000</v>
      </c>
      <c r="Q28" s="695"/>
      <c r="R28" s="691"/>
      <c r="S28" s="706"/>
      <c r="T28" s="713">
        <f t="shared" si="1"/>
        <v>370000</v>
      </c>
      <c r="V28" s="403"/>
      <c r="W28" s="403"/>
      <c r="X28" s="403"/>
      <c r="Y28" s="403"/>
      <c r="Z28" s="403"/>
      <c r="AA28" s="403"/>
      <c r="AB28" s="403"/>
      <c r="AC28" s="403"/>
      <c r="AD28" s="403"/>
      <c r="AE28" s="403"/>
      <c r="AF28" s="403"/>
      <c r="AG28" s="403"/>
      <c r="AH28" s="403"/>
      <c r="AI28" s="403"/>
      <c r="AJ28" s="403"/>
      <c r="AK28" s="403"/>
      <c r="AL28" s="403"/>
      <c r="AM28" s="403"/>
      <c r="AN28" s="403"/>
      <c r="AO28" s="403"/>
      <c r="AP28" s="403"/>
      <c r="AQ28" s="403"/>
      <c r="AR28" s="403"/>
      <c r="AS28" s="403"/>
      <c r="AT28" s="403"/>
      <c r="AU28" s="403"/>
      <c r="AV28" s="403"/>
      <c r="AW28" s="403"/>
      <c r="AX28" s="403"/>
      <c r="AY28" s="403"/>
      <c r="AZ28" s="403"/>
      <c r="BA28" s="403"/>
      <c r="BB28" s="403"/>
      <c r="BC28" s="403"/>
      <c r="BD28" s="403"/>
      <c r="BE28" s="403"/>
      <c r="BF28" s="403"/>
      <c r="BG28" s="403"/>
      <c r="BH28" s="403"/>
      <c r="BI28" s="403"/>
      <c r="BJ28" s="403"/>
      <c r="BK28" s="403"/>
      <c r="BL28" s="403"/>
      <c r="BM28" s="403"/>
      <c r="BN28" s="403"/>
      <c r="BO28" s="403"/>
      <c r="BP28" s="403"/>
      <c r="BQ28" s="403"/>
      <c r="BR28" s="403"/>
      <c r="BS28" s="403"/>
      <c r="BT28" s="403"/>
      <c r="BU28" s="403"/>
      <c r="BV28" s="403"/>
      <c r="BW28" s="403"/>
      <c r="BX28" s="403"/>
      <c r="BY28" s="403"/>
      <c r="BZ28" s="403"/>
      <c r="CA28" s="403"/>
      <c r="CB28" s="403"/>
      <c r="CC28" s="403"/>
      <c r="CD28" s="403"/>
      <c r="CE28" s="403"/>
      <c r="CF28" s="403"/>
      <c r="CG28" s="403"/>
      <c r="CH28" s="403"/>
      <c r="CI28" s="403"/>
      <c r="CJ28" s="403"/>
      <c r="CK28" s="403"/>
      <c r="CL28" s="403"/>
      <c r="CM28" s="403"/>
      <c r="CN28" s="403"/>
      <c r="CO28" s="403"/>
      <c r="CP28" s="403"/>
      <c r="CQ28" s="403"/>
      <c r="CR28" s="403"/>
      <c r="CS28" s="403"/>
      <c r="CT28" s="403"/>
      <c r="CU28" s="403"/>
      <c r="CV28" s="403"/>
      <c r="CW28" s="403"/>
      <c r="CX28" s="403"/>
      <c r="CY28" s="403"/>
      <c r="CZ28" s="403"/>
      <c r="DA28" s="403"/>
      <c r="DB28" s="403"/>
      <c r="DC28" s="403"/>
      <c r="DD28" s="403"/>
      <c r="DE28" s="403"/>
      <c r="DF28" s="403"/>
      <c r="DG28" s="403"/>
      <c r="DH28" s="403"/>
      <c r="DI28" s="403"/>
      <c r="DJ28" s="403"/>
      <c r="DK28" s="403"/>
      <c r="DL28" s="403"/>
      <c r="DM28" s="403"/>
      <c r="DN28" s="403"/>
      <c r="DO28" s="403"/>
      <c r="DP28" s="403"/>
      <c r="DQ28" s="403"/>
      <c r="DR28" s="403"/>
      <c r="DS28" s="403"/>
      <c r="DT28" s="403"/>
      <c r="DU28" s="403"/>
      <c r="DV28" s="403"/>
      <c r="DW28" s="403"/>
      <c r="DX28" s="403"/>
      <c r="DY28" s="403"/>
      <c r="DZ28" s="403"/>
      <c r="EA28" s="403"/>
      <c r="EB28" s="403"/>
      <c r="EC28" s="403"/>
      <c r="ED28" s="403"/>
      <c r="EE28" s="403"/>
      <c r="EF28" s="403"/>
      <c r="EG28" s="403"/>
      <c r="EH28" s="403"/>
      <c r="EI28" s="403"/>
      <c r="EJ28" s="403"/>
      <c r="EK28" s="403"/>
      <c r="EL28" s="403"/>
      <c r="EM28" s="403"/>
      <c r="EN28" s="403"/>
      <c r="EO28" s="403"/>
      <c r="EP28" s="403"/>
      <c r="EQ28" s="403"/>
      <c r="ER28" s="403"/>
      <c r="ES28" s="403"/>
      <c r="ET28" s="403"/>
      <c r="EU28" s="403"/>
      <c r="EV28" s="403"/>
      <c r="EW28" s="403"/>
      <c r="EX28" s="403"/>
      <c r="EY28" s="403"/>
      <c r="EZ28" s="403"/>
      <c r="FA28" s="403"/>
      <c r="FB28" s="403"/>
      <c r="FC28" s="403"/>
      <c r="FD28" s="403"/>
      <c r="FE28" s="403"/>
      <c r="FF28" s="403"/>
      <c r="FG28" s="403"/>
      <c r="FH28" s="403"/>
      <c r="FI28" s="403"/>
      <c r="FJ28" s="403"/>
      <c r="FK28" s="403"/>
      <c r="FL28" s="403"/>
      <c r="FM28" s="403"/>
      <c r="FN28" s="403"/>
      <c r="FO28" s="403"/>
      <c r="FP28" s="403"/>
      <c r="FQ28" s="403"/>
      <c r="FR28" s="403"/>
      <c r="FS28" s="403"/>
      <c r="FT28" s="403"/>
      <c r="FU28" s="403"/>
      <c r="FV28" s="403"/>
      <c r="FW28" s="403"/>
      <c r="FX28" s="403"/>
      <c r="FY28" s="403"/>
      <c r="FZ28" s="403"/>
      <c r="GA28" s="403"/>
      <c r="GB28" s="403"/>
      <c r="GC28" s="403"/>
      <c r="GD28" s="403"/>
      <c r="GE28" s="403"/>
      <c r="GF28" s="403"/>
      <c r="GG28" s="403"/>
      <c r="GH28" s="403"/>
      <c r="GI28" s="403"/>
      <c r="GJ28" s="403"/>
      <c r="GK28" s="403"/>
      <c r="GL28" s="403"/>
      <c r="GM28" s="403"/>
      <c r="GN28" s="403"/>
      <c r="GO28" s="403"/>
      <c r="GP28" s="403"/>
      <c r="GQ28" s="403"/>
      <c r="GR28" s="403"/>
      <c r="GS28" s="403"/>
      <c r="GT28" s="403"/>
      <c r="GU28" s="403"/>
      <c r="GV28" s="403"/>
      <c r="GW28" s="403"/>
      <c r="GX28" s="403"/>
      <c r="GY28" s="403"/>
      <c r="GZ28" s="403"/>
      <c r="HA28" s="403"/>
      <c r="HB28" s="403"/>
      <c r="HC28" s="403"/>
      <c r="HD28" s="403"/>
      <c r="HE28" s="403"/>
      <c r="HF28" s="403"/>
      <c r="HG28" s="403"/>
      <c r="HH28" s="403"/>
      <c r="HI28" s="403"/>
      <c r="HJ28" s="403"/>
      <c r="HK28" s="403"/>
      <c r="HL28" s="403"/>
      <c r="HM28" s="403"/>
      <c r="HN28" s="403"/>
      <c r="HO28" s="403"/>
      <c r="HP28" s="403"/>
      <c r="HQ28" s="403"/>
      <c r="HR28" s="403"/>
      <c r="HS28" s="403"/>
      <c r="HT28" s="403"/>
      <c r="HU28" s="403"/>
      <c r="HV28" s="403"/>
      <c r="HW28" s="403"/>
      <c r="HX28" s="403"/>
      <c r="HY28" s="403"/>
      <c r="HZ28" s="403"/>
      <c r="IA28" s="403"/>
      <c r="IB28" s="403"/>
      <c r="IC28" s="403"/>
      <c r="ID28" s="403"/>
      <c r="IE28" s="403"/>
      <c r="IF28" s="403"/>
      <c r="IG28" s="403"/>
      <c r="IH28" s="403"/>
      <c r="II28" s="403"/>
      <c r="IJ28" s="403"/>
      <c r="IK28" s="403"/>
      <c r="IL28" s="403"/>
      <c r="IM28" s="403"/>
      <c r="IN28" s="403"/>
      <c r="IO28" s="403"/>
      <c r="IP28" s="403"/>
      <c r="IQ28" s="403"/>
      <c r="IR28" s="403"/>
      <c r="IS28" s="403"/>
      <c r="IT28" s="403"/>
      <c r="IU28" s="403"/>
      <c r="IV28" s="403"/>
      <c r="IW28" s="403"/>
      <c r="IX28" s="403"/>
      <c r="IY28" s="403"/>
      <c r="IZ28" s="403"/>
      <c r="JA28" s="403"/>
      <c r="JB28" s="403"/>
      <c r="JC28" s="403"/>
      <c r="JD28" s="403"/>
      <c r="JE28" s="403"/>
      <c r="JF28" s="403"/>
      <c r="JG28" s="403"/>
      <c r="JH28" s="403"/>
      <c r="JI28" s="403"/>
      <c r="JJ28" s="403"/>
      <c r="JK28" s="403"/>
      <c r="JL28" s="403"/>
      <c r="JM28" s="403"/>
      <c r="JN28" s="403"/>
      <c r="JO28" s="403"/>
      <c r="JP28" s="403"/>
      <c r="JQ28" s="403"/>
      <c r="JR28" s="403"/>
      <c r="JS28" s="403"/>
      <c r="JT28" s="403"/>
      <c r="JU28" s="403"/>
      <c r="JV28" s="403"/>
      <c r="JW28" s="403"/>
      <c r="JX28" s="403"/>
      <c r="JY28" s="403"/>
      <c r="JZ28" s="403"/>
      <c r="KA28" s="403"/>
      <c r="KB28" s="403"/>
      <c r="KC28" s="403"/>
      <c r="KD28" s="403"/>
      <c r="KE28" s="403"/>
      <c r="KF28" s="403"/>
      <c r="KG28" s="403"/>
    </row>
    <row r="29" spans="1:293" x14ac:dyDescent="0.25">
      <c r="A29" s="711"/>
      <c r="B29" s="443"/>
      <c r="C29" s="705"/>
      <c r="D29" s="423"/>
      <c r="E29" s="423"/>
      <c r="F29" s="705" t="s">
        <v>521</v>
      </c>
      <c r="G29" s="705"/>
      <c r="H29" s="422">
        <f>SUM(I29:J29)</f>
        <v>200</v>
      </c>
      <c r="I29" s="422">
        <v>200</v>
      </c>
      <c r="J29" s="691"/>
      <c r="K29" s="697">
        <v>4.38</v>
      </c>
      <c r="L29" s="422">
        <f t="shared" si="2"/>
        <v>0</v>
      </c>
      <c r="M29" s="422">
        <v>1</v>
      </c>
      <c r="N29" s="422"/>
      <c r="O29" s="422">
        <v>14800</v>
      </c>
      <c r="P29" s="422">
        <f>H29*O29</f>
        <v>2960000</v>
      </c>
      <c r="Q29" s="695"/>
      <c r="R29" s="691"/>
      <c r="S29" s="706"/>
      <c r="T29" s="713">
        <f t="shared" si="1"/>
        <v>2960000</v>
      </c>
      <c r="V29" s="403"/>
      <c r="W29" s="403"/>
      <c r="X29" s="403"/>
      <c r="Y29" s="403"/>
      <c r="Z29" s="403"/>
      <c r="AA29" s="403"/>
      <c r="AB29" s="403"/>
      <c r="AC29" s="403"/>
      <c r="AD29" s="403"/>
      <c r="AE29" s="403"/>
      <c r="AF29" s="403"/>
      <c r="AG29" s="403"/>
      <c r="AH29" s="403"/>
      <c r="AI29" s="403"/>
      <c r="AJ29" s="403"/>
      <c r="AK29" s="403"/>
      <c r="AL29" s="403"/>
      <c r="AM29" s="403"/>
      <c r="AN29" s="403"/>
      <c r="AO29" s="403"/>
      <c r="AP29" s="403"/>
      <c r="AQ29" s="403"/>
      <c r="AR29" s="403"/>
      <c r="AS29" s="403"/>
      <c r="AT29" s="403"/>
      <c r="AU29" s="403"/>
      <c r="AV29" s="403"/>
      <c r="AW29" s="403"/>
      <c r="AX29" s="403"/>
      <c r="AY29" s="403"/>
      <c r="AZ29" s="403"/>
      <c r="BA29" s="403"/>
      <c r="BB29" s="403"/>
      <c r="BC29" s="403"/>
      <c r="BD29" s="403"/>
      <c r="BE29" s="403"/>
      <c r="BF29" s="403"/>
      <c r="BG29" s="403"/>
      <c r="BH29" s="403"/>
      <c r="BI29" s="403"/>
      <c r="BJ29" s="403"/>
      <c r="BK29" s="403"/>
      <c r="BL29" s="403"/>
      <c r="BM29" s="403"/>
      <c r="BN29" s="403"/>
      <c r="BO29" s="403"/>
      <c r="BP29" s="403"/>
      <c r="BQ29" s="403"/>
      <c r="BR29" s="403"/>
      <c r="BS29" s="403"/>
      <c r="BT29" s="403"/>
      <c r="BU29" s="403"/>
      <c r="BV29" s="403"/>
      <c r="BW29" s="403"/>
      <c r="BX29" s="403"/>
      <c r="BY29" s="403"/>
      <c r="BZ29" s="403"/>
      <c r="CA29" s="403"/>
      <c r="CB29" s="403"/>
      <c r="CC29" s="403"/>
      <c r="CD29" s="403"/>
      <c r="CE29" s="403"/>
      <c r="CF29" s="403"/>
      <c r="CG29" s="403"/>
      <c r="CH29" s="403"/>
      <c r="CI29" s="403"/>
      <c r="CJ29" s="403"/>
      <c r="CK29" s="403"/>
      <c r="CL29" s="403"/>
      <c r="CM29" s="403"/>
      <c r="CN29" s="403"/>
      <c r="CO29" s="403"/>
      <c r="CP29" s="403"/>
      <c r="CQ29" s="403"/>
      <c r="CR29" s="403"/>
      <c r="CS29" s="403"/>
      <c r="CT29" s="403"/>
      <c r="CU29" s="403"/>
      <c r="CV29" s="403"/>
      <c r="CW29" s="403"/>
      <c r="CX29" s="403"/>
      <c r="CY29" s="403"/>
      <c r="CZ29" s="403"/>
      <c r="DA29" s="403"/>
      <c r="DB29" s="403"/>
      <c r="DC29" s="403"/>
      <c r="DD29" s="403"/>
      <c r="DE29" s="403"/>
      <c r="DF29" s="403"/>
      <c r="DG29" s="403"/>
      <c r="DH29" s="403"/>
      <c r="DI29" s="403"/>
      <c r="DJ29" s="403"/>
      <c r="DK29" s="403"/>
      <c r="DL29" s="403"/>
      <c r="DM29" s="403"/>
      <c r="DN29" s="403"/>
      <c r="DO29" s="403"/>
      <c r="DP29" s="403"/>
      <c r="DQ29" s="403"/>
      <c r="DR29" s="403"/>
      <c r="DS29" s="403"/>
      <c r="DT29" s="403"/>
      <c r="DU29" s="403"/>
      <c r="DV29" s="403"/>
      <c r="DW29" s="403"/>
      <c r="DX29" s="403"/>
      <c r="DY29" s="403"/>
      <c r="DZ29" s="403"/>
      <c r="EA29" s="403"/>
      <c r="EB29" s="403"/>
      <c r="EC29" s="403"/>
      <c r="ED29" s="403"/>
      <c r="EE29" s="403"/>
      <c r="EF29" s="403"/>
      <c r="EG29" s="403"/>
      <c r="EH29" s="403"/>
      <c r="EI29" s="403"/>
      <c r="EJ29" s="403"/>
      <c r="EK29" s="403"/>
      <c r="EL29" s="403"/>
      <c r="EM29" s="403"/>
      <c r="EN29" s="403"/>
      <c r="EO29" s="403"/>
      <c r="EP29" s="403"/>
      <c r="EQ29" s="403"/>
      <c r="ER29" s="403"/>
      <c r="ES29" s="403"/>
      <c r="ET29" s="403"/>
      <c r="EU29" s="403"/>
      <c r="EV29" s="403"/>
      <c r="EW29" s="403"/>
      <c r="EX29" s="403"/>
      <c r="EY29" s="403"/>
      <c r="EZ29" s="403"/>
      <c r="FA29" s="403"/>
      <c r="FB29" s="403"/>
      <c r="FC29" s="403"/>
      <c r="FD29" s="403"/>
      <c r="FE29" s="403"/>
      <c r="FF29" s="403"/>
      <c r="FG29" s="403"/>
      <c r="FH29" s="403"/>
      <c r="FI29" s="403"/>
      <c r="FJ29" s="403"/>
      <c r="FK29" s="403"/>
      <c r="FL29" s="403"/>
      <c r="FM29" s="403"/>
      <c r="FN29" s="403"/>
      <c r="FO29" s="403"/>
      <c r="FP29" s="403"/>
      <c r="FQ29" s="403"/>
      <c r="FR29" s="403"/>
      <c r="FS29" s="403"/>
      <c r="FT29" s="403"/>
      <c r="FU29" s="403"/>
      <c r="FV29" s="403"/>
      <c r="FW29" s="403"/>
      <c r="FX29" s="403"/>
      <c r="FY29" s="403"/>
      <c r="FZ29" s="403"/>
      <c r="GA29" s="403"/>
      <c r="GB29" s="403"/>
      <c r="GC29" s="403"/>
      <c r="GD29" s="403"/>
      <c r="GE29" s="403"/>
      <c r="GF29" s="403"/>
      <c r="GG29" s="403"/>
      <c r="GH29" s="403"/>
      <c r="GI29" s="403"/>
      <c r="GJ29" s="403"/>
      <c r="GK29" s="403"/>
      <c r="GL29" s="403"/>
      <c r="GM29" s="403"/>
      <c r="GN29" s="403"/>
      <c r="GO29" s="403"/>
      <c r="GP29" s="403"/>
      <c r="GQ29" s="403"/>
      <c r="GR29" s="403"/>
      <c r="GS29" s="403"/>
      <c r="GT29" s="403"/>
      <c r="GU29" s="403"/>
      <c r="GV29" s="403"/>
      <c r="GW29" s="403"/>
      <c r="GX29" s="403"/>
      <c r="GY29" s="403"/>
      <c r="GZ29" s="403"/>
      <c r="HA29" s="403"/>
      <c r="HB29" s="403"/>
      <c r="HC29" s="403"/>
      <c r="HD29" s="403"/>
      <c r="HE29" s="403"/>
      <c r="HF29" s="403"/>
      <c r="HG29" s="403"/>
      <c r="HH29" s="403"/>
      <c r="HI29" s="403"/>
      <c r="HJ29" s="403"/>
      <c r="HK29" s="403"/>
      <c r="HL29" s="403"/>
      <c r="HM29" s="403"/>
      <c r="HN29" s="403"/>
      <c r="HO29" s="403"/>
      <c r="HP29" s="403"/>
      <c r="HQ29" s="403"/>
      <c r="HR29" s="403"/>
      <c r="HS29" s="403"/>
      <c r="HT29" s="403"/>
      <c r="HU29" s="403"/>
      <c r="HV29" s="403"/>
      <c r="HW29" s="403"/>
      <c r="HX29" s="403"/>
      <c r="HY29" s="403"/>
      <c r="HZ29" s="403"/>
      <c r="IA29" s="403"/>
      <c r="IB29" s="403"/>
      <c r="IC29" s="403"/>
      <c r="ID29" s="403"/>
      <c r="IE29" s="403"/>
      <c r="IF29" s="403"/>
      <c r="IG29" s="403"/>
      <c r="IH29" s="403"/>
      <c r="II29" s="403"/>
      <c r="IJ29" s="403"/>
      <c r="IK29" s="403"/>
      <c r="IL29" s="403"/>
      <c r="IM29" s="403"/>
      <c r="IN29" s="403"/>
      <c r="IO29" s="403"/>
      <c r="IP29" s="403"/>
      <c r="IQ29" s="403"/>
      <c r="IR29" s="403"/>
      <c r="IS29" s="403"/>
      <c r="IT29" s="403"/>
      <c r="IU29" s="403"/>
      <c r="IV29" s="403"/>
      <c r="IW29" s="403"/>
      <c r="IX29" s="403"/>
      <c r="IY29" s="403"/>
      <c r="IZ29" s="403"/>
      <c r="JA29" s="403"/>
      <c r="JB29" s="403"/>
      <c r="JC29" s="403"/>
      <c r="JD29" s="403"/>
      <c r="JE29" s="403"/>
      <c r="JF29" s="403"/>
      <c r="JG29" s="403"/>
      <c r="JH29" s="403"/>
      <c r="JI29" s="403"/>
      <c r="JJ29" s="403"/>
      <c r="JK29" s="403"/>
      <c r="JL29" s="403"/>
      <c r="JM29" s="403"/>
      <c r="JN29" s="403"/>
      <c r="JO29" s="403"/>
      <c r="JP29" s="403"/>
      <c r="JQ29" s="403"/>
      <c r="JR29" s="403"/>
      <c r="JS29" s="403"/>
      <c r="JT29" s="403"/>
      <c r="JU29" s="403"/>
      <c r="JV29" s="403"/>
      <c r="JW29" s="403"/>
      <c r="JX29" s="403"/>
      <c r="JY29" s="403"/>
      <c r="JZ29" s="403"/>
      <c r="KA29" s="403"/>
      <c r="KB29" s="403"/>
      <c r="KC29" s="403"/>
      <c r="KD29" s="403"/>
      <c r="KE29" s="403"/>
      <c r="KF29" s="403"/>
      <c r="KG29" s="403"/>
    </row>
    <row r="30" spans="1:293" x14ac:dyDescent="0.25">
      <c r="A30" s="711"/>
      <c r="B30" s="443"/>
      <c r="C30" s="705"/>
      <c r="D30" s="423"/>
      <c r="E30" s="423"/>
      <c r="F30" s="705" t="s">
        <v>625</v>
      </c>
      <c r="G30" s="705"/>
      <c r="H30" s="422">
        <f>SUM(I30:J30)</f>
        <v>20</v>
      </c>
      <c r="I30" s="422"/>
      <c r="J30" s="422">
        <v>20</v>
      </c>
      <c r="K30" s="697">
        <v>4.38</v>
      </c>
      <c r="L30" s="422">
        <f t="shared" si="2"/>
        <v>3.504</v>
      </c>
      <c r="M30" s="422">
        <v>0.2</v>
      </c>
      <c r="N30" s="422"/>
      <c r="O30" s="422">
        <v>14800</v>
      </c>
      <c r="P30" s="422">
        <f>H30*O30</f>
        <v>296000</v>
      </c>
      <c r="Q30" s="695"/>
      <c r="R30" s="691"/>
      <c r="S30" s="706"/>
      <c r="T30" s="713">
        <f t="shared" si="1"/>
        <v>296000</v>
      </c>
    </row>
    <row r="31" spans="1:293" x14ac:dyDescent="0.25">
      <c r="A31" s="711"/>
      <c r="B31" s="443"/>
      <c r="C31" s="705"/>
      <c r="D31" s="423"/>
      <c r="E31" s="423"/>
      <c r="F31" s="705" t="s">
        <v>539</v>
      </c>
      <c r="G31" s="705"/>
      <c r="H31" s="422">
        <f>SUM(I31:J31)</f>
        <v>20</v>
      </c>
      <c r="I31" s="422"/>
      <c r="J31" s="422">
        <v>20</v>
      </c>
      <c r="K31" s="697">
        <v>4.38</v>
      </c>
      <c r="L31" s="422">
        <f t="shared" si="2"/>
        <v>3.504</v>
      </c>
      <c r="M31" s="422">
        <v>0.2</v>
      </c>
      <c r="N31" s="422">
        <f>H31*K31*M31</f>
        <v>17.52</v>
      </c>
      <c r="O31" s="422">
        <v>14800</v>
      </c>
      <c r="P31" s="422">
        <f>H31*O31</f>
        <v>296000</v>
      </c>
      <c r="Q31" s="695"/>
      <c r="R31" s="691"/>
      <c r="S31" s="1067"/>
      <c r="T31" s="713">
        <f t="shared" si="1"/>
        <v>296000</v>
      </c>
    </row>
    <row r="32" spans="1:293" x14ac:dyDescent="0.25">
      <c r="A32" s="1725" t="s">
        <v>507</v>
      </c>
      <c r="B32" s="1726"/>
      <c r="C32" s="1063"/>
      <c r="D32" s="1064"/>
      <c r="E32" s="1064"/>
      <c r="F32" s="1063"/>
      <c r="G32" s="1063"/>
      <c r="H32" s="1065">
        <f>SUM(H33:H33)</f>
        <v>52.5</v>
      </c>
      <c r="I32" s="1065">
        <f>SUM(I33:I33)</f>
        <v>0</v>
      </c>
      <c r="J32" s="1065">
        <f>SUM(J33:J33)</f>
        <v>52.5</v>
      </c>
      <c r="K32" s="1063"/>
      <c r="L32" s="1063"/>
      <c r="M32" s="1063"/>
      <c r="N32" s="1063"/>
      <c r="O32" s="1063"/>
      <c r="P32" s="1065">
        <f>SUM(P33:P33)</f>
        <v>155400</v>
      </c>
      <c r="Q32" s="1065">
        <f>SUM(Q33:Q33)</f>
        <v>0</v>
      </c>
      <c r="R32" s="1063"/>
      <c r="S32" s="1065">
        <f>SUM(S33:S33)</f>
        <v>0</v>
      </c>
      <c r="T32" s="1065">
        <f>SUM(T33:T33)</f>
        <v>155400</v>
      </c>
    </row>
    <row r="33" spans="1:20" x14ac:dyDescent="0.25">
      <c r="A33" s="711">
        <v>7</v>
      </c>
      <c r="B33" s="443" t="s">
        <v>649</v>
      </c>
      <c r="C33" s="705"/>
      <c r="D33" s="423"/>
      <c r="E33" s="423"/>
      <c r="F33" s="705" t="s">
        <v>625</v>
      </c>
      <c r="G33" s="705"/>
      <c r="H33" s="422">
        <f>SUM(I33:J33)</f>
        <v>52.5</v>
      </c>
      <c r="I33" s="422"/>
      <c r="J33" s="422">
        <v>52.5</v>
      </c>
      <c r="K33" s="697">
        <v>4.38</v>
      </c>
      <c r="L33" s="422">
        <f t="shared" si="2"/>
        <v>3.504</v>
      </c>
      <c r="M33" s="422">
        <v>0.2</v>
      </c>
      <c r="N33" s="422"/>
      <c r="O33" s="422">
        <v>14800</v>
      </c>
      <c r="P33" s="422">
        <f>H33*M33*O33</f>
        <v>155400</v>
      </c>
      <c r="Q33" s="695"/>
      <c r="R33" s="691"/>
      <c r="S33" s="706"/>
      <c r="T33" s="713">
        <f t="shared" si="1"/>
        <v>155400</v>
      </c>
    </row>
    <row r="34" spans="1:20" ht="18" x14ac:dyDescent="0.25">
      <c r="A34" s="863"/>
      <c r="B34" s="863"/>
      <c r="C34" s="1529"/>
      <c r="D34" s="859"/>
      <c r="E34" s="859"/>
      <c r="F34" s="769"/>
      <c r="G34" s="1529"/>
      <c r="H34" s="865"/>
      <c r="I34" s="865"/>
      <c r="J34" s="865"/>
      <c r="K34" s="865"/>
      <c r="L34" s="865"/>
      <c r="M34" s="865"/>
      <c r="N34" s="865"/>
      <c r="O34" s="865"/>
      <c r="P34" s="865"/>
      <c r="Q34" s="865"/>
      <c r="R34" s="865"/>
      <c r="S34" s="865"/>
    </row>
    <row r="35" spans="1:20" x14ac:dyDescent="0.25">
      <c r="A35" s="866" t="s">
        <v>522</v>
      </c>
      <c r="B35" s="1524"/>
      <c r="C35" s="1513"/>
      <c r="D35" s="496"/>
      <c r="E35" s="746"/>
      <c r="F35" s="867"/>
      <c r="G35" s="868" t="s">
        <v>815</v>
      </c>
      <c r="H35" s="867"/>
      <c r="I35" s="864"/>
      <c r="J35" s="864"/>
      <c r="K35" s="1513"/>
      <c r="L35" s="864"/>
      <c r="M35" s="1513"/>
      <c r="N35" s="495"/>
      <c r="O35" s="403"/>
      <c r="P35" s="403" t="s">
        <v>816</v>
      </c>
      <c r="Q35" s="403"/>
      <c r="R35" s="1513"/>
      <c r="S35" s="495"/>
    </row>
    <row r="36" spans="1:20" x14ac:dyDescent="0.25">
      <c r="A36" s="869"/>
      <c r="B36" s="870"/>
      <c r="C36" s="871"/>
      <c r="D36" s="872"/>
      <c r="E36" s="873"/>
      <c r="F36" s="873"/>
      <c r="G36" s="873"/>
      <c r="H36" s="873"/>
      <c r="I36" s="873"/>
      <c r="J36" s="871"/>
      <c r="K36" s="871"/>
      <c r="L36" s="1516"/>
      <c r="M36" s="871"/>
      <c r="N36" s="871"/>
      <c r="O36" s="403"/>
      <c r="P36" s="403"/>
      <c r="Q36" s="403"/>
      <c r="R36" s="1516"/>
      <c r="S36" s="871"/>
    </row>
    <row r="37" spans="1:20" x14ac:dyDescent="0.25">
      <c r="A37" s="869"/>
      <c r="B37" s="758" t="s">
        <v>925</v>
      </c>
      <c r="C37" s="758"/>
      <c r="D37" s="758"/>
      <c r="E37" s="1515"/>
      <c r="F37" s="1515"/>
      <c r="G37" s="1581" t="s">
        <v>818</v>
      </c>
      <c r="H37" s="1581"/>
      <c r="I37" s="1581"/>
      <c r="J37" s="1581"/>
      <c r="K37" s="1581"/>
      <c r="L37" s="1516"/>
      <c r="M37" s="871"/>
      <c r="N37" s="871"/>
      <c r="O37" s="403"/>
      <c r="P37" s="1580" t="s">
        <v>819</v>
      </c>
      <c r="Q37" s="1580"/>
      <c r="R37" s="1580"/>
      <c r="S37" s="871"/>
    </row>
    <row r="38" spans="1:20" x14ac:dyDescent="0.25">
      <c r="A38" s="718"/>
      <c r="B38" s="1598" t="s">
        <v>527</v>
      </c>
      <c r="C38" s="1598"/>
      <c r="D38" s="1598"/>
      <c r="F38" s="1518"/>
      <c r="G38" s="1068" t="s">
        <v>820</v>
      </c>
      <c r="H38" s="1068"/>
      <c r="I38" s="1068"/>
      <c r="J38" s="1068"/>
      <c r="K38" s="1068"/>
      <c r="P38" s="1598" t="s">
        <v>821</v>
      </c>
      <c r="Q38" s="1598"/>
      <c r="R38" s="1598"/>
    </row>
  </sheetData>
  <mergeCells count="24">
    <mergeCell ref="A1:S1"/>
    <mergeCell ref="A7:S7"/>
    <mergeCell ref="M8:S8"/>
    <mergeCell ref="A13:S13"/>
    <mergeCell ref="A14:A16"/>
    <mergeCell ref="B14:B16"/>
    <mergeCell ref="C14:C16"/>
    <mergeCell ref="D14:D16"/>
    <mergeCell ref="E14:E16"/>
    <mergeCell ref="F14:F16"/>
    <mergeCell ref="B38:D38"/>
    <mergeCell ref="P38:R38"/>
    <mergeCell ref="T15:T16"/>
    <mergeCell ref="A21:B21"/>
    <mergeCell ref="A32:B32"/>
    <mergeCell ref="G37:K37"/>
    <mergeCell ref="P37:R37"/>
    <mergeCell ref="G14:G16"/>
    <mergeCell ref="H14:J15"/>
    <mergeCell ref="K14:L15"/>
    <mergeCell ref="M14:M16"/>
    <mergeCell ref="N14:S14"/>
    <mergeCell ref="N15:P15"/>
    <mergeCell ref="Q15:S15"/>
  </mergeCells>
  <pageMargins left="0.74" right="0" top="0.32" bottom="0.72" header="0.28999999999999998" footer="0.3"/>
  <pageSetup paperSize="5" scale="60" orientation="landscape" errors="blank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9C0C-E712-7E46-8FD0-1F3B2C97B8A3}">
  <sheetPr>
    <tabColor theme="3" tint="0.39997558519241921"/>
  </sheetPr>
  <dimension ref="A1:Y59"/>
  <sheetViews>
    <sheetView showGridLines="0" zoomScaleSheetLayoutView="100" workbookViewId="0">
      <selection activeCell="B23" sqref="B23"/>
    </sheetView>
  </sheetViews>
  <sheetFormatPr defaultColWidth="9.125" defaultRowHeight="12.75" x14ac:dyDescent="0.2"/>
  <cols>
    <col min="1" max="1" width="3.625" style="1177" customWidth="1"/>
    <col min="2" max="2" width="11.125" style="1177" customWidth="1"/>
    <col min="3" max="3" width="13.5" style="1177" bestFit="1" customWidth="1"/>
    <col min="4" max="4" width="10.5" style="1177" customWidth="1"/>
    <col min="5" max="5" width="10.375" style="1177" customWidth="1"/>
    <col min="6" max="6" width="15.875" style="1177" customWidth="1"/>
    <col min="7" max="8" width="11.5" style="1177" customWidth="1"/>
    <col min="9" max="9" width="9.625" style="1177" customWidth="1"/>
    <col min="10" max="10" width="11.5" style="1177" customWidth="1"/>
    <col min="11" max="11" width="8.375" style="1177" customWidth="1"/>
    <col min="12" max="12" width="8.5" style="1177" customWidth="1"/>
    <col min="13" max="13" width="6.875" style="1177" customWidth="1"/>
    <col min="14" max="14" width="7.5" style="1177" customWidth="1"/>
    <col min="15" max="15" width="9.375" style="1177" customWidth="1"/>
    <col min="16" max="16" width="11" style="1177" customWidth="1"/>
    <col min="17" max="17" width="10.875" style="1177" customWidth="1"/>
    <col min="18" max="18" width="9.875" style="1177" customWidth="1"/>
    <col min="19" max="19" width="17.875" style="1177" customWidth="1"/>
    <col min="20" max="20" width="16.5" style="1177" customWidth="1"/>
    <col min="21" max="256" width="9.125" style="1177"/>
    <col min="257" max="257" width="3.625" style="1177" customWidth="1"/>
    <col min="258" max="258" width="11.125" style="1177" customWidth="1"/>
    <col min="259" max="259" width="13.5" style="1177" bestFit="1" customWidth="1"/>
    <col min="260" max="260" width="10.5" style="1177" customWidth="1"/>
    <col min="261" max="261" width="10.375" style="1177" customWidth="1"/>
    <col min="262" max="262" width="15.875" style="1177" customWidth="1"/>
    <col min="263" max="264" width="11.5" style="1177" customWidth="1"/>
    <col min="265" max="265" width="9.625" style="1177" customWidth="1"/>
    <col min="266" max="266" width="11.5" style="1177" customWidth="1"/>
    <col min="267" max="267" width="8.375" style="1177" customWidth="1"/>
    <col min="268" max="268" width="8.5" style="1177" customWidth="1"/>
    <col min="269" max="269" width="6.875" style="1177" customWidth="1"/>
    <col min="270" max="270" width="7.5" style="1177" customWidth="1"/>
    <col min="271" max="271" width="9.375" style="1177" customWidth="1"/>
    <col min="272" max="272" width="11" style="1177" customWidth="1"/>
    <col min="273" max="273" width="10.875" style="1177" customWidth="1"/>
    <col min="274" max="274" width="9.875" style="1177" customWidth="1"/>
    <col min="275" max="275" width="17.875" style="1177" customWidth="1"/>
    <col min="276" max="276" width="16.5" style="1177" customWidth="1"/>
    <col min="277" max="512" width="9.125" style="1177"/>
    <col min="513" max="513" width="3.625" style="1177" customWidth="1"/>
    <col min="514" max="514" width="11.125" style="1177" customWidth="1"/>
    <col min="515" max="515" width="13.5" style="1177" bestFit="1" customWidth="1"/>
    <col min="516" max="516" width="10.5" style="1177" customWidth="1"/>
    <col min="517" max="517" width="10.375" style="1177" customWidth="1"/>
    <col min="518" max="518" width="15.875" style="1177" customWidth="1"/>
    <col min="519" max="520" width="11.5" style="1177" customWidth="1"/>
    <col min="521" max="521" width="9.625" style="1177" customWidth="1"/>
    <col min="522" max="522" width="11.5" style="1177" customWidth="1"/>
    <col min="523" max="523" width="8.375" style="1177" customWidth="1"/>
    <col min="524" max="524" width="8.5" style="1177" customWidth="1"/>
    <col min="525" max="525" width="6.875" style="1177" customWidth="1"/>
    <col min="526" max="526" width="7.5" style="1177" customWidth="1"/>
    <col min="527" max="527" width="9.375" style="1177" customWidth="1"/>
    <col min="528" max="528" width="11" style="1177" customWidth="1"/>
    <col min="529" max="529" width="10.875" style="1177" customWidth="1"/>
    <col min="530" max="530" width="9.875" style="1177" customWidth="1"/>
    <col min="531" max="531" width="17.875" style="1177" customWidth="1"/>
    <col min="532" max="532" width="16.5" style="1177" customWidth="1"/>
    <col min="533" max="768" width="9.125" style="1177"/>
    <col min="769" max="769" width="3.625" style="1177" customWidth="1"/>
    <col min="770" max="770" width="11.125" style="1177" customWidth="1"/>
    <col min="771" max="771" width="13.5" style="1177" bestFit="1" customWidth="1"/>
    <col min="772" max="772" width="10.5" style="1177" customWidth="1"/>
    <col min="773" max="773" width="10.375" style="1177" customWidth="1"/>
    <col min="774" max="774" width="15.875" style="1177" customWidth="1"/>
    <col min="775" max="776" width="11.5" style="1177" customWidth="1"/>
    <col min="777" max="777" width="9.625" style="1177" customWidth="1"/>
    <col min="778" max="778" width="11.5" style="1177" customWidth="1"/>
    <col min="779" max="779" width="8.375" style="1177" customWidth="1"/>
    <col min="780" max="780" width="8.5" style="1177" customWidth="1"/>
    <col min="781" max="781" width="6.875" style="1177" customWidth="1"/>
    <col min="782" max="782" width="7.5" style="1177" customWidth="1"/>
    <col min="783" max="783" width="9.375" style="1177" customWidth="1"/>
    <col min="784" max="784" width="11" style="1177" customWidth="1"/>
    <col min="785" max="785" width="10.875" style="1177" customWidth="1"/>
    <col min="786" max="786" width="9.875" style="1177" customWidth="1"/>
    <col min="787" max="787" width="17.875" style="1177" customWidth="1"/>
    <col min="788" max="788" width="16.5" style="1177" customWidth="1"/>
    <col min="789" max="1024" width="9.125" style="1177"/>
    <col min="1025" max="1025" width="3.625" style="1177" customWidth="1"/>
    <col min="1026" max="1026" width="11.125" style="1177" customWidth="1"/>
    <col min="1027" max="1027" width="13.5" style="1177" bestFit="1" customWidth="1"/>
    <col min="1028" max="1028" width="10.5" style="1177" customWidth="1"/>
    <col min="1029" max="1029" width="10.375" style="1177" customWidth="1"/>
    <col min="1030" max="1030" width="15.875" style="1177" customWidth="1"/>
    <col min="1031" max="1032" width="11.5" style="1177" customWidth="1"/>
    <col min="1033" max="1033" width="9.625" style="1177" customWidth="1"/>
    <col min="1034" max="1034" width="11.5" style="1177" customWidth="1"/>
    <col min="1035" max="1035" width="8.375" style="1177" customWidth="1"/>
    <col min="1036" max="1036" width="8.5" style="1177" customWidth="1"/>
    <col min="1037" max="1037" width="6.875" style="1177" customWidth="1"/>
    <col min="1038" max="1038" width="7.5" style="1177" customWidth="1"/>
    <col min="1039" max="1039" width="9.375" style="1177" customWidth="1"/>
    <col min="1040" max="1040" width="11" style="1177" customWidth="1"/>
    <col min="1041" max="1041" width="10.875" style="1177" customWidth="1"/>
    <col min="1042" max="1042" width="9.875" style="1177" customWidth="1"/>
    <col min="1043" max="1043" width="17.875" style="1177" customWidth="1"/>
    <col min="1044" max="1044" width="16.5" style="1177" customWidth="1"/>
    <col min="1045" max="1280" width="9.125" style="1177"/>
    <col min="1281" max="1281" width="3.625" style="1177" customWidth="1"/>
    <col min="1282" max="1282" width="11.125" style="1177" customWidth="1"/>
    <col min="1283" max="1283" width="13.5" style="1177" bestFit="1" customWidth="1"/>
    <col min="1284" max="1284" width="10.5" style="1177" customWidth="1"/>
    <col min="1285" max="1285" width="10.375" style="1177" customWidth="1"/>
    <col min="1286" max="1286" width="15.875" style="1177" customWidth="1"/>
    <col min="1287" max="1288" width="11.5" style="1177" customWidth="1"/>
    <col min="1289" max="1289" width="9.625" style="1177" customWidth="1"/>
    <col min="1290" max="1290" width="11.5" style="1177" customWidth="1"/>
    <col min="1291" max="1291" width="8.375" style="1177" customWidth="1"/>
    <col min="1292" max="1292" width="8.5" style="1177" customWidth="1"/>
    <col min="1293" max="1293" width="6.875" style="1177" customWidth="1"/>
    <col min="1294" max="1294" width="7.5" style="1177" customWidth="1"/>
    <col min="1295" max="1295" width="9.375" style="1177" customWidth="1"/>
    <col min="1296" max="1296" width="11" style="1177" customWidth="1"/>
    <col min="1297" max="1297" width="10.875" style="1177" customWidth="1"/>
    <col min="1298" max="1298" width="9.875" style="1177" customWidth="1"/>
    <col min="1299" max="1299" width="17.875" style="1177" customWidth="1"/>
    <col min="1300" max="1300" width="16.5" style="1177" customWidth="1"/>
    <col min="1301" max="1536" width="9.125" style="1177"/>
    <col min="1537" max="1537" width="3.625" style="1177" customWidth="1"/>
    <col min="1538" max="1538" width="11.125" style="1177" customWidth="1"/>
    <col min="1539" max="1539" width="13.5" style="1177" bestFit="1" customWidth="1"/>
    <col min="1540" max="1540" width="10.5" style="1177" customWidth="1"/>
    <col min="1541" max="1541" width="10.375" style="1177" customWidth="1"/>
    <col min="1542" max="1542" width="15.875" style="1177" customWidth="1"/>
    <col min="1543" max="1544" width="11.5" style="1177" customWidth="1"/>
    <col min="1545" max="1545" width="9.625" style="1177" customWidth="1"/>
    <col min="1546" max="1546" width="11.5" style="1177" customWidth="1"/>
    <col min="1547" max="1547" width="8.375" style="1177" customWidth="1"/>
    <col min="1548" max="1548" width="8.5" style="1177" customWidth="1"/>
    <col min="1549" max="1549" width="6.875" style="1177" customWidth="1"/>
    <col min="1550" max="1550" width="7.5" style="1177" customWidth="1"/>
    <col min="1551" max="1551" width="9.375" style="1177" customWidth="1"/>
    <col min="1552" max="1552" width="11" style="1177" customWidth="1"/>
    <col min="1553" max="1553" width="10.875" style="1177" customWidth="1"/>
    <col min="1554" max="1554" width="9.875" style="1177" customWidth="1"/>
    <col min="1555" max="1555" width="17.875" style="1177" customWidth="1"/>
    <col min="1556" max="1556" width="16.5" style="1177" customWidth="1"/>
    <col min="1557" max="1792" width="9.125" style="1177"/>
    <col min="1793" max="1793" width="3.625" style="1177" customWidth="1"/>
    <col min="1794" max="1794" width="11.125" style="1177" customWidth="1"/>
    <col min="1795" max="1795" width="13.5" style="1177" bestFit="1" customWidth="1"/>
    <col min="1796" max="1796" width="10.5" style="1177" customWidth="1"/>
    <col min="1797" max="1797" width="10.375" style="1177" customWidth="1"/>
    <col min="1798" max="1798" width="15.875" style="1177" customWidth="1"/>
    <col min="1799" max="1800" width="11.5" style="1177" customWidth="1"/>
    <col min="1801" max="1801" width="9.625" style="1177" customWidth="1"/>
    <col min="1802" max="1802" width="11.5" style="1177" customWidth="1"/>
    <col min="1803" max="1803" width="8.375" style="1177" customWidth="1"/>
    <col min="1804" max="1804" width="8.5" style="1177" customWidth="1"/>
    <col min="1805" max="1805" width="6.875" style="1177" customWidth="1"/>
    <col min="1806" max="1806" width="7.5" style="1177" customWidth="1"/>
    <col min="1807" max="1807" width="9.375" style="1177" customWidth="1"/>
    <col min="1808" max="1808" width="11" style="1177" customWidth="1"/>
    <col min="1809" max="1809" width="10.875" style="1177" customWidth="1"/>
    <col min="1810" max="1810" width="9.875" style="1177" customWidth="1"/>
    <col min="1811" max="1811" width="17.875" style="1177" customWidth="1"/>
    <col min="1812" max="1812" width="16.5" style="1177" customWidth="1"/>
    <col min="1813" max="2048" width="9.125" style="1177"/>
    <col min="2049" max="2049" width="3.625" style="1177" customWidth="1"/>
    <col min="2050" max="2050" width="11.125" style="1177" customWidth="1"/>
    <col min="2051" max="2051" width="13.5" style="1177" bestFit="1" customWidth="1"/>
    <col min="2052" max="2052" width="10.5" style="1177" customWidth="1"/>
    <col min="2053" max="2053" width="10.375" style="1177" customWidth="1"/>
    <col min="2054" max="2054" width="15.875" style="1177" customWidth="1"/>
    <col min="2055" max="2056" width="11.5" style="1177" customWidth="1"/>
    <col min="2057" max="2057" width="9.625" style="1177" customWidth="1"/>
    <col min="2058" max="2058" width="11.5" style="1177" customWidth="1"/>
    <col min="2059" max="2059" width="8.375" style="1177" customWidth="1"/>
    <col min="2060" max="2060" width="8.5" style="1177" customWidth="1"/>
    <col min="2061" max="2061" width="6.875" style="1177" customWidth="1"/>
    <col min="2062" max="2062" width="7.5" style="1177" customWidth="1"/>
    <col min="2063" max="2063" width="9.375" style="1177" customWidth="1"/>
    <col min="2064" max="2064" width="11" style="1177" customWidth="1"/>
    <col min="2065" max="2065" width="10.875" style="1177" customWidth="1"/>
    <col min="2066" max="2066" width="9.875" style="1177" customWidth="1"/>
    <col min="2067" max="2067" width="17.875" style="1177" customWidth="1"/>
    <col min="2068" max="2068" width="16.5" style="1177" customWidth="1"/>
    <col min="2069" max="2304" width="9.125" style="1177"/>
    <col min="2305" max="2305" width="3.625" style="1177" customWidth="1"/>
    <col min="2306" max="2306" width="11.125" style="1177" customWidth="1"/>
    <col min="2307" max="2307" width="13.5" style="1177" bestFit="1" customWidth="1"/>
    <col min="2308" max="2308" width="10.5" style="1177" customWidth="1"/>
    <col min="2309" max="2309" width="10.375" style="1177" customWidth="1"/>
    <col min="2310" max="2310" width="15.875" style="1177" customWidth="1"/>
    <col min="2311" max="2312" width="11.5" style="1177" customWidth="1"/>
    <col min="2313" max="2313" width="9.625" style="1177" customWidth="1"/>
    <col min="2314" max="2314" width="11.5" style="1177" customWidth="1"/>
    <col min="2315" max="2315" width="8.375" style="1177" customWidth="1"/>
    <col min="2316" max="2316" width="8.5" style="1177" customWidth="1"/>
    <col min="2317" max="2317" width="6.875" style="1177" customWidth="1"/>
    <col min="2318" max="2318" width="7.5" style="1177" customWidth="1"/>
    <col min="2319" max="2319" width="9.375" style="1177" customWidth="1"/>
    <col min="2320" max="2320" width="11" style="1177" customWidth="1"/>
    <col min="2321" max="2321" width="10.875" style="1177" customWidth="1"/>
    <col min="2322" max="2322" width="9.875" style="1177" customWidth="1"/>
    <col min="2323" max="2323" width="17.875" style="1177" customWidth="1"/>
    <col min="2324" max="2324" width="16.5" style="1177" customWidth="1"/>
    <col min="2325" max="2560" width="9.125" style="1177"/>
    <col min="2561" max="2561" width="3.625" style="1177" customWidth="1"/>
    <col min="2562" max="2562" width="11.125" style="1177" customWidth="1"/>
    <col min="2563" max="2563" width="13.5" style="1177" bestFit="1" customWidth="1"/>
    <col min="2564" max="2564" width="10.5" style="1177" customWidth="1"/>
    <col min="2565" max="2565" width="10.375" style="1177" customWidth="1"/>
    <col min="2566" max="2566" width="15.875" style="1177" customWidth="1"/>
    <col min="2567" max="2568" width="11.5" style="1177" customWidth="1"/>
    <col min="2569" max="2569" width="9.625" style="1177" customWidth="1"/>
    <col min="2570" max="2570" width="11.5" style="1177" customWidth="1"/>
    <col min="2571" max="2571" width="8.375" style="1177" customWidth="1"/>
    <col min="2572" max="2572" width="8.5" style="1177" customWidth="1"/>
    <col min="2573" max="2573" width="6.875" style="1177" customWidth="1"/>
    <col min="2574" max="2574" width="7.5" style="1177" customWidth="1"/>
    <col min="2575" max="2575" width="9.375" style="1177" customWidth="1"/>
    <col min="2576" max="2576" width="11" style="1177" customWidth="1"/>
    <col min="2577" max="2577" width="10.875" style="1177" customWidth="1"/>
    <col min="2578" max="2578" width="9.875" style="1177" customWidth="1"/>
    <col min="2579" max="2579" width="17.875" style="1177" customWidth="1"/>
    <col min="2580" max="2580" width="16.5" style="1177" customWidth="1"/>
    <col min="2581" max="2816" width="9.125" style="1177"/>
    <col min="2817" max="2817" width="3.625" style="1177" customWidth="1"/>
    <col min="2818" max="2818" width="11.125" style="1177" customWidth="1"/>
    <col min="2819" max="2819" width="13.5" style="1177" bestFit="1" customWidth="1"/>
    <col min="2820" max="2820" width="10.5" style="1177" customWidth="1"/>
    <col min="2821" max="2821" width="10.375" style="1177" customWidth="1"/>
    <col min="2822" max="2822" width="15.875" style="1177" customWidth="1"/>
    <col min="2823" max="2824" width="11.5" style="1177" customWidth="1"/>
    <col min="2825" max="2825" width="9.625" style="1177" customWidth="1"/>
    <col min="2826" max="2826" width="11.5" style="1177" customWidth="1"/>
    <col min="2827" max="2827" width="8.375" style="1177" customWidth="1"/>
    <col min="2828" max="2828" width="8.5" style="1177" customWidth="1"/>
    <col min="2829" max="2829" width="6.875" style="1177" customWidth="1"/>
    <col min="2830" max="2830" width="7.5" style="1177" customWidth="1"/>
    <col min="2831" max="2831" width="9.375" style="1177" customWidth="1"/>
    <col min="2832" max="2832" width="11" style="1177" customWidth="1"/>
    <col min="2833" max="2833" width="10.875" style="1177" customWidth="1"/>
    <col min="2834" max="2834" width="9.875" style="1177" customWidth="1"/>
    <col min="2835" max="2835" width="17.875" style="1177" customWidth="1"/>
    <col min="2836" max="2836" width="16.5" style="1177" customWidth="1"/>
    <col min="2837" max="3072" width="9.125" style="1177"/>
    <col min="3073" max="3073" width="3.625" style="1177" customWidth="1"/>
    <col min="3074" max="3074" width="11.125" style="1177" customWidth="1"/>
    <col min="3075" max="3075" width="13.5" style="1177" bestFit="1" customWidth="1"/>
    <col min="3076" max="3076" width="10.5" style="1177" customWidth="1"/>
    <col min="3077" max="3077" width="10.375" style="1177" customWidth="1"/>
    <col min="3078" max="3078" width="15.875" style="1177" customWidth="1"/>
    <col min="3079" max="3080" width="11.5" style="1177" customWidth="1"/>
    <col min="3081" max="3081" width="9.625" style="1177" customWidth="1"/>
    <col min="3082" max="3082" width="11.5" style="1177" customWidth="1"/>
    <col min="3083" max="3083" width="8.375" style="1177" customWidth="1"/>
    <col min="3084" max="3084" width="8.5" style="1177" customWidth="1"/>
    <col min="3085" max="3085" width="6.875" style="1177" customWidth="1"/>
    <col min="3086" max="3086" width="7.5" style="1177" customWidth="1"/>
    <col min="3087" max="3087" width="9.375" style="1177" customWidth="1"/>
    <col min="3088" max="3088" width="11" style="1177" customWidth="1"/>
    <col min="3089" max="3089" width="10.875" style="1177" customWidth="1"/>
    <col min="3090" max="3090" width="9.875" style="1177" customWidth="1"/>
    <col min="3091" max="3091" width="17.875" style="1177" customWidth="1"/>
    <col min="3092" max="3092" width="16.5" style="1177" customWidth="1"/>
    <col min="3093" max="3328" width="9.125" style="1177"/>
    <col min="3329" max="3329" width="3.625" style="1177" customWidth="1"/>
    <col min="3330" max="3330" width="11.125" style="1177" customWidth="1"/>
    <col min="3331" max="3331" width="13.5" style="1177" bestFit="1" customWidth="1"/>
    <col min="3332" max="3332" width="10.5" style="1177" customWidth="1"/>
    <col min="3333" max="3333" width="10.375" style="1177" customWidth="1"/>
    <col min="3334" max="3334" width="15.875" style="1177" customWidth="1"/>
    <col min="3335" max="3336" width="11.5" style="1177" customWidth="1"/>
    <col min="3337" max="3337" width="9.625" style="1177" customWidth="1"/>
    <col min="3338" max="3338" width="11.5" style="1177" customWidth="1"/>
    <col min="3339" max="3339" width="8.375" style="1177" customWidth="1"/>
    <col min="3340" max="3340" width="8.5" style="1177" customWidth="1"/>
    <col min="3341" max="3341" width="6.875" style="1177" customWidth="1"/>
    <col min="3342" max="3342" width="7.5" style="1177" customWidth="1"/>
    <col min="3343" max="3343" width="9.375" style="1177" customWidth="1"/>
    <col min="3344" max="3344" width="11" style="1177" customWidth="1"/>
    <col min="3345" max="3345" width="10.875" style="1177" customWidth="1"/>
    <col min="3346" max="3346" width="9.875" style="1177" customWidth="1"/>
    <col min="3347" max="3347" width="17.875" style="1177" customWidth="1"/>
    <col min="3348" max="3348" width="16.5" style="1177" customWidth="1"/>
    <col min="3349" max="3584" width="9.125" style="1177"/>
    <col min="3585" max="3585" width="3.625" style="1177" customWidth="1"/>
    <col min="3586" max="3586" width="11.125" style="1177" customWidth="1"/>
    <col min="3587" max="3587" width="13.5" style="1177" bestFit="1" customWidth="1"/>
    <col min="3588" max="3588" width="10.5" style="1177" customWidth="1"/>
    <col min="3589" max="3589" width="10.375" style="1177" customWidth="1"/>
    <col min="3590" max="3590" width="15.875" style="1177" customWidth="1"/>
    <col min="3591" max="3592" width="11.5" style="1177" customWidth="1"/>
    <col min="3593" max="3593" width="9.625" style="1177" customWidth="1"/>
    <col min="3594" max="3594" width="11.5" style="1177" customWidth="1"/>
    <col min="3595" max="3595" width="8.375" style="1177" customWidth="1"/>
    <col min="3596" max="3596" width="8.5" style="1177" customWidth="1"/>
    <col min="3597" max="3597" width="6.875" style="1177" customWidth="1"/>
    <col min="3598" max="3598" width="7.5" style="1177" customWidth="1"/>
    <col min="3599" max="3599" width="9.375" style="1177" customWidth="1"/>
    <col min="3600" max="3600" width="11" style="1177" customWidth="1"/>
    <col min="3601" max="3601" width="10.875" style="1177" customWidth="1"/>
    <col min="3602" max="3602" width="9.875" style="1177" customWidth="1"/>
    <col min="3603" max="3603" width="17.875" style="1177" customWidth="1"/>
    <col min="3604" max="3604" width="16.5" style="1177" customWidth="1"/>
    <col min="3605" max="3840" width="9.125" style="1177"/>
    <col min="3841" max="3841" width="3.625" style="1177" customWidth="1"/>
    <col min="3842" max="3842" width="11.125" style="1177" customWidth="1"/>
    <col min="3843" max="3843" width="13.5" style="1177" bestFit="1" customWidth="1"/>
    <col min="3844" max="3844" width="10.5" style="1177" customWidth="1"/>
    <col min="3845" max="3845" width="10.375" style="1177" customWidth="1"/>
    <col min="3846" max="3846" width="15.875" style="1177" customWidth="1"/>
    <col min="3847" max="3848" width="11.5" style="1177" customWidth="1"/>
    <col min="3849" max="3849" width="9.625" style="1177" customWidth="1"/>
    <col min="3850" max="3850" width="11.5" style="1177" customWidth="1"/>
    <col min="3851" max="3851" width="8.375" style="1177" customWidth="1"/>
    <col min="3852" max="3852" width="8.5" style="1177" customWidth="1"/>
    <col min="3853" max="3853" width="6.875" style="1177" customWidth="1"/>
    <col min="3854" max="3854" width="7.5" style="1177" customWidth="1"/>
    <col min="3855" max="3855" width="9.375" style="1177" customWidth="1"/>
    <col min="3856" max="3856" width="11" style="1177" customWidth="1"/>
    <col min="3857" max="3857" width="10.875" style="1177" customWidth="1"/>
    <col min="3858" max="3858" width="9.875" style="1177" customWidth="1"/>
    <col min="3859" max="3859" width="17.875" style="1177" customWidth="1"/>
    <col min="3860" max="3860" width="16.5" style="1177" customWidth="1"/>
    <col min="3861" max="4096" width="9.125" style="1177"/>
    <col min="4097" max="4097" width="3.625" style="1177" customWidth="1"/>
    <col min="4098" max="4098" width="11.125" style="1177" customWidth="1"/>
    <col min="4099" max="4099" width="13.5" style="1177" bestFit="1" customWidth="1"/>
    <col min="4100" max="4100" width="10.5" style="1177" customWidth="1"/>
    <col min="4101" max="4101" width="10.375" style="1177" customWidth="1"/>
    <col min="4102" max="4102" width="15.875" style="1177" customWidth="1"/>
    <col min="4103" max="4104" width="11.5" style="1177" customWidth="1"/>
    <col min="4105" max="4105" width="9.625" style="1177" customWidth="1"/>
    <col min="4106" max="4106" width="11.5" style="1177" customWidth="1"/>
    <col min="4107" max="4107" width="8.375" style="1177" customWidth="1"/>
    <col min="4108" max="4108" width="8.5" style="1177" customWidth="1"/>
    <col min="4109" max="4109" width="6.875" style="1177" customWidth="1"/>
    <col min="4110" max="4110" width="7.5" style="1177" customWidth="1"/>
    <col min="4111" max="4111" width="9.375" style="1177" customWidth="1"/>
    <col min="4112" max="4112" width="11" style="1177" customWidth="1"/>
    <col min="4113" max="4113" width="10.875" style="1177" customWidth="1"/>
    <col min="4114" max="4114" width="9.875" style="1177" customWidth="1"/>
    <col min="4115" max="4115" width="17.875" style="1177" customWidth="1"/>
    <col min="4116" max="4116" width="16.5" style="1177" customWidth="1"/>
    <col min="4117" max="4352" width="9.125" style="1177"/>
    <col min="4353" max="4353" width="3.625" style="1177" customWidth="1"/>
    <col min="4354" max="4354" width="11.125" style="1177" customWidth="1"/>
    <col min="4355" max="4355" width="13.5" style="1177" bestFit="1" customWidth="1"/>
    <col min="4356" max="4356" width="10.5" style="1177" customWidth="1"/>
    <col min="4357" max="4357" width="10.375" style="1177" customWidth="1"/>
    <col min="4358" max="4358" width="15.875" style="1177" customWidth="1"/>
    <col min="4359" max="4360" width="11.5" style="1177" customWidth="1"/>
    <col min="4361" max="4361" width="9.625" style="1177" customWidth="1"/>
    <col min="4362" max="4362" width="11.5" style="1177" customWidth="1"/>
    <col min="4363" max="4363" width="8.375" style="1177" customWidth="1"/>
    <col min="4364" max="4364" width="8.5" style="1177" customWidth="1"/>
    <col min="4365" max="4365" width="6.875" style="1177" customWidth="1"/>
    <col min="4366" max="4366" width="7.5" style="1177" customWidth="1"/>
    <col min="4367" max="4367" width="9.375" style="1177" customWidth="1"/>
    <col min="4368" max="4368" width="11" style="1177" customWidth="1"/>
    <col min="4369" max="4369" width="10.875" style="1177" customWidth="1"/>
    <col min="4370" max="4370" width="9.875" style="1177" customWidth="1"/>
    <col min="4371" max="4371" width="17.875" style="1177" customWidth="1"/>
    <col min="4372" max="4372" width="16.5" style="1177" customWidth="1"/>
    <col min="4373" max="4608" width="9.125" style="1177"/>
    <col min="4609" max="4609" width="3.625" style="1177" customWidth="1"/>
    <col min="4610" max="4610" width="11.125" style="1177" customWidth="1"/>
    <col min="4611" max="4611" width="13.5" style="1177" bestFit="1" customWidth="1"/>
    <col min="4612" max="4612" width="10.5" style="1177" customWidth="1"/>
    <col min="4613" max="4613" width="10.375" style="1177" customWidth="1"/>
    <col min="4614" max="4614" width="15.875" style="1177" customWidth="1"/>
    <col min="4615" max="4616" width="11.5" style="1177" customWidth="1"/>
    <col min="4617" max="4617" width="9.625" style="1177" customWidth="1"/>
    <col min="4618" max="4618" width="11.5" style="1177" customWidth="1"/>
    <col min="4619" max="4619" width="8.375" style="1177" customWidth="1"/>
    <col min="4620" max="4620" width="8.5" style="1177" customWidth="1"/>
    <col min="4621" max="4621" width="6.875" style="1177" customWidth="1"/>
    <col min="4622" max="4622" width="7.5" style="1177" customWidth="1"/>
    <col min="4623" max="4623" width="9.375" style="1177" customWidth="1"/>
    <col min="4624" max="4624" width="11" style="1177" customWidth="1"/>
    <col min="4625" max="4625" width="10.875" style="1177" customWidth="1"/>
    <col min="4626" max="4626" width="9.875" style="1177" customWidth="1"/>
    <col min="4627" max="4627" width="17.875" style="1177" customWidth="1"/>
    <col min="4628" max="4628" width="16.5" style="1177" customWidth="1"/>
    <col min="4629" max="4864" width="9.125" style="1177"/>
    <col min="4865" max="4865" width="3.625" style="1177" customWidth="1"/>
    <col min="4866" max="4866" width="11.125" style="1177" customWidth="1"/>
    <col min="4867" max="4867" width="13.5" style="1177" bestFit="1" customWidth="1"/>
    <col min="4868" max="4868" width="10.5" style="1177" customWidth="1"/>
    <col min="4869" max="4869" width="10.375" style="1177" customWidth="1"/>
    <col min="4870" max="4870" width="15.875" style="1177" customWidth="1"/>
    <col min="4871" max="4872" width="11.5" style="1177" customWidth="1"/>
    <col min="4873" max="4873" width="9.625" style="1177" customWidth="1"/>
    <col min="4874" max="4874" width="11.5" style="1177" customWidth="1"/>
    <col min="4875" max="4875" width="8.375" style="1177" customWidth="1"/>
    <col min="4876" max="4876" width="8.5" style="1177" customWidth="1"/>
    <col min="4877" max="4877" width="6.875" style="1177" customWidth="1"/>
    <col min="4878" max="4878" width="7.5" style="1177" customWidth="1"/>
    <col min="4879" max="4879" width="9.375" style="1177" customWidth="1"/>
    <col min="4880" max="4880" width="11" style="1177" customWidth="1"/>
    <col min="4881" max="4881" width="10.875" style="1177" customWidth="1"/>
    <col min="4882" max="4882" width="9.875" style="1177" customWidth="1"/>
    <col min="4883" max="4883" width="17.875" style="1177" customWidth="1"/>
    <col min="4884" max="4884" width="16.5" style="1177" customWidth="1"/>
    <col min="4885" max="5120" width="9.125" style="1177"/>
    <col min="5121" max="5121" width="3.625" style="1177" customWidth="1"/>
    <col min="5122" max="5122" width="11.125" style="1177" customWidth="1"/>
    <col min="5123" max="5123" width="13.5" style="1177" bestFit="1" customWidth="1"/>
    <col min="5124" max="5124" width="10.5" style="1177" customWidth="1"/>
    <col min="5125" max="5125" width="10.375" style="1177" customWidth="1"/>
    <col min="5126" max="5126" width="15.875" style="1177" customWidth="1"/>
    <col min="5127" max="5128" width="11.5" style="1177" customWidth="1"/>
    <col min="5129" max="5129" width="9.625" style="1177" customWidth="1"/>
    <col min="5130" max="5130" width="11.5" style="1177" customWidth="1"/>
    <col min="5131" max="5131" width="8.375" style="1177" customWidth="1"/>
    <col min="5132" max="5132" width="8.5" style="1177" customWidth="1"/>
    <col min="5133" max="5133" width="6.875" style="1177" customWidth="1"/>
    <col min="5134" max="5134" width="7.5" style="1177" customWidth="1"/>
    <col min="5135" max="5135" width="9.375" style="1177" customWidth="1"/>
    <col min="5136" max="5136" width="11" style="1177" customWidth="1"/>
    <col min="5137" max="5137" width="10.875" style="1177" customWidth="1"/>
    <col min="5138" max="5138" width="9.875" style="1177" customWidth="1"/>
    <col min="5139" max="5139" width="17.875" style="1177" customWidth="1"/>
    <col min="5140" max="5140" width="16.5" style="1177" customWidth="1"/>
    <col min="5141" max="5376" width="9.125" style="1177"/>
    <col min="5377" max="5377" width="3.625" style="1177" customWidth="1"/>
    <col min="5378" max="5378" width="11.125" style="1177" customWidth="1"/>
    <col min="5379" max="5379" width="13.5" style="1177" bestFit="1" customWidth="1"/>
    <col min="5380" max="5380" width="10.5" style="1177" customWidth="1"/>
    <col min="5381" max="5381" width="10.375" style="1177" customWidth="1"/>
    <col min="5382" max="5382" width="15.875" style="1177" customWidth="1"/>
    <col min="5383" max="5384" width="11.5" style="1177" customWidth="1"/>
    <col min="5385" max="5385" width="9.625" style="1177" customWidth="1"/>
    <col min="5386" max="5386" width="11.5" style="1177" customWidth="1"/>
    <col min="5387" max="5387" width="8.375" style="1177" customWidth="1"/>
    <col min="5388" max="5388" width="8.5" style="1177" customWidth="1"/>
    <col min="5389" max="5389" width="6.875" style="1177" customWidth="1"/>
    <col min="5390" max="5390" width="7.5" style="1177" customWidth="1"/>
    <col min="5391" max="5391" width="9.375" style="1177" customWidth="1"/>
    <col min="5392" max="5392" width="11" style="1177" customWidth="1"/>
    <col min="5393" max="5393" width="10.875" style="1177" customWidth="1"/>
    <col min="5394" max="5394" width="9.875" style="1177" customWidth="1"/>
    <col min="5395" max="5395" width="17.875" style="1177" customWidth="1"/>
    <col min="5396" max="5396" width="16.5" style="1177" customWidth="1"/>
    <col min="5397" max="5632" width="9.125" style="1177"/>
    <col min="5633" max="5633" width="3.625" style="1177" customWidth="1"/>
    <col min="5634" max="5634" width="11.125" style="1177" customWidth="1"/>
    <col min="5635" max="5635" width="13.5" style="1177" bestFit="1" customWidth="1"/>
    <col min="5636" max="5636" width="10.5" style="1177" customWidth="1"/>
    <col min="5637" max="5637" width="10.375" style="1177" customWidth="1"/>
    <col min="5638" max="5638" width="15.875" style="1177" customWidth="1"/>
    <col min="5639" max="5640" width="11.5" style="1177" customWidth="1"/>
    <col min="5641" max="5641" width="9.625" style="1177" customWidth="1"/>
    <col min="5642" max="5642" width="11.5" style="1177" customWidth="1"/>
    <col min="5643" max="5643" width="8.375" style="1177" customWidth="1"/>
    <col min="5644" max="5644" width="8.5" style="1177" customWidth="1"/>
    <col min="5645" max="5645" width="6.875" style="1177" customWidth="1"/>
    <col min="5646" max="5646" width="7.5" style="1177" customWidth="1"/>
    <col min="5647" max="5647" width="9.375" style="1177" customWidth="1"/>
    <col min="5648" max="5648" width="11" style="1177" customWidth="1"/>
    <col min="5649" max="5649" width="10.875" style="1177" customWidth="1"/>
    <col min="5650" max="5650" width="9.875" style="1177" customWidth="1"/>
    <col min="5651" max="5651" width="17.875" style="1177" customWidth="1"/>
    <col min="5652" max="5652" width="16.5" style="1177" customWidth="1"/>
    <col min="5653" max="5888" width="9.125" style="1177"/>
    <col min="5889" max="5889" width="3.625" style="1177" customWidth="1"/>
    <col min="5890" max="5890" width="11.125" style="1177" customWidth="1"/>
    <col min="5891" max="5891" width="13.5" style="1177" bestFit="1" customWidth="1"/>
    <col min="5892" max="5892" width="10.5" style="1177" customWidth="1"/>
    <col min="5893" max="5893" width="10.375" style="1177" customWidth="1"/>
    <col min="5894" max="5894" width="15.875" style="1177" customWidth="1"/>
    <col min="5895" max="5896" width="11.5" style="1177" customWidth="1"/>
    <col min="5897" max="5897" width="9.625" style="1177" customWidth="1"/>
    <col min="5898" max="5898" width="11.5" style="1177" customWidth="1"/>
    <col min="5899" max="5899" width="8.375" style="1177" customWidth="1"/>
    <col min="5900" max="5900" width="8.5" style="1177" customWidth="1"/>
    <col min="5901" max="5901" width="6.875" style="1177" customWidth="1"/>
    <col min="5902" max="5902" width="7.5" style="1177" customWidth="1"/>
    <col min="5903" max="5903" width="9.375" style="1177" customWidth="1"/>
    <col min="5904" max="5904" width="11" style="1177" customWidth="1"/>
    <col min="5905" max="5905" width="10.875" style="1177" customWidth="1"/>
    <col min="5906" max="5906" width="9.875" style="1177" customWidth="1"/>
    <col min="5907" max="5907" width="17.875" style="1177" customWidth="1"/>
    <col min="5908" max="5908" width="16.5" style="1177" customWidth="1"/>
    <col min="5909" max="6144" width="9.125" style="1177"/>
    <col min="6145" max="6145" width="3.625" style="1177" customWidth="1"/>
    <col min="6146" max="6146" width="11.125" style="1177" customWidth="1"/>
    <col min="6147" max="6147" width="13.5" style="1177" bestFit="1" customWidth="1"/>
    <col min="6148" max="6148" width="10.5" style="1177" customWidth="1"/>
    <col min="6149" max="6149" width="10.375" style="1177" customWidth="1"/>
    <col min="6150" max="6150" width="15.875" style="1177" customWidth="1"/>
    <col min="6151" max="6152" width="11.5" style="1177" customWidth="1"/>
    <col min="6153" max="6153" width="9.625" style="1177" customWidth="1"/>
    <col min="6154" max="6154" width="11.5" style="1177" customWidth="1"/>
    <col min="6155" max="6155" width="8.375" style="1177" customWidth="1"/>
    <col min="6156" max="6156" width="8.5" style="1177" customWidth="1"/>
    <col min="6157" max="6157" width="6.875" style="1177" customWidth="1"/>
    <col min="6158" max="6158" width="7.5" style="1177" customWidth="1"/>
    <col min="6159" max="6159" width="9.375" style="1177" customWidth="1"/>
    <col min="6160" max="6160" width="11" style="1177" customWidth="1"/>
    <col min="6161" max="6161" width="10.875" style="1177" customWidth="1"/>
    <col min="6162" max="6162" width="9.875" style="1177" customWidth="1"/>
    <col min="6163" max="6163" width="17.875" style="1177" customWidth="1"/>
    <col min="6164" max="6164" width="16.5" style="1177" customWidth="1"/>
    <col min="6165" max="6400" width="9.125" style="1177"/>
    <col min="6401" max="6401" width="3.625" style="1177" customWidth="1"/>
    <col min="6402" max="6402" width="11.125" style="1177" customWidth="1"/>
    <col min="6403" max="6403" width="13.5" style="1177" bestFit="1" customWidth="1"/>
    <col min="6404" max="6404" width="10.5" style="1177" customWidth="1"/>
    <col min="6405" max="6405" width="10.375" style="1177" customWidth="1"/>
    <col min="6406" max="6406" width="15.875" style="1177" customWidth="1"/>
    <col min="6407" max="6408" width="11.5" style="1177" customWidth="1"/>
    <col min="6409" max="6409" width="9.625" style="1177" customWidth="1"/>
    <col min="6410" max="6410" width="11.5" style="1177" customWidth="1"/>
    <col min="6411" max="6411" width="8.375" style="1177" customWidth="1"/>
    <col min="6412" max="6412" width="8.5" style="1177" customWidth="1"/>
    <col min="6413" max="6413" width="6.875" style="1177" customWidth="1"/>
    <col min="6414" max="6414" width="7.5" style="1177" customWidth="1"/>
    <col min="6415" max="6415" width="9.375" style="1177" customWidth="1"/>
    <col min="6416" max="6416" width="11" style="1177" customWidth="1"/>
    <col min="6417" max="6417" width="10.875" style="1177" customWidth="1"/>
    <col min="6418" max="6418" width="9.875" style="1177" customWidth="1"/>
    <col min="6419" max="6419" width="17.875" style="1177" customWidth="1"/>
    <col min="6420" max="6420" width="16.5" style="1177" customWidth="1"/>
    <col min="6421" max="6656" width="9.125" style="1177"/>
    <col min="6657" max="6657" width="3.625" style="1177" customWidth="1"/>
    <col min="6658" max="6658" width="11.125" style="1177" customWidth="1"/>
    <col min="6659" max="6659" width="13.5" style="1177" bestFit="1" customWidth="1"/>
    <col min="6660" max="6660" width="10.5" style="1177" customWidth="1"/>
    <col min="6661" max="6661" width="10.375" style="1177" customWidth="1"/>
    <col min="6662" max="6662" width="15.875" style="1177" customWidth="1"/>
    <col min="6663" max="6664" width="11.5" style="1177" customWidth="1"/>
    <col min="6665" max="6665" width="9.625" style="1177" customWidth="1"/>
    <col min="6666" max="6666" width="11.5" style="1177" customWidth="1"/>
    <col min="6667" max="6667" width="8.375" style="1177" customWidth="1"/>
    <col min="6668" max="6668" width="8.5" style="1177" customWidth="1"/>
    <col min="6669" max="6669" width="6.875" style="1177" customWidth="1"/>
    <col min="6670" max="6670" width="7.5" style="1177" customWidth="1"/>
    <col min="6671" max="6671" width="9.375" style="1177" customWidth="1"/>
    <col min="6672" max="6672" width="11" style="1177" customWidth="1"/>
    <col min="6673" max="6673" width="10.875" style="1177" customWidth="1"/>
    <col min="6674" max="6674" width="9.875" style="1177" customWidth="1"/>
    <col min="6675" max="6675" width="17.875" style="1177" customWidth="1"/>
    <col min="6676" max="6676" width="16.5" style="1177" customWidth="1"/>
    <col min="6677" max="6912" width="9.125" style="1177"/>
    <col min="6913" max="6913" width="3.625" style="1177" customWidth="1"/>
    <col min="6914" max="6914" width="11.125" style="1177" customWidth="1"/>
    <col min="6915" max="6915" width="13.5" style="1177" bestFit="1" customWidth="1"/>
    <col min="6916" max="6916" width="10.5" style="1177" customWidth="1"/>
    <col min="6917" max="6917" width="10.375" style="1177" customWidth="1"/>
    <col min="6918" max="6918" width="15.875" style="1177" customWidth="1"/>
    <col min="6919" max="6920" width="11.5" style="1177" customWidth="1"/>
    <col min="6921" max="6921" width="9.625" style="1177" customWidth="1"/>
    <col min="6922" max="6922" width="11.5" style="1177" customWidth="1"/>
    <col min="6923" max="6923" width="8.375" style="1177" customWidth="1"/>
    <col min="6924" max="6924" width="8.5" style="1177" customWidth="1"/>
    <col min="6925" max="6925" width="6.875" style="1177" customWidth="1"/>
    <col min="6926" max="6926" width="7.5" style="1177" customWidth="1"/>
    <col min="6927" max="6927" width="9.375" style="1177" customWidth="1"/>
    <col min="6928" max="6928" width="11" style="1177" customWidth="1"/>
    <col min="6929" max="6929" width="10.875" style="1177" customWidth="1"/>
    <col min="6930" max="6930" width="9.875" style="1177" customWidth="1"/>
    <col min="6931" max="6931" width="17.875" style="1177" customWidth="1"/>
    <col min="6932" max="6932" width="16.5" style="1177" customWidth="1"/>
    <col min="6933" max="7168" width="9.125" style="1177"/>
    <col min="7169" max="7169" width="3.625" style="1177" customWidth="1"/>
    <col min="7170" max="7170" width="11.125" style="1177" customWidth="1"/>
    <col min="7171" max="7171" width="13.5" style="1177" bestFit="1" customWidth="1"/>
    <col min="7172" max="7172" width="10.5" style="1177" customWidth="1"/>
    <col min="7173" max="7173" width="10.375" style="1177" customWidth="1"/>
    <col min="7174" max="7174" width="15.875" style="1177" customWidth="1"/>
    <col min="7175" max="7176" width="11.5" style="1177" customWidth="1"/>
    <col min="7177" max="7177" width="9.625" style="1177" customWidth="1"/>
    <col min="7178" max="7178" width="11.5" style="1177" customWidth="1"/>
    <col min="7179" max="7179" width="8.375" style="1177" customWidth="1"/>
    <col min="7180" max="7180" width="8.5" style="1177" customWidth="1"/>
    <col min="7181" max="7181" width="6.875" style="1177" customWidth="1"/>
    <col min="7182" max="7182" width="7.5" style="1177" customWidth="1"/>
    <col min="7183" max="7183" width="9.375" style="1177" customWidth="1"/>
    <col min="7184" max="7184" width="11" style="1177" customWidth="1"/>
    <col min="7185" max="7185" width="10.875" style="1177" customWidth="1"/>
    <col min="7186" max="7186" width="9.875" style="1177" customWidth="1"/>
    <col min="7187" max="7187" width="17.875" style="1177" customWidth="1"/>
    <col min="7188" max="7188" width="16.5" style="1177" customWidth="1"/>
    <col min="7189" max="7424" width="9.125" style="1177"/>
    <col min="7425" max="7425" width="3.625" style="1177" customWidth="1"/>
    <col min="7426" max="7426" width="11.125" style="1177" customWidth="1"/>
    <col min="7427" max="7427" width="13.5" style="1177" bestFit="1" customWidth="1"/>
    <col min="7428" max="7428" width="10.5" style="1177" customWidth="1"/>
    <col min="7429" max="7429" width="10.375" style="1177" customWidth="1"/>
    <col min="7430" max="7430" width="15.875" style="1177" customWidth="1"/>
    <col min="7431" max="7432" width="11.5" style="1177" customWidth="1"/>
    <col min="7433" max="7433" width="9.625" style="1177" customWidth="1"/>
    <col min="7434" max="7434" width="11.5" style="1177" customWidth="1"/>
    <col min="7435" max="7435" width="8.375" style="1177" customWidth="1"/>
    <col min="7436" max="7436" width="8.5" style="1177" customWidth="1"/>
    <col min="7437" max="7437" width="6.875" style="1177" customWidth="1"/>
    <col min="7438" max="7438" width="7.5" style="1177" customWidth="1"/>
    <col min="7439" max="7439" width="9.375" style="1177" customWidth="1"/>
    <col min="7440" max="7440" width="11" style="1177" customWidth="1"/>
    <col min="7441" max="7441" width="10.875" style="1177" customWidth="1"/>
    <col min="7442" max="7442" width="9.875" style="1177" customWidth="1"/>
    <col min="7443" max="7443" width="17.875" style="1177" customWidth="1"/>
    <col min="7444" max="7444" width="16.5" style="1177" customWidth="1"/>
    <col min="7445" max="7680" width="9.125" style="1177"/>
    <col min="7681" max="7681" width="3.625" style="1177" customWidth="1"/>
    <col min="7682" max="7682" width="11.125" style="1177" customWidth="1"/>
    <col min="7683" max="7683" width="13.5" style="1177" bestFit="1" customWidth="1"/>
    <col min="7684" max="7684" width="10.5" style="1177" customWidth="1"/>
    <col min="7685" max="7685" width="10.375" style="1177" customWidth="1"/>
    <col min="7686" max="7686" width="15.875" style="1177" customWidth="1"/>
    <col min="7687" max="7688" width="11.5" style="1177" customWidth="1"/>
    <col min="7689" max="7689" width="9.625" style="1177" customWidth="1"/>
    <col min="7690" max="7690" width="11.5" style="1177" customWidth="1"/>
    <col min="7691" max="7691" width="8.375" style="1177" customWidth="1"/>
    <col min="7692" max="7692" width="8.5" style="1177" customWidth="1"/>
    <col min="7693" max="7693" width="6.875" style="1177" customWidth="1"/>
    <col min="7694" max="7694" width="7.5" style="1177" customWidth="1"/>
    <col min="7695" max="7695" width="9.375" style="1177" customWidth="1"/>
    <col min="7696" max="7696" width="11" style="1177" customWidth="1"/>
    <col min="7697" max="7697" width="10.875" style="1177" customWidth="1"/>
    <col min="7698" max="7698" width="9.875" style="1177" customWidth="1"/>
    <col min="7699" max="7699" width="17.875" style="1177" customWidth="1"/>
    <col min="7700" max="7700" width="16.5" style="1177" customWidth="1"/>
    <col min="7701" max="7936" width="9.125" style="1177"/>
    <col min="7937" max="7937" width="3.625" style="1177" customWidth="1"/>
    <col min="7938" max="7938" width="11.125" style="1177" customWidth="1"/>
    <col min="7939" max="7939" width="13.5" style="1177" bestFit="1" customWidth="1"/>
    <col min="7940" max="7940" width="10.5" style="1177" customWidth="1"/>
    <col min="7941" max="7941" width="10.375" style="1177" customWidth="1"/>
    <col min="7942" max="7942" width="15.875" style="1177" customWidth="1"/>
    <col min="7943" max="7944" width="11.5" style="1177" customWidth="1"/>
    <col min="7945" max="7945" width="9.625" style="1177" customWidth="1"/>
    <col min="7946" max="7946" width="11.5" style="1177" customWidth="1"/>
    <col min="7947" max="7947" width="8.375" style="1177" customWidth="1"/>
    <col min="7948" max="7948" width="8.5" style="1177" customWidth="1"/>
    <col min="7949" max="7949" width="6.875" style="1177" customWidth="1"/>
    <col min="7950" max="7950" width="7.5" style="1177" customWidth="1"/>
    <col min="7951" max="7951" width="9.375" style="1177" customWidth="1"/>
    <col min="7952" max="7952" width="11" style="1177" customWidth="1"/>
    <col min="7953" max="7953" width="10.875" style="1177" customWidth="1"/>
    <col min="7954" max="7954" width="9.875" style="1177" customWidth="1"/>
    <col min="7955" max="7955" width="17.875" style="1177" customWidth="1"/>
    <col min="7956" max="7956" width="16.5" style="1177" customWidth="1"/>
    <col min="7957" max="8192" width="9.125" style="1177"/>
    <col min="8193" max="8193" width="3.625" style="1177" customWidth="1"/>
    <col min="8194" max="8194" width="11.125" style="1177" customWidth="1"/>
    <col min="8195" max="8195" width="13.5" style="1177" bestFit="1" customWidth="1"/>
    <col min="8196" max="8196" width="10.5" style="1177" customWidth="1"/>
    <col min="8197" max="8197" width="10.375" style="1177" customWidth="1"/>
    <col min="8198" max="8198" width="15.875" style="1177" customWidth="1"/>
    <col min="8199" max="8200" width="11.5" style="1177" customWidth="1"/>
    <col min="8201" max="8201" width="9.625" style="1177" customWidth="1"/>
    <col min="8202" max="8202" width="11.5" style="1177" customWidth="1"/>
    <col min="8203" max="8203" width="8.375" style="1177" customWidth="1"/>
    <col min="8204" max="8204" width="8.5" style="1177" customWidth="1"/>
    <col min="8205" max="8205" width="6.875" style="1177" customWidth="1"/>
    <col min="8206" max="8206" width="7.5" style="1177" customWidth="1"/>
    <col min="8207" max="8207" width="9.375" style="1177" customWidth="1"/>
    <col min="8208" max="8208" width="11" style="1177" customWidth="1"/>
    <col min="8209" max="8209" width="10.875" style="1177" customWidth="1"/>
    <col min="8210" max="8210" width="9.875" style="1177" customWidth="1"/>
    <col min="8211" max="8211" width="17.875" style="1177" customWidth="1"/>
    <col min="8212" max="8212" width="16.5" style="1177" customWidth="1"/>
    <col min="8213" max="8448" width="9.125" style="1177"/>
    <col min="8449" max="8449" width="3.625" style="1177" customWidth="1"/>
    <col min="8450" max="8450" width="11.125" style="1177" customWidth="1"/>
    <col min="8451" max="8451" width="13.5" style="1177" bestFit="1" customWidth="1"/>
    <col min="8452" max="8452" width="10.5" style="1177" customWidth="1"/>
    <col min="8453" max="8453" width="10.375" style="1177" customWidth="1"/>
    <col min="8454" max="8454" width="15.875" style="1177" customWidth="1"/>
    <col min="8455" max="8456" width="11.5" style="1177" customWidth="1"/>
    <col min="8457" max="8457" width="9.625" style="1177" customWidth="1"/>
    <col min="8458" max="8458" width="11.5" style="1177" customWidth="1"/>
    <col min="8459" max="8459" width="8.375" style="1177" customWidth="1"/>
    <col min="8460" max="8460" width="8.5" style="1177" customWidth="1"/>
    <col min="8461" max="8461" width="6.875" style="1177" customWidth="1"/>
    <col min="8462" max="8462" width="7.5" style="1177" customWidth="1"/>
    <col min="8463" max="8463" width="9.375" style="1177" customWidth="1"/>
    <col min="8464" max="8464" width="11" style="1177" customWidth="1"/>
    <col min="8465" max="8465" width="10.875" style="1177" customWidth="1"/>
    <col min="8466" max="8466" width="9.875" style="1177" customWidth="1"/>
    <col min="8467" max="8467" width="17.875" style="1177" customWidth="1"/>
    <col min="8468" max="8468" width="16.5" style="1177" customWidth="1"/>
    <col min="8469" max="8704" width="9.125" style="1177"/>
    <col min="8705" max="8705" width="3.625" style="1177" customWidth="1"/>
    <col min="8706" max="8706" width="11.125" style="1177" customWidth="1"/>
    <col min="8707" max="8707" width="13.5" style="1177" bestFit="1" customWidth="1"/>
    <col min="8708" max="8708" width="10.5" style="1177" customWidth="1"/>
    <col min="8709" max="8709" width="10.375" style="1177" customWidth="1"/>
    <col min="8710" max="8710" width="15.875" style="1177" customWidth="1"/>
    <col min="8711" max="8712" width="11.5" style="1177" customWidth="1"/>
    <col min="8713" max="8713" width="9.625" style="1177" customWidth="1"/>
    <col min="8714" max="8714" width="11.5" style="1177" customWidth="1"/>
    <col min="8715" max="8715" width="8.375" style="1177" customWidth="1"/>
    <col min="8716" max="8716" width="8.5" style="1177" customWidth="1"/>
    <col min="8717" max="8717" width="6.875" style="1177" customWidth="1"/>
    <col min="8718" max="8718" width="7.5" style="1177" customWidth="1"/>
    <col min="8719" max="8719" width="9.375" style="1177" customWidth="1"/>
    <col min="8720" max="8720" width="11" style="1177" customWidth="1"/>
    <col min="8721" max="8721" width="10.875" style="1177" customWidth="1"/>
    <col min="8722" max="8722" width="9.875" style="1177" customWidth="1"/>
    <col min="8723" max="8723" width="17.875" style="1177" customWidth="1"/>
    <col min="8724" max="8724" width="16.5" style="1177" customWidth="1"/>
    <col min="8725" max="8960" width="9.125" style="1177"/>
    <col min="8961" max="8961" width="3.625" style="1177" customWidth="1"/>
    <col min="8962" max="8962" width="11.125" style="1177" customWidth="1"/>
    <col min="8963" max="8963" width="13.5" style="1177" bestFit="1" customWidth="1"/>
    <col min="8964" max="8964" width="10.5" style="1177" customWidth="1"/>
    <col min="8965" max="8965" width="10.375" style="1177" customWidth="1"/>
    <col min="8966" max="8966" width="15.875" style="1177" customWidth="1"/>
    <col min="8967" max="8968" width="11.5" style="1177" customWidth="1"/>
    <col min="8969" max="8969" width="9.625" style="1177" customWidth="1"/>
    <col min="8970" max="8970" width="11.5" style="1177" customWidth="1"/>
    <col min="8971" max="8971" width="8.375" style="1177" customWidth="1"/>
    <col min="8972" max="8972" width="8.5" style="1177" customWidth="1"/>
    <col min="8973" max="8973" width="6.875" style="1177" customWidth="1"/>
    <col min="8974" max="8974" width="7.5" style="1177" customWidth="1"/>
    <col min="8975" max="8975" width="9.375" style="1177" customWidth="1"/>
    <col min="8976" max="8976" width="11" style="1177" customWidth="1"/>
    <col min="8977" max="8977" width="10.875" style="1177" customWidth="1"/>
    <col min="8978" max="8978" width="9.875" style="1177" customWidth="1"/>
    <col min="8979" max="8979" width="17.875" style="1177" customWidth="1"/>
    <col min="8980" max="8980" width="16.5" style="1177" customWidth="1"/>
    <col min="8981" max="9216" width="9.125" style="1177"/>
    <col min="9217" max="9217" width="3.625" style="1177" customWidth="1"/>
    <col min="9218" max="9218" width="11.125" style="1177" customWidth="1"/>
    <col min="9219" max="9219" width="13.5" style="1177" bestFit="1" customWidth="1"/>
    <col min="9220" max="9220" width="10.5" style="1177" customWidth="1"/>
    <col min="9221" max="9221" width="10.375" style="1177" customWidth="1"/>
    <col min="9222" max="9222" width="15.875" style="1177" customWidth="1"/>
    <col min="9223" max="9224" width="11.5" style="1177" customWidth="1"/>
    <col min="9225" max="9225" width="9.625" style="1177" customWidth="1"/>
    <col min="9226" max="9226" width="11.5" style="1177" customWidth="1"/>
    <col min="9227" max="9227" width="8.375" style="1177" customWidth="1"/>
    <col min="9228" max="9228" width="8.5" style="1177" customWidth="1"/>
    <col min="9229" max="9229" width="6.875" style="1177" customWidth="1"/>
    <col min="9230" max="9230" width="7.5" style="1177" customWidth="1"/>
    <col min="9231" max="9231" width="9.375" style="1177" customWidth="1"/>
    <col min="9232" max="9232" width="11" style="1177" customWidth="1"/>
    <col min="9233" max="9233" width="10.875" style="1177" customWidth="1"/>
    <col min="9234" max="9234" width="9.875" style="1177" customWidth="1"/>
    <col min="9235" max="9235" width="17.875" style="1177" customWidth="1"/>
    <col min="9236" max="9236" width="16.5" style="1177" customWidth="1"/>
    <col min="9237" max="9472" width="9.125" style="1177"/>
    <col min="9473" max="9473" width="3.625" style="1177" customWidth="1"/>
    <col min="9474" max="9474" width="11.125" style="1177" customWidth="1"/>
    <col min="9475" max="9475" width="13.5" style="1177" bestFit="1" customWidth="1"/>
    <col min="9476" max="9476" width="10.5" style="1177" customWidth="1"/>
    <col min="9477" max="9477" width="10.375" style="1177" customWidth="1"/>
    <col min="9478" max="9478" width="15.875" style="1177" customWidth="1"/>
    <col min="9479" max="9480" width="11.5" style="1177" customWidth="1"/>
    <col min="9481" max="9481" width="9.625" style="1177" customWidth="1"/>
    <col min="9482" max="9482" width="11.5" style="1177" customWidth="1"/>
    <col min="9483" max="9483" width="8.375" style="1177" customWidth="1"/>
    <col min="9484" max="9484" width="8.5" style="1177" customWidth="1"/>
    <col min="9485" max="9485" width="6.875" style="1177" customWidth="1"/>
    <col min="9486" max="9486" width="7.5" style="1177" customWidth="1"/>
    <col min="9487" max="9487" width="9.375" style="1177" customWidth="1"/>
    <col min="9488" max="9488" width="11" style="1177" customWidth="1"/>
    <col min="9489" max="9489" width="10.875" style="1177" customWidth="1"/>
    <col min="9490" max="9490" width="9.875" style="1177" customWidth="1"/>
    <col min="9491" max="9491" width="17.875" style="1177" customWidth="1"/>
    <col min="9492" max="9492" width="16.5" style="1177" customWidth="1"/>
    <col min="9493" max="9728" width="9.125" style="1177"/>
    <col min="9729" max="9729" width="3.625" style="1177" customWidth="1"/>
    <col min="9730" max="9730" width="11.125" style="1177" customWidth="1"/>
    <col min="9731" max="9731" width="13.5" style="1177" bestFit="1" customWidth="1"/>
    <col min="9732" max="9732" width="10.5" style="1177" customWidth="1"/>
    <col min="9733" max="9733" width="10.375" style="1177" customWidth="1"/>
    <col min="9734" max="9734" width="15.875" style="1177" customWidth="1"/>
    <col min="9735" max="9736" width="11.5" style="1177" customWidth="1"/>
    <col min="9737" max="9737" width="9.625" style="1177" customWidth="1"/>
    <col min="9738" max="9738" width="11.5" style="1177" customWidth="1"/>
    <col min="9739" max="9739" width="8.375" style="1177" customWidth="1"/>
    <col min="9740" max="9740" width="8.5" style="1177" customWidth="1"/>
    <col min="9741" max="9741" width="6.875" style="1177" customWidth="1"/>
    <col min="9742" max="9742" width="7.5" style="1177" customWidth="1"/>
    <col min="9743" max="9743" width="9.375" style="1177" customWidth="1"/>
    <col min="9744" max="9744" width="11" style="1177" customWidth="1"/>
    <col min="9745" max="9745" width="10.875" style="1177" customWidth="1"/>
    <col min="9746" max="9746" width="9.875" style="1177" customWidth="1"/>
    <col min="9747" max="9747" width="17.875" style="1177" customWidth="1"/>
    <col min="9748" max="9748" width="16.5" style="1177" customWidth="1"/>
    <col min="9749" max="9984" width="9.125" style="1177"/>
    <col min="9985" max="9985" width="3.625" style="1177" customWidth="1"/>
    <col min="9986" max="9986" width="11.125" style="1177" customWidth="1"/>
    <col min="9987" max="9987" width="13.5" style="1177" bestFit="1" customWidth="1"/>
    <col min="9988" max="9988" width="10.5" style="1177" customWidth="1"/>
    <col min="9989" max="9989" width="10.375" style="1177" customWidth="1"/>
    <col min="9990" max="9990" width="15.875" style="1177" customWidth="1"/>
    <col min="9991" max="9992" width="11.5" style="1177" customWidth="1"/>
    <col min="9993" max="9993" width="9.625" style="1177" customWidth="1"/>
    <col min="9994" max="9994" width="11.5" style="1177" customWidth="1"/>
    <col min="9995" max="9995" width="8.375" style="1177" customWidth="1"/>
    <col min="9996" max="9996" width="8.5" style="1177" customWidth="1"/>
    <col min="9997" max="9997" width="6.875" style="1177" customWidth="1"/>
    <col min="9998" max="9998" width="7.5" style="1177" customWidth="1"/>
    <col min="9999" max="9999" width="9.375" style="1177" customWidth="1"/>
    <col min="10000" max="10000" width="11" style="1177" customWidth="1"/>
    <col min="10001" max="10001" width="10.875" style="1177" customWidth="1"/>
    <col min="10002" max="10002" width="9.875" style="1177" customWidth="1"/>
    <col min="10003" max="10003" width="17.875" style="1177" customWidth="1"/>
    <col min="10004" max="10004" width="16.5" style="1177" customWidth="1"/>
    <col min="10005" max="10240" width="9.125" style="1177"/>
    <col min="10241" max="10241" width="3.625" style="1177" customWidth="1"/>
    <col min="10242" max="10242" width="11.125" style="1177" customWidth="1"/>
    <col min="10243" max="10243" width="13.5" style="1177" bestFit="1" customWidth="1"/>
    <col min="10244" max="10244" width="10.5" style="1177" customWidth="1"/>
    <col min="10245" max="10245" width="10.375" style="1177" customWidth="1"/>
    <col min="10246" max="10246" width="15.875" style="1177" customWidth="1"/>
    <col min="10247" max="10248" width="11.5" style="1177" customWidth="1"/>
    <col min="10249" max="10249" width="9.625" style="1177" customWidth="1"/>
    <col min="10250" max="10250" width="11.5" style="1177" customWidth="1"/>
    <col min="10251" max="10251" width="8.375" style="1177" customWidth="1"/>
    <col min="10252" max="10252" width="8.5" style="1177" customWidth="1"/>
    <col min="10253" max="10253" width="6.875" style="1177" customWidth="1"/>
    <col min="10254" max="10254" width="7.5" style="1177" customWidth="1"/>
    <col min="10255" max="10255" width="9.375" style="1177" customWidth="1"/>
    <col min="10256" max="10256" width="11" style="1177" customWidth="1"/>
    <col min="10257" max="10257" width="10.875" style="1177" customWidth="1"/>
    <col min="10258" max="10258" width="9.875" style="1177" customWidth="1"/>
    <col min="10259" max="10259" width="17.875" style="1177" customWidth="1"/>
    <col min="10260" max="10260" width="16.5" style="1177" customWidth="1"/>
    <col min="10261" max="10496" width="9.125" style="1177"/>
    <col min="10497" max="10497" width="3.625" style="1177" customWidth="1"/>
    <col min="10498" max="10498" width="11.125" style="1177" customWidth="1"/>
    <col min="10499" max="10499" width="13.5" style="1177" bestFit="1" customWidth="1"/>
    <col min="10500" max="10500" width="10.5" style="1177" customWidth="1"/>
    <col min="10501" max="10501" width="10.375" style="1177" customWidth="1"/>
    <col min="10502" max="10502" width="15.875" style="1177" customWidth="1"/>
    <col min="10503" max="10504" width="11.5" style="1177" customWidth="1"/>
    <col min="10505" max="10505" width="9.625" style="1177" customWidth="1"/>
    <col min="10506" max="10506" width="11.5" style="1177" customWidth="1"/>
    <col min="10507" max="10507" width="8.375" style="1177" customWidth="1"/>
    <col min="10508" max="10508" width="8.5" style="1177" customWidth="1"/>
    <col min="10509" max="10509" width="6.875" style="1177" customWidth="1"/>
    <col min="10510" max="10510" width="7.5" style="1177" customWidth="1"/>
    <col min="10511" max="10511" width="9.375" style="1177" customWidth="1"/>
    <col min="10512" max="10512" width="11" style="1177" customWidth="1"/>
    <col min="10513" max="10513" width="10.875" style="1177" customWidth="1"/>
    <col min="10514" max="10514" width="9.875" style="1177" customWidth="1"/>
    <col min="10515" max="10515" width="17.875" style="1177" customWidth="1"/>
    <col min="10516" max="10516" width="16.5" style="1177" customWidth="1"/>
    <col min="10517" max="10752" width="9.125" style="1177"/>
    <col min="10753" max="10753" width="3.625" style="1177" customWidth="1"/>
    <col min="10754" max="10754" width="11.125" style="1177" customWidth="1"/>
    <col min="10755" max="10755" width="13.5" style="1177" bestFit="1" customWidth="1"/>
    <col min="10756" max="10756" width="10.5" style="1177" customWidth="1"/>
    <col min="10757" max="10757" width="10.375" style="1177" customWidth="1"/>
    <col min="10758" max="10758" width="15.875" style="1177" customWidth="1"/>
    <col min="10759" max="10760" width="11.5" style="1177" customWidth="1"/>
    <col min="10761" max="10761" width="9.625" style="1177" customWidth="1"/>
    <col min="10762" max="10762" width="11.5" style="1177" customWidth="1"/>
    <col min="10763" max="10763" width="8.375" style="1177" customWidth="1"/>
    <col min="10764" max="10764" width="8.5" style="1177" customWidth="1"/>
    <col min="10765" max="10765" width="6.875" style="1177" customWidth="1"/>
    <col min="10766" max="10766" width="7.5" style="1177" customWidth="1"/>
    <col min="10767" max="10767" width="9.375" style="1177" customWidth="1"/>
    <col min="10768" max="10768" width="11" style="1177" customWidth="1"/>
    <col min="10769" max="10769" width="10.875" style="1177" customWidth="1"/>
    <col min="10770" max="10770" width="9.875" style="1177" customWidth="1"/>
    <col min="10771" max="10771" width="17.875" style="1177" customWidth="1"/>
    <col min="10772" max="10772" width="16.5" style="1177" customWidth="1"/>
    <col min="10773" max="11008" width="9.125" style="1177"/>
    <col min="11009" max="11009" width="3.625" style="1177" customWidth="1"/>
    <col min="11010" max="11010" width="11.125" style="1177" customWidth="1"/>
    <col min="11011" max="11011" width="13.5" style="1177" bestFit="1" customWidth="1"/>
    <col min="11012" max="11012" width="10.5" style="1177" customWidth="1"/>
    <col min="11013" max="11013" width="10.375" style="1177" customWidth="1"/>
    <col min="11014" max="11014" width="15.875" style="1177" customWidth="1"/>
    <col min="11015" max="11016" width="11.5" style="1177" customWidth="1"/>
    <col min="11017" max="11017" width="9.625" style="1177" customWidth="1"/>
    <col min="11018" max="11018" width="11.5" style="1177" customWidth="1"/>
    <col min="11019" max="11019" width="8.375" style="1177" customWidth="1"/>
    <col min="11020" max="11020" width="8.5" style="1177" customWidth="1"/>
    <col min="11021" max="11021" width="6.875" style="1177" customWidth="1"/>
    <col min="11022" max="11022" width="7.5" style="1177" customWidth="1"/>
    <col min="11023" max="11023" width="9.375" style="1177" customWidth="1"/>
    <col min="11024" max="11024" width="11" style="1177" customWidth="1"/>
    <col min="11025" max="11025" width="10.875" style="1177" customWidth="1"/>
    <col min="11026" max="11026" width="9.875" style="1177" customWidth="1"/>
    <col min="11027" max="11027" width="17.875" style="1177" customWidth="1"/>
    <col min="11028" max="11028" width="16.5" style="1177" customWidth="1"/>
    <col min="11029" max="11264" width="9.125" style="1177"/>
    <col min="11265" max="11265" width="3.625" style="1177" customWidth="1"/>
    <col min="11266" max="11266" width="11.125" style="1177" customWidth="1"/>
    <col min="11267" max="11267" width="13.5" style="1177" bestFit="1" customWidth="1"/>
    <col min="11268" max="11268" width="10.5" style="1177" customWidth="1"/>
    <col min="11269" max="11269" width="10.375" style="1177" customWidth="1"/>
    <col min="11270" max="11270" width="15.875" style="1177" customWidth="1"/>
    <col min="11271" max="11272" width="11.5" style="1177" customWidth="1"/>
    <col min="11273" max="11273" width="9.625" style="1177" customWidth="1"/>
    <col min="11274" max="11274" width="11.5" style="1177" customWidth="1"/>
    <col min="11275" max="11275" width="8.375" style="1177" customWidth="1"/>
    <col min="11276" max="11276" width="8.5" style="1177" customWidth="1"/>
    <col min="11277" max="11277" width="6.875" style="1177" customWidth="1"/>
    <col min="11278" max="11278" width="7.5" style="1177" customWidth="1"/>
    <col min="11279" max="11279" width="9.375" style="1177" customWidth="1"/>
    <col min="11280" max="11280" width="11" style="1177" customWidth="1"/>
    <col min="11281" max="11281" width="10.875" style="1177" customWidth="1"/>
    <col min="11282" max="11282" width="9.875" style="1177" customWidth="1"/>
    <col min="11283" max="11283" width="17.875" style="1177" customWidth="1"/>
    <col min="11284" max="11284" width="16.5" style="1177" customWidth="1"/>
    <col min="11285" max="11520" width="9.125" style="1177"/>
    <col min="11521" max="11521" width="3.625" style="1177" customWidth="1"/>
    <col min="11522" max="11522" width="11.125" style="1177" customWidth="1"/>
    <col min="11523" max="11523" width="13.5" style="1177" bestFit="1" customWidth="1"/>
    <col min="11524" max="11524" width="10.5" style="1177" customWidth="1"/>
    <col min="11525" max="11525" width="10.375" style="1177" customWidth="1"/>
    <col min="11526" max="11526" width="15.875" style="1177" customWidth="1"/>
    <col min="11527" max="11528" width="11.5" style="1177" customWidth="1"/>
    <col min="11529" max="11529" width="9.625" style="1177" customWidth="1"/>
    <col min="11530" max="11530" width="11.5" style="1177" customWidth="1"/>
    <col min="11531" max="11531" width="8.375" style="1177" customWidth="1"/>
    <col min="11532" max="11532" width="8.5" style="1177" customWidth="1"/>
    <col min="11533" max="11533" width="6.875" style="1177" customWidth="1"/>
    <col min="11534" max="11534" width="7.5" style="1177" customWidth="1"/>
    <col min="11535" max="11535" width="9.375" style="1177" customWidth="1"/>
    <col min="11536" max="11536" width="11" style="1177" customWidth="1"/>
    <col min="11537" max="11537" width="10.875" style="1177" customWidth="1"/>
    <col min="11538" max="11538" width="9.875" style="1177" customWidth="1"/>
    <col min="11539" max="11539" width="17.875" style="1177" customWidth="1"/>
    <col min="11540" max="11540" width="16.5" style="1177" customWidth="1"/>
    <col min="11541" max="11776" width="9.125" style="1177"/>
    <col min="11777" max="11777" width="3.625" style="1177" customWidth="1"/>
    <col min="11778" max="11778" width="11.125" style="1177" customWidth="1"/>
    <col min="11779" max="11779" width="13.5" style="1177" bestFit="1" customWidth="1"/>
    <col min="11780" max="11780" width="10.5" style="1177" customWidth="1"/>
    <col min="11781" max="11781" width="10.375" style="1177" customWidth="1"/>
    <col min="11782" max="11782" width="15.875" style="1177" customWidth="1"/>
    <col min="11783" max="11784" width="11.5" style="1177" customWidth="1"/>
    <col min="11785" max="11785" width="9.625" style="1177" customWidth="1"/>
    <col min="11786" max="11786" width="11.5" style="1177" customWidth="1"/>
    <col min="11787" max="11787" width="8.375" style="1177" customWidth="1"/>
    <col min="11788" max="11788" width="8.5" style="1177" customWidth="1"/>
    <col min="11789" max="11789" width="6.875" style="1177" customWidth="1"/>
    <col min="11790" max="11790" width="7.5" style="1177" customWidth="1"/>
    <col min="11791" max="11791" width="9.375" style="1177" customWidth="1"/>
    <col min="11792" max="11792" width="11" style="1177" customWidth="1"/>
    <col min="11793" max="11793" width="10.875" style="1177" customWidth="1"/>
    <col min="11794" max="11794" width="9.875" style="1177" customWidth="1"/>
    <col min="11795" max="11795" width="17.875" style="1177" customWidth="1"/>
    <col min="11796" max="11796" width="16.5" style="1177" customWidth="1"/>
    <col min="11797" max="12032" width="9.125" style="1177"/>
    <col min="12033" max="12033" width="3.625" style="1177" customWidth="1"/>
    <col min="12034" max="12034" width="11.125" style="1177" customWidth="1"/>
    <col min="12035" max="12035" width="13.5" style="1177" bestFit="1" customWidth="1"/>
    <col min="12036" max="12036" width="10.5" style="1177" customWidth="1"/>
    <col min="12037" max="12037" width="10.375" style="1177" customWidth="1"/>
    <col min="12038" max="12038" width="15.875" style="1177" customWidth="1"/>
    <col min="12039" max="12040" width="11.5" style="1177" customWidth="1"/>
    <col min="12041" max="12041" width="9.625" style="1177" customWidth="1"/>
    <col min="12042" max="12042" width="11.5" style="1177" customWidth="1"/>
    <col min="12043" max="12043" width="8.375" style="1177" customWidth="1"/>
    <col min="12044" max="12044" width="8.5" style="1177" customWidth="1"/>
    <col min="12045" max="12045" width="6.875" style="1177" customWidth="1"/>
    <col min="12046" max="12046" width="7.5" style="1177" customWidth="1"/>
    <col min="12047" max="12047" width="9.375" style="1177" customWidth="1"/>
    <col min="12048" max="12048" width="11" style="1177" customWidth="1"/>
    <col min="12049" max="12049" width="10.875" style="1177" customWidth="1"/>
    <col min="12050" max="12050" width="9.875" style="1177" customWidth="1"/>
    <col min="12051" max="12051" width="17.875" style="1177" customWidth="1"/>
    <col min="12052" max="12052" width="16.5" style="1177" customWidth="1"/>
    <col min="12053" max="12288" width="9.125" style="1177"/>
    <col min="12289" max="12289" width="3.625" style="1177" customWidth="1"/>
    <col min="12290" max="12290" width="11.125" style="1177" customWidth="1"/>
    <col min="12291" max="12291" width="13.5" style="1177" bestFit="1" customWidth="1"/>
    <col min="12292" max="12292" width="10.5" style="1177" customWidth="1"/>
    <col min="12293" max="12293" width="10.375" style="1177" customWidth="1"/>
    <col min="12294" max="12294" width="15.875" style="1177" customWidth="1"/>
    <col min="12295" max="12296" width="11.5" style="1177" customWidth="1"/>
    <col min="12297" max="12297" width="9.625" style="1177" customWidth="1"/>
    <col min="12298" max="12298" width="11.5" style="1177" customWidth="1"/>
    <col min="12299" max="12299" width="8.375" style="1177" customWidth="1"/>
    <col min="12300" max="12300" width="8.5" style="1177" customWidth="1"/>
    <col min="12301" max="12301" width="6.875" style="1177" customWidth="1"/>
    <col min="12302" max="12302" width="7.5" style="1177" customWidth="1"/>
    <col min="12303" max="12303" width="9.375" style="1177" customWidth="1"/>
    <col min="12304" max="12304" width="11" style="1177" customWidth="1"/>
    <col min="12305" max="12305" width="10.875" style="1177" customWidth="1"/>
    <col min="12306" max="12306" width="9.875" style="1177" customWidth="1"/>
    <col min="12307" max="12307" width="17.875" style="1177" customWidth="1"/>
    <col min="12308" max="12308" width="16.5" style="1177" customWidth="1"/>
    <col min="12309" max="12544" width="9.125" style="1177"/>
    <col min="12545" max="12545" width="3.625" style="1177" customWidth="1"/>
    <col min="12546" max="12546" width="11.125" style="1177" customWidth="1"/>
    <col min="12547" max="12547" width="13.5" style="1177" bestFit="1" customWidth="1"/>
    <col min="12548" max="12548" width="10.5" style="1177" customWidth="1"/>
    <col min="12549" max="12549" width="10.375" style="1177" customWidth="1"/>
    <col min="12550" max="12550" width="15.875" style="1177" customWidth="1"/>
    <col min="12551" max="12552" width="11.5" style="1177" customWidth="1"/>
    <col min="12553" max="12553" width="9.625" style="1177" customWidth="1"/>
    <col min="12554" max="12554" width="11.5" style="1177" customWidth="1"/>
    <col min="12555" max="12555" width="8.375" style="1177" customWidth="1"/>
    <col min="12556" max="12556" width="8.5" style="1177" customWidth="1"/>
    <col min="12557" max="12557" width="6.875" style="1177" customWidth="1"/>
    <col min="12558" max="12558" width="7.5" style="1177" customWidth="1"/>
    <col min="12559" max="12559" width="9.375" style="1177" customWidth="1"/>
    <col min="12560" max="12560" width="11" style="1177" customWidth="1"/>
    <col min="12561" max="12561" width="10.875" style="1177" customWidth="1"/>
    <col min="12562" max="12562" width="9.875" style="1177" customWidth="1"/>
    <col min="12563" max="12563" width="17.875" style="1177" customWidth="1"/>
    <col min="12564" max="12564" width="16.5" style="1177" customWidth="1"/>
    <col min="12565" max="12800" width="9.125" style="1177"/>
    <col min="12801" max="12801" width="3.625" style="1177" customWidth="1"/>
    <col min="12802" max="12802" width="11.125" style="1177" customWidth="1"/>
    <col min="12803" max="12803" width="13.5" style="1177" bestFit="1" customWidth="1"/>
    <col min="12804" max="12804" width="10.5" style="1177" customWidth="1"/>
    <col min="12805" max="12805" width="10.375" style="1177" customWidth="1"/>
    <col min="12806" max="12806" width="15.875" style="1177" customWidth="1"/>
    <col min="12807" max="12808" width="11.5" style="1177" customWidth="1"/>
    <col min="12809" max="12809" width="9.625" style="1177" customWidth="1"/>
    <col min="12810" max="12810" width="11.5" style="1177" customWidth="1"/>
    <col min="12811" max="12811" width="8.375" style="1177" customWidth="1"/>
    <col min="12812" max="12812" width="8.5" style="1177" customWidth="1"/>
    <col min="12813" max="12813" width="6.875" style="1177" customWidth="1"/>
    <col min="12814" max="12814" width="7.5" style="1177" customWidth="1"/>
    <col min="12815" max="12815" width="9.375" style="1177" customWidth="1"/>
    <col min="12816" max="12816" width="11" style="1177" customWidth="1"/>
    <col min="12817" max="12817" width="10.875" style="1177" customWidth="1"/>
    <col min="12818" max="12818" width="9.875" style="1177" customWidth="1"/>
    <col min="12819" max="12819" width="17.875" style="1177" customWidth="1"/>
    <col min="12820" max="12820" width="16.5" style="1177" customWidth="1"/>
    <col min="12821" max="13056" width="9.125" style="1177"/>
    <col min="13057" max="13057" width="3.625" style="1177" customWidth="1"/>
    <col min="13058" max="13058" width="11.125" style="1177" customWidth="1"/>
    <col min="13059" max="13059" width="13.5" style="1177" bestFit="1" customWidth="1"/>
    <col min="13060" max="13060" width="10.5" style="1177" customWidth="1"/>
    <col min="13061" max="13061" width="10.375" style="1177" customWidth="1"/>
    <col min="13062" max="13062" width="15.875" style="1177" customWidth="1"/>
    <col min="13063" max="13064" width="11.5" style="1177" customWidth="1"/>
    <col min="13065" max="13065" width="9.625" style="1177" customWidth="1"/>
    <col min="13066" max="13066" width="11.5" style="1177" customWidth="1"/>
    <col min="13067" max="13067" width="8.375" style="1177" customWidth="1"/>
    <col min="13068" max="13068" width="8.5" style="1177" customWidth="1"/>
    <col min="13069" max="13069" width="6.875" style="1177" customWidth="1"/>
    <col min="13070" max="13070" width="7.5" style="1177" customWidth="1"/>
    <col min="13071" max="13071" width="9.375" style="1177" customWidth="1"/>
    <col min="13072" max="13072" width="11" style="1177" customWidth="1"/>
    <col min="13073" max="13073" width="10.875" style="1177" customWidth="1"/>
    <col min="13074" max="13074" width="9.875" style="1177" customWidth="1"/>
    <col min="13075" max="13075" width="17.875" style="1177" customWidth="1"/>
    <col min="13076" max="13076" width="16.5" style="1177" customWidth="1"/>
    <col min="13077" max="13312" width="9.125" style="1177"/>
    <col min="13313" max="13313" width="3.625" style="1177" customWidth="1"/>
    <col min="13314" max="13314" width="11.125" style="1177" customWidth="1"/>
    <col min="13315" max="13315" width="13.5" style="1177" bestFit="1" customWidth="1"/>
    <col min="13316" max="13316" width="10.5" style="1177" customWidth="1"/>
    <col min="13317" max="13317" width="10.375" style="1177" customWidth="1"/>
    <col min="13318" max="13318" width="15.875" style="1177" customWidth="1"/>
    <col min="13319" max="13320" width="11.5" style="1177" customWidth="1"/>
    <col min="13321" max="13321" width="9.625" style="1177" customWidth="1"/>
    <col min="13322" max="13322" width="11.5" style="1177" customWidth="1"/>
    <col min="13323" max="13323" width="8.375" style="1177" customWidth="1"/>
    <col min="13324" max="13324" width="8.5" style="1177" customWidth="1"/>
    <col min="13325" max="13325" width="6.875" style="1177" customWidth="1"/>
    <col min="13326" max="13326" width="7.5" style="1177" customWidth="1"/>
    <col min="13327" max="13327" width="9.375" style="1177" customWidth="1"/>
    <col min="13328" max="13328" width="11" style="1177" customWidth="1"/>
    <col min="13329" max="13329" width="10.875" style="1177" customWidth="1"/>
    <col min="13330" max="13330" width="9.875" style="1177" customWidth="1"/>
    <col min="13331" max="13331" width="17.875" style="1177" customWidth="1"/>
    <col min="13332" max="13332" width="16.5" style="1177" customWidth="1"/>
    <col min="13333" max="13568" width="9.125" style="1177"/>
    <col min="13569" max="13569" width="3.625" style="1177" customWidth="1"/>
    <col min="13570" max="13570" width="11.125" style="1177" customWidth="1"/>
    <col min="13571" max="13571" width="13.5" style="1177" bestFit="1" customWidth="1"/>
    <col min="13572" max="13572" width="10.5" style="1177" customWidth="1"/>
    <col min="13573" max="13573" width="10.375" style="1177" customWidth="1"/>
    <col min="13574" max="13574" width="15.875" style="1177" customWidth="1"/>
    <col min="13575" max="13576" width="11.5" style="1177" customWidth="1"/>
    <col min="13577" max="13577" width="9.625" style="1177" customWidth="1"/>
    <col min="13578" max="13578" width="11.5" style="1177" customWidth="1"/>
    <col min="13579" max="13579" width="8.375" style="1177" customWidth="1"/>
    <col min="13580" max="13580" width="8.5" style="1177" customWidth="1"/>
    <col min="13581" max="13581" width="6.875" style="1177" customWidth="1"/>
    <col min="13582" max="13582" width="7.5" style="1177" customWidth="1"/>
    <col min="13583" max="13583" width="9.375" style="1177" customWidth="1"/>
    <col min="13584" max="13584" width="11" style="1177" customWidth="1"/>
    <col min="13585" max="13585" width="10.875" style="1177" customWidth="1"/>
    <col min="13586" max="13586" width="9.875" style="1177" customWidth="1"/>
    <col min="13587" max="13587" width="17.875" style="1177" customWidth="1"/>
    <col min="13588" max="13588" width="16.5" style="1177" customWidth="1"/>
    <col min="13589" max="13824" width="9.125" style="1177"/>
    <col min="13825" max="13825" width="3.625" style="1177" customWidth="1"/>
    <col min="13826" max="13826" width="11.125" style="1177" customWidth="1"/>
    <col min="13827" max="13827" width="13.5" style="1177" bestFit="1" customWidth="1"/>
    <col min="13828" max="13828" width="10.5" style="1177" customWidth="1"/>
    <col min="13829" max="13829" width="10.375" style="1177" customWidth="1"/>
    <col min="13830" max="13830" width="15.875" style="1177" customWidth="1"/>
    <col min="13831" max="13832" width="11.5" style="1177" customWidth="1"/>
    <col min="13833" max="13833" width="9.625" style="1177" customWidth="1"/>
    <col min="13834" max="13834" width="11.5" style="1177" customWidth="1"/>
    <col min="13835" max="13835" width="8.375" style="1177" customWidth="1"/>
    <col min="13836" max="13836" width="8.5" style="1177" customWidth="1"/>
    <col min="13837" max="13837" width="6.875" style="1177" customWidth="1"/>
    <col min="13838" max="13838" width="7.5" style="1177" customWidth="1"/>
    <col min="13839" max="13839" width="9.375" style="1177" customWidth="1"/>
    <col min="13840" max="13840" width="11" style="1177" customWidth="1"/>
    <col min="13841" max="13841" width="10.875" style="1177" customWidth="1"/>
    <col min="13842" max="13842" width="9.875" style="1177" customWidth="1"/>
    <col min="13843" max="13843" width="17.875" style="1177" customWidth="1"/>
    <col min="13844" max="13844" width="16.5" style="1177" customWidth="1"/>
    <col min="13845" max="14080" width="9.125" style="1177"/>
    <col min="14081" max="14081" width="3.625" style="1177" customWidth="1"/>
    <col min="14082" max="14082" width="11.125" style="1177" customWidth="1"/>
    <col min="14083" max="14083" width="13.5" style="1177" bestFit="1" customWidth="1"/>
    <col min="14084" max="14084" width="10.5" style="1177" customWidth="1"/>
    <col min="14085" max="14085" width="10.375" style="1177" customWidth="1"/>
    <col min="14086" max="14086" width="15.875" style="1177" customWidth="1"/>
    <col min="14087" max="14088" width="11.5" style="1177" customWidth="1"/>
    <col min="14089" max="14089" width="9.625" style="1177" customWidth="1"/>
    <col min="14090" max="14090" width="11.5" style="1177" customWidth="1"/>
    <col min="14091" max="14091" width="8.375" style="1177" customWidth="1"/>
    <col min="14092" max="14092" width="8.5" style="1177" customWidth="1"/>
    <col min="14093" max="14093" width="6.875" style="1177" customWidth="1"/>
    <col min="14094" max="14094" width="7.5" style="1177" customWidth="1"/>
    <col min="14095" max="14095" width="9.375" style="1177" customWidth="1"/>
    <col min="14096" max="14096" width="11" style="1177" customWidth="1"/>
    <col min="14097" max="14097" width="10.875" style="1177" customWidth="1"/>
    <col min="14098" max="14098" width="9.875" style="1177" customWidth="1"/>
    <col min="14099" max="14099" width="17.875" style="1177" customWidth="1"/>
    <col min="14100" max="14100" width="16.5" style="1177" customWidth="1"/>
    <col min="14101" max="14336" width="9.125" style="1177"/>
    <col min="14337" max="14337" width="3.625" style="1177" customWidth="1"/>
    <col min="14338" max="14338" width="11.125" style="1177" customWidth="1"/>
    <col min="14339" max="14339" width="13.5" style="1177" bestFit="1" customWidth="1"/>
    <col min="14340" max="14340" width="10.5" style="1177" customWidth="1"/>
    <col min="14341" max="14341" width="10.375" style="1177" customWidth="1"/>
    <col min="14342" max="14342" width="15.875" style="1177" customWidth="1"/>
    <col min="14343" max="14344" width="11.5" style="1177" customWidth="1"/>
    <col min="14345" max="14345" width="9.625" style="1177" customWidth="1"/>
    <col min="14346" max="14346" width="11.5" style="1177" customWidth="1"/>
    <col min="14347" max="14347" width="8.375" style="1177" customWidth="1"/>
    <col min="14348" max="14348" width="8.5" style="1177" customWidth="1"/>
    <col min="14349" max="14349" width="6.875" style="1177" customWidth="1"/>
    <col min="14350" max="14350" width="7.5" style="1177" customWidth="1"/>
    <col min="14351" max="14351" width="9.375" style="1177" customWidth="1"/>
    <col min="14352" max="14352" width="11" style="1177" customWidth="1"/>
    <col min="14353" max="14353" width="10.875" style="1177" customWidth="1"/>
    <col min="14354" max="14354" width="9.875" style="1177" customWidth="1"/>
    <col min="14355" max="14355" width="17.875" style="1177" customWidth="1"/>
    <col min="14356" max="14356" width="16.5" style="1177" customWidth="1"/>
    <col min="14357" max="14592" width="9.125" style="1177"/>
    <col min="14593" max="14593" width="3.625" style="1177" customWidth="1"/>
    <col min="14594" max="14594" width="11.125" style="1177" customWidth="1"/>
    <col min="14595" max="14595" width="13.5" style="1177" bestFit="1" customWidth="1"/>
    <col min="14596" max="14596" width="10.5" style="1177" customWidth="1"/>
    <col min="14597" max="14597" width="10.375" style="1177" customWidth="1"/>
    <col min="14598" max="14598" width="15.875" style="1177" customWidth="1"/>
    <col min="14599" max="14600" width="11.5" style="1177" customWidth="1"/>
    <col min="14601" max="14601" width="9.625" style="1177" customWidth="1"/>
    <col min="14602" max="14602" width="11.5" style="1177" customWidth="1"/>
    <col min="14603" max="14603" width="8.375" style="1177" customWidth="1"/>
    <col min="14604" max="14604" width="8.5" style="1177" customWidth="1"/>
    <col min="14605" max="14605" width="6.875" style="1177" customWidth="1"/>
    <col min="14606" max="14606" width="7.5" style="1177" customWidth="1"/>
    <col min="14607" max="14607" width="9.375" style="1177" customWidth="1"/>
    <col min="14608" max="14608" width="11" style="1177" customWidth="1"/>
    <col min="14609" max="14609" width="10.875" style="1177" customWidth="1"/>
    <col min="14610" max="14610" width="9.875" style="1177" customWidth="1"/>
    <col min="14611" max="14611" width="17.875" style="1177" customWidth="1"/>
    <col min="14612" max="14612" width="16.5" style="1177" customWidth="1"/>
    <col min="14613" max="14848" width="9.125" style="1177"/>
    <col min="14849" max="14849" width="3.625" style="1177" customWidth="1"/>
    <col min="14850" max="14850" width="11.125" style="1177" customWidth="1"/>
    <col min="14851" max="14851" width="13.5" style="1177" bestFit="1" customWidth="1"/>
    <col min="14852" max="14852" width="10.5" style="1177" customWidth="1"/>
    <col min="14853" max="14853" width="10.375" style="1177" customWidth="1"/>
    <col min="14854" max="14854" width="15.875" style="1177" customWidth="1"/>
    <col min="14855" max="14856" width="11.5" style="1177" customWidth="1"/>
    <col min="14857" max="14857" width="9.625" style="1177" customWidth="1"/>
    <col min="14858" max="14858" width="11.5" style="1177" customWidth="1"/>
    <col min="14859" max="14859" width="8.375" style="1177" customWidth="1"/>
    <col min="14860" max="14860" width="8.5" style="1177" customWidth="1"/>
    <col min="14861" max="14861" width="6.875" style="1177" customWidth="1"/>
    <col min="14862" max="14862" width="7.5" style="1177" customWidth="1"/>
    <col min="14863" max="14863" width="9.375" style="1177" customWidth="1"/>
    <col min="14864" max="14864" width="11" style="1177" customWidth="1"/>
    <col min="14865" max="14865" width="10.875" style="1177" customWidth="1"/>
    <col min="14866" max="14866" width="9.875" style="1177" customWidth="1"/>
    <col min="14867" max="14867" width="17.875" style="1177" customWidth="1"/>
    <col min="14868" max="14868" width="16.5" style="1177" customWidth="1"/>
    <col min="14869" max="15104" width="9.125" style="1177"/>
    <col min="15105" max="15105" width="3.625" style="1177" customWidth="1"/>
    <col min="15106" max="15106" width="11.125" style="1177" customWidth="1"/>
    <col min="15107" max="15107" width="13.5" style="1177" bestFit="1" customWidth="1"/>
    <col min="15108" max="15108" width="10.5" style="1177" customWidth="1"/>
    <col min="15109" max="15109" width="10.375" style="1177" customWidth="1"/>
    <col min="15110" max="15110" width="15.875" style="1177" customWidth="1"/>
    <col min="15111" max="15112" width="11.5" style="1177" customWidth="1"/>
    <col min="15113" max="15113" width="9.625" style="1177" customWidth="1"/>
    <col min="15114" max="15114" width="11.5" style="1177" customWidth="1"/>
    <col min="15115" max="15115" width="8.375" style="1177" customWidth="1"/>
    <col min="15116" max="15116" width="8.5" style="1177" customWidth="1"/>
    <col min="15117" max="15117" width="6.875" style="1177" customWidth="1"/>
    <col min="15118" max="15118" width="7.5" style="1177" customWidth="1"/>
    <col min="15119" max="15119" width="9.375" style="1177" customWidth="1"/>
    <col min="15120" max="15120" width="11" style="1177" customWidth="1"/>
    <col min="15121" max="15121" width="10.875" style="1177" customWidth="1"/>
    <col min="15122" max="15122" width="9.875" style="1177" customWidth="1"/>
    <col min="15123" max="15123" width="17.875" style="1177" customWidth="1"/>
    <col min="15124" max="15124" width="16.5" style="1177" customWidth="1"/>
    <col min="15125" max="15360" width="9.125" style="1177"/>
    <col min="15361" max="15361" width="3.625" style="1177" customWidth="1"/>
    <col min="15362" max="15362" width="11.125" style="1177" customWidth="1"/>
    <col min="15363" max="15363" width="13.5" style="1177" bestFit="1" customWidth="1"/>
    <col min="15364" max="15364" width="10.5" style="1177" customWidth="1"/>
    <col min="15365" max="15365" width="10.375" style="1177" customWidth="1"/>
    <col min="15366" max="15366" width="15.875" style="1177" customWidth="1"/>
    <col min="15367" max="15368" width="11.5" style="1177" customWidth="1"/>
    <col min="15369" max="15369" width="9.625" style="1177" customWidth="1"/>
    <col min="15370" max="15370" width="11.5" style="1177" customWidth="1"/>
    <col min="15371" max="15371" width="8.375" style="1177" customWidth="1"/>
    <col min="15372" max="15372" width="8.5" style="1177" customWidth="1"/>
    <col min="15373" max="15373" width="6.875" style="1177" customWidth="1"/>
    <col min="15374" max="15374" width="7.5" style="1177" customWidth="1"/>
    <col min="15375" max="15375" width="9.375" style="1177" customWidth="1"/>
    <col min="15376" max="15376" width="11" style="1177" customWidth="1"/>
    <col min="15377" max="15377" width="10.875" style="1177" customWidth="1"/>
    <col min="15378" max="15378" width="9.875" style="1177" customWidth="1"/>
    <col min="15379" max="15379" width="17.875" style="1177" customWidth="1"/>
    <col min="15380" max="15380" width="16.5" style="1177" customWidth="1"/>
    <col min="15381" max="15616" width="9.125" style="1177"/>
    <col min="15617" max="15617" width="3.625" style="1177" customWidth="1"/>
    <col min="15618" max="15618" width="11.125" style="1177" customWidth="1"/>
    <col min="15619" max="15619" width="13.5" style="1177" bestFit="1" customWidth="1"/>
    <col min="15620" max="15620" width="10.5" style="1177" customWidth="1"/>
    <col min="15621" max="15621" width="10.375" style="1177" customWidth="1"/>
    <col min="15622" max="15622" width="15.875" style="1177" customWidth="1"/>
    <col min="15623" max="15624" width="11.5" style="1177" customWidth="1"/>
    <col min="15625" max="15625" width="9.625" style="1177" customWidth="1"/>
    <col min="15626" max="15626" width="11.5" style="1177" customWidth="1"/>
    <col min="15627" max="15627" width="8.375" style="1177" customWidth="1"/>
    <col min="15628" max="15628" width="8.5" style="1177" customWidth="1"/>
    <col min="15629" max="15629" width="6.875" style="1177" customWidth="1"/>
    <col min="15630" max="15630" width="7.5" style="1177" customWidth="1"/>
    <col min="15631" max="15631" width="9.375" style="1177" customWidth="1"/>
    <col min="15632" max="15632" width="11" style="1177" customWidth="1"/>
    <col min="15633" max="15633" width="10.875" style="1177" customWidth="1"/>
    <col min="15634" max="15634" width="9.875" style="1177" customWidth="1"/>
    <col min="15635" max="15635" width="17.875" style="1177" customWidth="1"/>
    <col min="15636" max="15636" width="16.5" style="1177" customWidth="1"/>
    <col min="15637" max="15872" width="9.125" style="1177"/>
    <col min="15873" max="15873" width="3.625" style="1177" customWidth="1"/>
    <col min="15874" max="15874" width="11.125" style="1177" customWidth="1"/>
    <col min="15875" max="15875" width="13.5" style="1177" bestFit="1" customWidth="1"/>
    <col min="15876" max="15876" width="10.5" style="1177" customWidth="1"/>
    <col min="15877" max="15877" width="10.375" style="1177" customWidth="1"/>
    <col min="15878" max="15878" width="15.875" style="1177" customWidth="1"/>
    <col min="15879" max="15880" width="11.5" style="1177" customWidth="1"/>
    <col min="15881" max="15881" width="9.625" style="1177" customWidth="1"/>
    <col min="15882" max="15882" width="11.5" style="1177" customWidth="1"/>
    <col min="15883" max="15883" width="8.375" style="1177" customWidth="1"/>
    <col min="15884" max="15884" width="8.5" style="1177" customWidth="1"/>
    <col min="15885" max="15885" width="6.875" style="1177" customWidth="1"/>
    <col min="15886" max="15886" width="7.5" style="1177" customWidth="1"/>
    <col min="15887" max="15887" width="9.375" style="1177" customWidth="1"/>
    <col min="15888" max="15888" width="11" style="1177" customWidth="1"/>
    <col min="15889" max="15889" width="10.875" style="1177" customWidth="1"/>
    <col min="15890" max="15890" width="9.875" style="1177" customWidth="1"/>
    <col min="15891" max="15891" width="17.875" style="1177" customWidth="1"/>
    <col min="15892" max="15892" width="16.5" style="1177" customWidth="1"/>
    <col min="15893" max="16128" width="9.125" style="1177"/>
    <col min="16129" max="16129" width="3.625" style="1177" customWidth="1"/>
    <col min="16130" max="16130" width="11.125" style="1177" customWidth="1"/>
    <col min="16131" max="16131" width="13.5" style="1177" bestFit="1" customWidth="1"/>
    <col min="16132" max="16132" width="10.5" style="1177" customWidth="1"/>
    <col min="16133" max="16133" width="10.375" style="1177" customWidth="1"/>
    <col min="16134" max="16134" width="15.875" style="1177" customWidth="1"/>
    <col min="16135" max="16136" width="11.5" style="1177" customWidth="1"/>
    <col min="16137" max="16137" width="9.625" style="1177" customWidth="1"/>
    <col min="16138" max="16138" width="11.5" style="1177" customWidth="1"/>
    <col min="16139" max="16139" width="8.375" style="1177" customWidth="1"/>
    <col min="16140" max="16140" width="8.5" style="1177" customWidth="1"/>
    <col min="16141" max="16141" width="6.875" style="1177" customWidth="1"/>
    <col min="16142" max="16142" width="7.5" style="1177" customWidth="1"/>
    <col min="16143" max="16143" width="9.375" style="1177" customWidth="1"/>
    <col min="16144" max="16144" width="11" style="1177" customWidth="1"/>
    <col min="16145" max="16145" width="10.875" style="1177" customWidth="1"/>
    <col min="16146" max="16146" width="9.875" style="1177" customWidth="1"/>
    <col min="16147" max="16147" width="17.875" style="1177" customWidth="1"/>
    <col min="16148" max="16148" width="16.5" style="1177" customWidth="1"/>
    <col min="16149" max="16384" width="9.125" style="1177"/>
  </cols>
  <sheetData>
    <row r="1" spans="1:25" s="1096" customFormat="1" x14ac:dyDescent="0.2">
      <c r="A1" s="1742" t="s">
        <v>926</v>
      </c>
      <c r="B1" s="1742"/>
      <c r="C1" s="1742"/>
      <c r="D1" s="1742"/>
      <c r="E1" s="1742"/>
      <c r="F1" s="1742"/>
      <c r="G1" s="1742"/>
      <c r="H1" s="1742"/>
      <c r="I1" s="1742"/>
      <c r="J1" s="1742"/>
      <c r="K1" s="1742"/>
      <c r="L1" s="1742"/>
      <c r="M1" s="1742"/>
      <c r="N1" s="1742"/>
      <c r="O1" s="1742"/>
      <c r="P1" s="1742"/>
      <c r="Q1" s="1742"/>
      <c r="R1" s="1742"/>
      <c r="S1" s="1742"/>
      <c r="T1" s="1742"/>
    </row>
    <row r="2" spans="1:25" s="1096" customFormat="1" x14ac:dyDescent="0.2">
      <c r="A2" s="1742" t="s">
        <v>927</v>
      </c>
      <c r="B2" s="1742"/>
      <c r="C2" s="1742"/>
      <c r="D2" s="1742"/>
      <c r="E2" s="1742"/>
      <c r="F2" s="1742"/>
      <c r="G2" s="1742"/>
      <c r="H2" s="1742"/>
      <c r="I2" s="1742"/>
      <c r="J2" s="1742"/>
      <c r="K2" s="1742"/>
      <c r="L2" s="1742"/>
      <c r="M2" s="1742"/>
      <c r="N2" s="1742"/>
      <c r="O2" s="1742"/>
      <c r="P2" s="1742"/>
      <c r="Q2" s="1742"/>
      <c r="R2" s="1742"/>
      <c r="S2" s="1742"/>
      <c r="T2" s="1742"/>
    </row>
    <row r="3" spans="1:25" s="1096" customFormat="1" ht="15.75" x14ac:dyDescent="0.25">
      <c r="A3" s="1743" t="s">
        <v>413</v>
      </c>
      <c r="B3" s="1743"/>
      <c r="C3" s="1743"/>
      <c r="D3" s="1743"/>
      <c r="E3" s="1743"/>
      <c r="F3" s="1743"/>
      <c r="G3" s="1743"/>
      <c r="H3" s="1743"/>
      <c r="I3" s="1743"/>
      <c r="J3" s="1743"/>
      <c r="K3" s="1743"/>
      <c r="L3" s="1743"/>
      <c r="M3" s="1743"/>
      <c r="N3" s="1743"/>
      <c r="O3" s="1743"/>
      <c r="P3" s="1743"/>
      <c r="Q3" s="1743"/>
      <c r="R3" s="1743"/>
      <c r="S3" s="1743"/>
      <c r="T3" s="1743"/>
    </row>
    <row r="4" spans="1:25" s="1097" customFormat="1" ht="16.5" x14ac:dyDescent="0.3">
      <c r="A4" s="1097" t="s">
        <v>928</v>
      </c>
    </row>
    <row r="5" spans="1:25" s="1097" customFormat="1" ht="16.5" x14ac:dyDescent="0.3">
      <c r="A5" s="1744" t="s">
        <v>929</v>
      </c>
      <c r="B5" s="1744"/>
      <c r="C5" s="1744"/>
      <c r="D5" s="1744"/>
      <c r="E5" s="1744"/>
      <c r="F5" s="1744"/>
      <c r="G5" s="1744"/>
      <c r="H5" s="1744"/>
      <c r="I5" s="1744"/>
      <c r="J5" s="1744"/>
      <c r="K5" s="1744"/>
      <c r="L5" s="1744"/>
      <c r="M5" s="1744"/>
      <c r="N5" s="1744"/>
      <c r="O5" s="1744"/>
      <c r="P5" s="1744"/>
      <c r="Q5" s="1744"/>
      <c r="R5" s="1744"/>
      <c r="S5" s="1744"/>
      <c r="T5" s="1744"/>
    </row>
    <row r="6" spans="1:25" s="1097" customFormat="1" ht="16.5" x14ac:dyDescent="0.3">
      <c r="A6" s="1744" t="s">
        <v>930</v>
      </c>
      <c r="B6" s="1744"/>
      <c r="C6" s="1744"/>
      <c r="D6" s="1744"/>
      <c r="E6" s="1744"/>
      <c r="F6" s="1744"/>
      <c r="G6" s="1744"/>
      <c r="H6" s="1744"/>
      <c r="I6" s="1744"/>
      <c r="J6" s="1744"/>
      <c r="K6" s="1744"/>
      <c r="L6" s="1744"/>
      <c r="M6" s="1744"/>
      <c r="N6" s="1744"/>
      <c r="O6" s="1744"/>
      <c r="P6" s="1744"/>
      <c r="Q6" s="1744"/>
      <c r="R6" s="1744"/>
      <c r="S6" s="1744"/>
      <c r="T6" s="1744"/>
    </row>
    <row r="7" spans="1:25" s="1097" customFormat="1" ht="17.25" thickBot="1" x14ac:dyDescent="0.35">
      <c r="A7" s="1537"/>
      <c r="B7" s="1537"/>
      <c r="C7" s="1537"/>
      <c r="D7" s="1537"/>
      <c r="E7" s="1537"/>
      <c r="F7" s="1537"/>
      <c r="G7" s="1537"/>
      <c r="H7" s="1537"/>
      <c r="I7" s="1537"/>
      <c r="J7" s="1537"/>
      <c r="K7" s="1537"/>
      <c r="L7" s="1537"/>
      <c r="M7" s="1537"/>
      <c r="N7" s="1537"/>
      <c r="O7" s="1537"/>
      <c r="P7" s="1537"/>
      <c r="Q7" s="1537"/>
      <c r="R7" s="1537"/>
      <c r="S7" s="1537"/>
      <c r="T7" s="1537"/>
    </row>
    <row r="8" spans="1:25" s="1097" customFormat="1" ht="16.5" x14ac:dyDescent="0.3">
      <c r="A8" s="1098" t="s">
        <v>851</v>
      </c>
      <c r="B8" s="1099"/>
      <c r="C8" s="1099"/>
      <c r="D8" s="1099"/>
      <c r="E8" s="1099"/>
      <c r="F8" s="1099"/>
      <c r="G8" s="1099"/>
      <c r="H8" s="1099"/>
      <c r="I8" s="1099"/>
      <c r="J8" s="1099"/>
      <c r="K8" s="1100"/>
      <c r="L8" s="1099"/>
      <c r="M8" s="1739" t="s">
        <v>852</v>
      </c>
      <c r="N8" s="1740"/>
      <c r="O8" s="1741"/>
      <c r="P8" s="1741"/>
      <c r="Q8" s="1741"/>
      <c r="R8" s="1741"/>
      <c r="S8" s="1538"/>
      <c r="T8" s="1101"/>
    </row>
    <row r="9" spans="1:25" s="1097" customFormat="1" ht="16.5" x14ac:dyDescent="0.3">
      <c r="A9" s="1102"/>
      <c r="B9" s="1097" t="s">
        <v>931</v>
      </c>
      <c r="C9" s="1103"/>
      <c r="D9" s="1103"/>
      <c r="E9" s="1103"/>
      <c r="F9" s="1103"/>
      <c r="G9" s="1103"/>
      <c r="H9" s="1103"/>
      <c r="I9" s="1103"/>
      <c r="J9" s="1103"/>
      <c r="M9" s="1104" t="s">
        <v>421</v>
      </c>
      <c r="N9" s="1105"/>
      <c r="O9" s="1106"/>
      <c r="P9" s="1106"/>
      <c r="Q9" s="1106"/>
      <c r="R9" s="1107" t="s">
        <v>422</v>
      </c>
      <c r="S9" s="1107"/>
      <c r="T9" s="1108"/>
    </row>
    <row r="10" spans="1:25" s="1097" customFormat="1" ht="16.5" x14ac:dyDescent="0.3">
      <c r="A10" s="1102"/>
      <c r="B10" s="1097" t="s">
        <v>932</v>
      </c>
      <c r="C10" s="1103"/>
      <c r="D10" s="1103"/>
      <c r="E10" s="1103"/>
      <c r="F10" s="1103"/>
      <c r="G10" s="1103"/>
      <c r="H10" s="1103"/>
      <c r="I10" s="1103"/>
      <c r="J10" s="1103"/>
      <c r="M10" s="1109"/>
      <c r="O10" s="1110" t="s">
        <v>854</v>
      </c>
      <c r="P10" s="1103"/>
      <c r="Q10" s="1103"/>
      <c r="R10" s="1111"/>
      <c r="S10" s="1111"/>
      <c r="T10" s="1112" t="s">
        <v>424</v>
      </c>
    </row>
    <row r="11" spans="1:25" s="1097" customFormat="1" ht="16.5" x14ac:dyDescent="0.3">
      <c r="A11" s="1102"/>
      <c r="M11" s="1109"/>
      <c r="O11" s="1110" t="s">
        <v>855</v>
      </c>
      <c r="T11" s="1112" t="s">
        <v>856</v>
      </c>
    </row>
    <row r="12" spans="1:25" s="1097" customFormat="1" ht="16.5" x14ac:dyDescent="0.3">
      <c r="A12" s="1102"/>
      <c r="M12" s="1113"/>
      <c r="N12" s="1114"/>
      <c r="O12" s="1115" t="s">
        <v>857</v>
      </c>
      <c r="P12" s="1114"/>
      <c r="Q12" s="1114"/>
      <c r="R12" s="1115"/>
      <c r="S12" s="1115"/>
      <c r="T12" s="1116" t="s">
        <v>859</v>
      </c>
    </row>
    <row r="13" spans="1:25" s="1097" customFormat="1" ht="17.25" thickBot="1" x14ac:dyDescent="0.35">
      <c r="A13" s="1736"/>
      <c r="B13" s="1737"/>
      <c r="C13" s="1737"/>
      <c r="D13" s="1737"/>
      <c r="E13" s="1737"/>
      <c r="F13" s="1737"/>
      <c r="G13" s="1737"/>
      <c r="H13" s="1737"/>
      <c r="I13" s="1737"/>
      <c r="J13" s="1737"/>
      <c r="K13" s="1737"/>
      <c r="L13" s="1737"/>
      <c r="M13" s="1737"/>
      <c r="N13" s="1737"/>
      <c r="O13" s="1737"/>
      <c r="P13" s="1737"/>
      <c r="Q13" s="1737"/>
      <c r="R13" s="1737"/>
      <c r="S13" s="1536"/>
      <c r="T13" s="1117"/>
    </row>
    <row r="14" spans="1:25" s="1097" customFormat="1" ht="12.75" customHeight="1" thickBot="1" x14ac:dyDescent="0.35">
      <c r="A14" s="1731" t="s">
        <v>431</v>
      </c>
      <c r="B14" s="1731" t="s">
        <v>860</v>
      </c>
      <c r="C14" s="1731" t="s">
        <v>933</v>
      </c>
      <c r="D14" s="1731" t="s">
        <v>434</v>
      </c>
      <c r="E14" s="1731" t="s">
        <v>435</v>
      </c>
      <c r="F14" s="1731" t="s">
        <v>436</v>
      </c>
      <c r="G14" s="1730" t="s">
        <v>764</v>
      </c>
      <c r="H14" s="1730" t="s">
        <v>934</v>
      </c>
      <c r="I14" s="1730"/>
      <c r="J14" s="1730"/>
      <c r="K14" s="1730" t="s">
        <v>863</v>
      </c>
      <c r="L14" s="1732"/>
      <c r="M14" s="1730" t="s">
        <v>864</v>
      </c>
      <c r="N14" s="1730" t="s">
        <v>865</v>
      </c>
      <c r="O14" s="1730"/>
      <c r="P14" s="1730"/>
      <c r="Q14" s="1730"/>
      <c r="R14" s="1730"/>
      <c r="S14" s="1730"/>
      <c r="T14" s="1730"/>
      <c r="V14" s="1118"/>
      <c r="W14" s="1118"/>
      <c r="X14" s="1118"/>
      <c r="Y14" s="1118"/>
    </row>
    <row r="15" spans="1:25" s="1097" customFormat="1" ht="17.25" thickBot="1" x14ac:dyDescent="0.35">
      <c r="A15" s="1731"/>
      <c r="B15" s="1731"/>
      <c r="C15" s="1731"/>
      <c r="D15" s="1731"/>
      <c r="E15" s="1731"/>
      <c r="F15" s="1731"/>
      <c r="G15" s="1732"/>
      <c r="H15" s="1730"/>
      <c r="I15" s="1730"/>
      <c r="J15" s="1730"/>
      <c r="K15" s="1732"/>
      <c r="L15" s="1732"/>
      <c r="M15" s="1732"/>
      <c r="N15" s="1730"/>
      <c r="O15" s="1730"/>
      <c r="P15" s="1730"/>
      <c r="Q15" s="1730"/>
      <c r="R15" s="1730"/>
      <c r="S15" s="1730"/>
      <c r="T15" s="1730"/>
      <c r="V15" s="1118"/>
      <c r="W15" s="1118"/>
      <c r="X15" s="1118"/>
      <c r="Y15" s="1118"/>
    </row>
    <row r="16" spans="1:25" s="1097" customFormat="1" ht="19.350000000000001" customHeight="1" thickBot="1" x14ac:dyDescent="0.35">
      <c r="A16" s="1731"/>
      <c r="B16" s="1731"/>
      <c r="C16" s="1731"/>
      <c r="D16" s="1731"/>
      <c r="E16" s="1731"/>
      <c r="F16" s="1731"/>
      <c r="G16" s="1732"/>
      <c r="H16" s="1730"/>
      <c r="I16" s="1730"/>
      <c r="J16" s="1730"/>
      <c r="K16" s="1730"/>
      <c r="L16" s="1732"/>
      <c r="M16" s="1732"/>
      <c r="N16" s="1732" t="s">
        <v>935</v>
      </c>
      <c r="O16" s="1732"/>
      <c r="P16" s="1732"/>
      <c r="Q16" s="1738" t="s">
        <v>936</v>
      </c>
      <c r="R16" s="1738"/>
      <c r="S16" s="1738"/>
      <c r="T16" s="1738"/>
      <c r="V16" s="1118"/>
      <c r="W16" s="1118"/>
      <c r="X16" s="1118"/>
      <c r="Y16" s="1118"/>
    </row>
    <row r="17" spans="1:25" s="1097" customFormat="1" ht="12.75" customHeight="1" thickBot="1" x14ac:dyDescent="0.35">
      <c r="A17" s="1731"/>
      <c r="B17" s="1731"/>
      <c r="C17" s="1731"/>
      <c r="D17" s="1731"/>
      <c r="E17" s="1731"/>
      <c r="F17" s="1731"/>
      <c r="G17" s="1732"/>
      <c r="H17" s="1730" t="s">
        <v>447</v>
      </c>
      <c r="I17" s="1730" t="s">
        <v>868</v>
      </c>
      <c r="J17" s="1730" t="s">
        <v>449</v>
      </c>
      <c r="K17" s="1730" t="s">
        <v>869</v>
      </c>
      <c r="L17" s="1730" t="s">
        <v>870</v>
      </c>
      <c r="M17" s="1732"/>
      <c r="N17" s="1730" t="s">
        <v>871</v>
      </c>
      <c r="O17" s="1730" t="s">
        <v>872</v>
      </c>
      <c r="P17" s="1730" t="s">
        <v>452</v>
      </c>
      <c r="Q17" s="1730" t="s">
        <v>871</v>
      </c>
      <c r="R17" s="1731" t="s">
        <v>873</v>
      </c>
      <c r="S17" s="1731" t="s">
        <v>452</v>
      </c>
      <c r="T17" s="1731" t="s">
        <v>937</v>
      </c>
      <c r="V17" s="1118"/>
      <c r="W17" s="1118"/>
      <c r="X17" s="1118"/>
      <c r="Y17" s="1118"/>
    </row>
    <row r="18" spans="1:25" s="1097" customFormat="1" ht="24" customHeight="1" thickBot="1" x14ac:dyDescent="0.35">
      <c r="A18" s="1731"/>
      <c r="B18" s="1731"/>
      <c r="C18" s="1731"/>
      <c r="D18" s="1731"/>
      <c r="E18" s="1731"/>
      <c r="F18" s="1731"/>
      <c r="G18" s="1730"/>
      <c r="H18" s="1730"/>
      <c r="I18" s="1730"/>
      <c r="J18" s="1730"/>
      <c r="K18" s="1730"/>
      <c r="L18" s="1730"/>
      <c r="M18" s="1730"/>
      <c r="N18" s="1730"/>
      <c r="O18" s="1730"/>
      <c r="P18" s="1730"/>
      <c r="Q18" s="1730"/>
      <c r="R18" s="1731"/>
      <c r="S18" s="1731"/>
      <c r="T18" s="1731"/>
      <c r="U18" s="1733"/>
      <c r="V18" s="1118"/>
      <c r="W18" s="1118"/>
      <c r="X18" s="1118"/>
      <c r="Y18" s="1118"/>
    </row>
    <row r="19" spans="1:25" s="1097" customFormat="1" ht="24" customHeight="1" thickBot="1" x14ac:dyDescent="0.35">
      <c r="A19" s="1535"/>
      <c r="B19" s="1535">
        <v>1</v>
      </c>
      <c r="C19" s="1535">
        <v>2</v>
      </c>
      <c r="D19" s="1535">
        <v>3</v>
      </c>
      <c r="E19" s="1535">
        <v>4</v>
      </c>
      <c r="F19" s="1535">
        <v>5</v>
      </c>
      <c r="G19" s="1535">
        <v>6</v>
      </c>
      <c r="H19" s="1535">
        <v>7</v>
      </c>
      <c r="I19" s="1535">
        <v>8</v>
      </c>
      <c r="J19" s="1535">
        <v>9</v>
      </c>
      <c r="K19" s="1535">
        <v>10</v>
      </c>
      <c r="L19" s="1535">
        <v>11</v>
      </c>
      <c r="M19" s="1535">
        <v>12</v>
      </c>
      <c r="N19" s="1535">
        <v>13</v>
      </c>
      <c r="O19" s="1535">
        <v>14</v>
      </c>
      <c r="P19" s="1535">
        <v>15</v>
      </c>
      <c r="Q19" s="1535">
        <v>16</v>
      </c>
      <c r="R19" s="1535">
        <v>17</v>
      </c>
      <c r="S19" s="1535">
        <v>18</v>
      </c>
      <c r="T19" s="1535">
        <v>19</v>
      </c>
      <c r="U19" s="1733"/>
      <c r="V19" s="1118"/>
      <c r="W19" s="1118"/>
      <c r="X19" s="1118"/>
      <c r="Y19" s="1118"/>
    </row>
    <row r="20" spans="1:25" s="1097" customFormat="1" ht="13.35" hidden="1" customHeight="1" thickBot="1" x14ac:dyDescent="0.35">
      <c r="A20" s="1119" t="s">
        <v>454</v>
      </c>
      <c r="B20" s="1119" t="s">
        <v>455</v>
      </c>
      <c r="C20" s="1119" t="s">
        <v>456</v>
      </c>
      <c r="D20" s="1119" t="s">
        <v>457</v>
      </c>
      <c r="E20" s="1119" t="s">
        <v>458</v>
      </c>
      <c r="F20" s="1119" t="s">
        <v>459</v>
      </c>
      <c r="G20" s="1120" t="s">
        <v>460</v>
      </c>
      <c r="H20" s="1121" t="s">
        <v>461</v>
      </c>
      <c r="I20" s="1121" t="s">
        <v>462</v>
      </c>
      <c r="J20" s="1121" t="s">
        <v>463</v>
      </c>
      <c r="K20" s="1121" t="s">
        <v>464</v>
      </c>
      <c r="L20" s="1121" t="s">
        <v>465</v>
      </c>
      <c r="M20" s="1121" t="s">
        <v>768</v>
      </c>
      <c r="N20" s="1121"/>
      <c r="O20" s="1119" t="s">
        <v>467</v>
      </c>
      <c r="P20" s="1119" t="s">
        <v>468</v>
      </c>
      <c r="Q20" s="1119" t="s">
        <v>469</v>
      </c>
      <c r="R20" s="1119" t="s">
        <v>769</v>
      </c>
      <c r="S20" s="1119" t="s">
        <v>770</v>
      </c>
      <c r="T20" s="1119" t="s">
        <v>770</v>
      </c>
      <c r="U20" s="1733"/>
    </row>
    <row r="21" spans="1:25" s="1127" customFormat="1" ht="15" customHeight="1" thickBot="1" x14ac:dyDescent="0.3">
      <c r="A21" s="1122" t="s">
        <v>271</v>
      </c>
      <c r="B21" s="1123"/>
      <c r="C21" s="1123"/>
      <c r="D21" s="1123"/>
      <c r="E21" s="1123"/>
      <c r="F21" s="1123"/>
      <c r="G21" s="1124"/>
      <c r="H21" s="1125">
        <f>H22+H32</f>
        <v>60</v>
      </c>
      <c r="I21" s="1125">
        <f>I22+I32</f>
        <v>0</v>
      </c>
      <c r="J21" s="1125">
        <f>J22+J32</f>
        <v>60</v>
      </c>
      <c r="K21" s="1123"/>
      <c r="L21" s="1123"/>
      <c r="M21" s="1123"/>
      <c r="N21" s="1123"/>
      <c r="O21" s="1123"/>
      <c r="P21" s="1123"/>
      <c r="Q21" s="1125">
        <f>Q22+Q32</f>
        <v>14.25</v>
      </c>
      <c r="R21" s="1125"/>
      <c r="S21" s="1125">
        <f>S22+S32</f>
        <v>336015</v>
      </c>
      <c r="T21" s="1125">
        <f>T22+T32</f>
        <v>336015</v>
      </c>
      <c r="U21" s="1126"/>
    </row>
    <row r="22" spans="1:25" s="1134" customFormat="1" ht="15.6" customHeight="1" thickBot="1" x14ac:dyDescent="0.3">
      <c r="A22" s="1128"/>
      <c r="B22" s="1129" t="s">
        <v>489</v>
      </c>
      <c r="C22" s="1130"/>
      <c r="D22" s="1130"/>
      <c r="E22" s="1130"/>
      <c r="F22" s="1130"/>
      <c r="G22" s="1131"/>
      <c r="H22" s="1132">
        <f>SUM(H23:H31)</f>
        <v>60</v>
      </c>
      <c r="I22" s="1132">
        <f>SUM(I24:I31)</f>
        <v>0</v>
      </c>
      <c r="J22" s="1132">
        <f>SUM(J23:J31)</f>
        <v>60</v>
      </c>
      <c r="K22" s="1130"/>
      <c r="L22" s="1130"/>
      <c r="M22" s="1130"/>
      <c r="N22" s="1130"/>
      <c r="O22" s="1130"/>
      <c r="P22" s="1130"/>
      <c r="Q22" s="1132">
        <f>SUM(Q23:Q31)</f>
        <v>14.25</v>
      </c>
      <c r="R22" s="1132"/>
      <c r="S22" s="1132">
        <f>SUM(S23:S31)</f>
        <v>336015</v>
      </c>
      <c r="T22" s="1132">
        <f>SUM(T23:T31)</f>
        <v>336015</v>
      </c>
      <c r="U22" s="1133"/>
    </row>
    <row r="23" spans="1:25" s="1134" customFormat="1" ht="15.6" customHeight="1" thickBot="1" x14ac:dyDescent="0.3">
      <c r="A23" s="1135"/>
      <c r="B23" s="1135" t="s">
        <v>627</v>
      </c>
      <c r="C23" s="1136" t="s">
        <v>938</v>
      </c>
      <c r="D23" s="1137">
        <v>40</v>
      </c>
      <c r="E23" s="1138">
        <v>300</v>
      </c>
      <c r="F23" s="1139" t="s">
        <v>474</v>
      </c>
      <c r="G23" s="1140" t="s">
        <v>939</v>
      </c>
      <c r="H23" s="1138">
        <f>J23+I23</f>
        <v>60</v>
      </c>
      <c r="I23" s="1141">
        <v>0</v>
      </c>
      <c r="J23" s="1142">
        <v>60</v>
      </c>
      <c r="K23" s="1138">
        <v>4.75</v>
      </c>
      <c r="L23" s="1138">
        <v>4.51</v>
      </c>
      <c r="M23" s="1138">
        <v>0.05</v>
      </c>
      <c r="N23" s="1138"/>
      <c r="O23" s="1139"/>
      <c r="P23" s="1141"/>
      <c r="Q23" s="1143">
        <f>H23*K23*M23</f>
        <v>14.25</v>
      </c>
      <c r="R23" s="1144">
        <v>23.58</v>
      </c>
      <c r="S23" s="1145">
        <f>Q23*1000*R23</f>
        <v>336015</v>
      </c>
      <c r="T23" s="1146">
        <f>S23+P23</f>
        <v>336015</v>
      </c>
      <c r="U23" s="1133"/>
    </row>
    <row r="24" spans="1:25" s="1134" customFormat="1" ht="16.5" hidden="1" thickBot="1" x14ac:dyDescent="0.3">
      <c r="A24" s="1135"/>
      <c r="B24" s="1135"/>
      <c r="C24" s="1136"/>
      <c r="D24" s="1147"/>
      <c r="E24" s="1148"/>
      <c r="F24" s="1139"/>
      <c r="G24" s="1140"/>
      <c r="H24" s="1138"/>
      <c r="I24" s="1141"/>
      <c r="J24" s="1142"/>
      <c r="K24" s="1138"/>
      <c r="L24" s="1142"/>
      <c r="M24" s="1142"/>
      <c r="N24" s="1142"/>
      <c r="O24" s="1139"/>
      <c r="P24" s="1141"/>
      <c r="Q24" s="1143"/>
      <c r="R24" s="1144"/>
      <c r="S24" s="1145"/>
      <c r="T24" s="1146"/>
    </row>
    <row r="25" spans="1:25" s="1134" customFormat="1" ht="16.5" hidden="1" thickBot="1" x14ac:dyDescent="0.3">
      <c r="A25" s="1135"/>
      <c r="B25" s="1135"/>
      <c r="C25" s="1136"/>
      <c r="D25" s="1137"/>
      <c r="E25" s="1142"/>
      <c r="F25" s="1139"/>
      <c r="G25" s="1140"/>
      <c r="H25" s="1138"/>
      <c r="I25" s="1141"/>
      <c r="J25" s="1142"/>
      <c r="K25" s="1138"/>
      <c r="L25" s="1138"/>
      <c r="M25" s="1138"/>
      <c r="N25" s="1138"/>
      <c r="O25" s="1139"/>
      <c r="P25" s="1141"/>
      <c r="Q25" s="1143"/>
      <c r="R25" s="1144"/>
      <c r="S25" s="1145"/>
      <c r="T25" s="1146"/>
    </row>
    <row r="26" spans="1:25" s="1134" customFormat="1" ht="16.5" hidden="1" thickBot="1" x14ac:dyDescent="0.3">
      <c r="A26" s="1136"/>
      <c r="B26" s="1136"/>
      <c r="C26" s="1136"/>
      <c r="D26" s="1149"/>
      <c r="E26" s="1142"/>
      <c r="F26" s="1139"/>
      <c r="G26" s="1140"/>
      <c r="H26" s="1138"/>
      <c r="I26" s="1138"/>
      <c r="J26" s="1138"/>
      <c r="K26" s="1138"/>
      <c r="L26" s="1138"/>
      <c r="M26" s="1138"/>
      <c r="N26" s="1138"/>
      <c r="O26" s="1139"/>
      <c r="P26" s="1141"/>
      <c r="Q26" s="1143"/>
      <c r="R26" s="1144"/>
      <c r="S26" s="1145"/>
      <c r="T26" s="1146"/>
    </row>
    <row r="27" spans="1:25" s="1134" customFormat="1" ht="16.5" hidden="1" thickBot="1" x14ac:dyDescent="0.3">
      <c r="A27" s="1136"/>
      <c r="B27" s="1136"/>
      <c r="C27" s="1136"/>
      <c r="D27" s="1149"/>
      <c r="E27" s="1150"/>
      <c r="F27" s="1139"/>
      <c r="G27" s="1140"/>
      <c r="H27" s="1138"/>
      <c r="I27" s="1138"/>
      <c r="J27" s="1138"/>
      <c r="K27" s="1138"/>
      <c r="L27" s="1142"/>
      <c r="M27" s="1138"/>
      <c r="N27" s="1138"/>
      <c r="O27" s="1151"/>
      <c r="P27" s="1151"/>
      <c r="Q27" s="1143"/>
      <c r="R27" s="1144"/>
      <c r="S27" s="1145"/>
      <c r="T27" s="1146"/>
    </row>
    <row r="28" spans="1:25" s="1134" customFormat="1" ht="16.5" hidden="1" thickBot="1" x14ac:dyDescent="0.3">
      <c r="A28" s="1136"/>
      <c r="B28" s="1136"/>
      <c r="C28" s="1136"/>
      <c r="D28" s="1149"/>
      <c r="E28" s="1142"/>
      <c r="F28" s="1139"/>
      <c r="G28" s="1140"/>
      <c r="H28" s="1138"/>
      <c r="I28" s="1138"/>
      <c r="J28" s="1138"/>
      <c r="K28" s="1138"/>
      <c r="L28" s="1138"/>
      <c r="M28" s="1138"/>
      <c r="N28" s="1138"/>
      <c r="O28" s="1139"/>
      <c r="P28" s="1141"/>
      <c r="Q28" s="1143"/>
      <c r="R28" s="1144"/>
      <c r="S28" s="1145"/>
      <c r="T28" s="1146"/>
    </row>
    <row r="29" spans="1:25" s="1134" customFormat="1" ht="16.5" hidden="1" thickBot="1" x14ac:dyDescent="0.3">
      <c r="A29" s="1136"/>
      <c r="B29" s="1136"/>
      <c r="C29" s="1136"/>
      <c r="D29" s="1149"/>
      <c r="E29" s="1142"/>
      <c r="F29" s="1139"/>
      <c r="G29" s="1140"/>
      <c r="H29" s="1138"/>
      <c r="I29" s="1152"/>
      <c r="J29" s="1138"/>
      <c r="K29" s="1138"/>
      <c r="L29" s="1138"/>
      <c r="M29" s="1138"/>
      <c r="N29" s="1138"/>
      <c r="O29" s="1139"/>
      <c r="P29" s="1141"/>
      <c r="Q29" s="1143"/>
      <c r="R29" s="1144"/>
      <c r="S29" s="1145"/>
      <c r="T29" s="1146"/>
    </row>
    <row r="30" spans="1:25" s="1134" customFormat="1" ht="16.5" hidden="1" thickBot="1" x14ac:dyDescent="0.3">
      <c r="A30" s="1136"/>
      <c r="B30" s="1136"/>
      <c r="C30" s="1136"/>
      <c r="D30" s="1149"/>
      <c r="E30" s="1142"/>
      <c r="F30" s="1139"/>
      <c r="G30" s="1140"/>
      <c r="H30" s="1138"/>
      <c r="I30" s="1152"/>
      <c r="J30" s="1138"/>
      <c r="K30" s="1138"/>
      <c r="L30" s="1138"/>
      <c r="M30" s="1138"/>
      <c r="N30" s="1138"/>
      <c r="O30" s="1139"/>
      <c r="P30" s="1141"/>
      <c r="Q30" s="1143"/>
      <c r="R30" s="1144"/>
      <c r="S30" s="1145"/>
      <c r="T30" s="1146"/>
    </row>
    <row r="31" spans="1:25" s="1134" customFormat="1" ht="16.5" hidden="1" thickBot="1" x14ac:dyDescent="0.3">
      <c r="A31" s="1136"/>
      <c r="B31" s="1136"/>
      <c r="C31" s="1136"/>
      <c r="D31" s="1149"/>
      <c r="E31" s="1142"/>
      <c r="F31" s="1139"/>
      <c r="G31" s="1140"/>
      <c r="H31" s="1138"/>
      <c r="I31" s="1152"/>
      <c r="J31" s="1138"/>
      <c r="K31" s="1138"/>
      <c r="L31" s="1138"/>
      <c r="M31" s="1138"/>
      <c r="N31" s="1138"/>
      <c r="O31" s="1139"/>
      <c r="P31" s="1141"/>
      <c r="Q31" s="1143"/>
      <c r="R31" s="1144"/>
      <c r="S31" s="1145"/>
      <c r="T31" s="1146"/>
    </row>
    <row r="32" spans="1:25" s="1134" customFormat="1" ht="16.5" hidden="1" thickBot="1" x14ac:dyDescent="0.3">
      <c r="A32" s="1136"/>
      <c r="B32" s="1129"/>
      <c r="C32" s="1153"/>
      <c r="D32" s="1154"/>
      <c r="E32" s="1141"/>
      <c r="F32" s="1155"/>
      <c r="G32" s="1156"/>
      <c r="H32" s="1132"/>
      <c r="I32" s="1132"/>
      <c r="J32" s="1132"/>
      <c r="K32" s="1152"/>
      <c r="L32" s="1152"/>
      <c r="M32" s="1152"/>
      <c r="N32" s="1152"/>
      <c r="O32" s="1155"/>
      <c r="P32" s="1141"/>
      <c r="Q32" s="1132"/>
      <c r="R32" s="1157"/>
      <c r="S32" s="1132"/>
      <c r="T32" s="1132"/>
    </row>
    <row r="33" spans="1:20" s="1134" customFormat="1" ht="16.5" hidden="1" thickBot="1" x14ac:dyDescent="0.3">
      <c r="A33" s="1135"/>
      <c r="B33" s="1135"/>
      <c r="C33" s="1136"/>
      <c r="D33" s="1137"/>
      <c r="E33" s="1142"/>
      <c r="F33" s="1139"/>
      <c r="G33" s="1140"/>
      <c r="H33" s="1138"/>
      <c r="I33" s="1141"/>
      <c r="J33" s="1142"/>
      <c r="K33" s="1138"/>
      <c r="L33" s="1138"/>
      <c r="M33" s="1138"/>
      <c r="N33" s="1138"/>
      <c r="O33" s="1139"/>
      <c r="P33" s="1141"/>
      <c r="Q33" s="1143"/>
      <c r="R33" s="1144"/>
      <c r="S33" s="1145"/>
      <c r="T33" s="1146"/>
    </row>
    <row r="34" spans="1:20" s="1134" customFormat="1" ht="16.5" hidden="1" thickBot="1" x14ac:dyDescent="0.3">
      <c r="A34" s="1135"/>
      <c r="B34" s="1135"/>
      <c r="C34" s="1136"/>
      <c r="D34" s="1137"/>
      <c r="E34" s="1142"/>
      <c r="F34" s="1139"/>
      <c r="G34" s="1140"/>
      <c r="H34" s="1138"/>
      <c r="I34" s="1141"/>
      <c r="J34" s="1142"/>
      <c r="K34" s="1138"/>
      <c r="L34" s="1138"/>
      <c r="M34" s="1138"/>
      <c r="N34" s="1138"/>
      <c r="O34" s="1139"/>
      <c r="P34" s="1141"/>
      <c r="Q34" s="1143"/>
      <c r="R34" s="1144"/>
      <c r="S34" s="1145"/>
      <c r="T34" s="1146"/>
    </row>
    <row r="35" spans="1:20" s="1134" customFormat="1" ht="16.5" hidden="1" thickBot="1" x14ac:dyDescent="0.3">
      <c r="A35" s="1136"/>
      <c r="B35" s="1136"/>
      <c r="C35" s="1136"/>
      <c r="D35" s="1149"/>
      <c r="E35" s="1142"/>
      <c r="F35" s="1139"/>
      <c r="G35" s="1140"/>
      <c r="H35" s="1138"/>
      <c r="I35" s="1152"/>
      <c r="J35" s="1138"/>
      <c r="K35" s="1138"/>
      <c r="L35" s="1138"/>
      <c r="M35" s="1138"/>
      <c r="N35" s="1138"/>
      <c r="O35" s="1139"/>
      <c r="P35" s="1141"/>
      <c r="Q35" s="1143"/>
      <c r="R35" s="1144"/>
      <c r="S35" s="1145"/>
      <c r="T35" s="1146"/>
    </row>
    <row r="36" spans="1:20" s="1134" customFormat="1" ht="16.5" hidden="1" thickBot="1" x14ac:dyDescent="0.3">
      <c r="A36" s="1136"/>
      <c r="B36" s="1136"/>
      <c r="C36" s="1136"/>
      <c r="D36" s="1149"/>
      <c r="E36" s="1158"/>
      <c r="F36" s="1139"/>
      <c r="G36" s="1140"/>
      <c r="H36" s="1138"/>
      <c r="I36" s="1138"/>
      <c r="J36" s="1138"/>
      <c r="K36" s="1138"/>
      <c r="L36" s="1142"/>
      <c r="M36" s="1138"/>
      <c r="N36" s="1138"/>
      <c r="O36" s="1151"/>
      <c r="P36" s="1151"/>
      <c r="Q36" s="1143"/>
      <c r="R36" s="1144"/>
      <c r="S36" s="1145"/>
      <c r="T36" s="1146"/>
    </row>
    <row r="37" spans="1:20" s="1134" customFormat="1" ht="16.5" hidden="1" thickBot="1" x14ac:dyDescent="0.3">
      <c r="A37" s="1136"/>
      <c r="B37" s="1136"/>
      <c r="C37" s="1136"/>
      <c r="D37" s="1149"/>
      <c r="E37" s="1142"/>
      <c r="F37" s="1139"/>
      <c r="G37" s="1140"/>
      <c r="H37" s="1138"/>
      <c r="I37" s="1152"/>
      <c r="J37" s="1138"/>
      <c r="K37" s="1138"/>
      <c r="L37" s="1138"/>
      <c r="M37" s="1138"/>
      <c r="N37" s="1138"/>
      <c r="O37" s="1139"/>
      <c r="P37" s="1141"/>
      <c r="Q37" s="1143"/>
      <c r="R37" s="1144"/>
      <c r="S37" s="1145"/>
      <c r="T37" s="1146"/>
    </row>
    <row r="38" spans="1:20" s="1134" customFormat="1" ht="16.5" hidden="1" thickBot="1" x14ac:dyDescent="0.3">
      <c r="A38" s="1136"/>
      <c r="B38" s="1136"/>
      <c r="C38" s="1136"/>
      <c r="D38" s="1149"/>
      <c r="E38" s="1142"/>
      <c r="F38" s="1139"/>
      <c r="G38" s="1140"/>
      <c r="H38" s="1138"/>
      <c r="I38" s="1152"/>
      <c r="J38" s="1138"/>
      <c r="K38" s="1138"/>
      <c r="L38" s="1138"/>
      <c r="M38" s="1138"/>
      <c r="N38" s="1138"/>
      <c r="O38" s="1139"/>
      <c r="P38" s="1141"/>
      <c r="Q38" s="1143"/>
      <c r="R38" s="1144"/>
      <c r="S38" s="1145"/>
      <c r="T38" s="1146"/>
    </row>
    <row r="39" spans="1:20" s="1134" customFormat="1" ht="16.5" hidden="1" thickBot="1" x14ac:dyDescent="0.3">
      <c r="A39" s="1136"/>
      <c r="B39" s="1136"/>
      <c r="C39" s="1136"/>
      <c r="D39" s="1149"/>
      <c r="E39" s="1158"/>
      <c r="F39" s="1139"/>
      <c r="G39" s="1140"/>
      <c r="H39" s="1138"/>
      <c r="I39" s="1138"/>
      <c r="J39" s="1138"/>
      <c r="K39" s="1138"/>
      <c r="L39" s="1142"/>
      <c r="M39" s="1138"/>
      <c r="N39" s="1138"/>
      <c r="O39" s="1151"/>
      <c r="P39" s="1151"/>
      <c r="Q39" s="1143"/>
      <c r="R39" s="1144"/>
      <c r="S39" s="1145"/>
      <c r="T39" s="1146"/>
    </row>
    <row r="40" spans="1:20" s="1134" customFormat="1" ht="16.5" hidden="1" thickBot="1" x14ac:dyDescent="0.3">
      <c r="A40" s="1136"/>
      <c r="B40" s="1136"/>
      <c r="C40" s="1136"/>
      <c r="D40" s="1149"/>
      <c r="E40" s="1142"/>
      <c r="F40" s="1139"/>
      <c r="G40" s="1140"/>
      <c r="H40" s="1138"/>
      <c r="I40" s="1138"/>
      <c r="J40" s="1138"/>
      <c r="K40" s="1138"/>
      <c r="L40" s="1138"/>
      <c r="M40" s="1138"/>
      <c r="N40" s="1138"/>
      <c r="O40" s="1139"/>
      <c r="P40" s="1141"/>
      <c r="Q40" s="1143"/>
      <c r="R40" s="1144"/>
      <c r="S40" s="1145"/>
      <c r="T40" s="1146"/>
    </row>
    <row r="41" spans="1:20" s="1134" customFormat="1" ht="16.5" hidden="1" thickBot="1" x14ac:dyDescent="0.3">
      <c r="A41" s="1136"/>
      <c r="B41" s="1136"/>
      <c r="C41" s="1136"/>
      <c r="D41" s="1149"/>
      <c r="E41" s="1142"/>
      <c r="F41" s="1139"/>
      <c r="G41" s="1140"/>
      <c r="H41" s="1138"/>
      <c r="I41" s="1138"/>
      <c r="J41" s="1138"/>
      <c r="K41" s="1138"/>
      <c r="L41" s="1138"/>
      <c r="M41" s="1138"/>
      <c r="N41" s="1138"/>
      <c r="O41" s="1139"/>
      <c r="P41" s="1141"/>
      <c r="Q41" s="1143"/>
      <c r="R41" s="1144"/>
      <c r="S41" s="1145"/>
      <c r="T41" s="1146"/>
    </row>
    <row r="42" spans="1:20" s="1134" customFormat="1" ht="16.5" hidden="1" thickBot="1" x14ac:dyDescent="0.3">
      <c r="A42" s="1136"/>
      <c r="B42" s="1136"/>
      <c r="C42" s="1136"/>
      <c r="D42" s="1149"/>
      <c r="E42" s="1142"/>
      <c r="F42" s="1139"/>
      <c r="G42" s="1140"/>
      <c r="H42" s="1138"/>
      <c r="I42" s="1138"/>
      <c r="J42" s="1138"/>
      <c r="K42" s="1138"/>
      <c r="L42" s="1138"/>
      <c r="M42" s="1138"/>
      <c r="N42" s="1138"/>
      <c r="O42" s="1139"/>
      <c r="P42" s="1141"/>
      <c r="Q42" s="1143"/>
      <c r="R42" s="1144"/>
      <c r="S42" s="1145"/>
      <c r="T42" s="1146"/>
    </row>
    <row r="43" spans="1:20" s="1134" customFormat="1" ht="16.5" hidden="1" thickBot="1" x14ac:dyDescent="0.3">
      <c r="A43" s="1136"/>
      <c r="B43" s="1136"/>
      <c r="C43" s="1136"/>
      <c r="D43" s="1149"/>
      <c r="E43" s="1150"/>
      <c r="F43" s="1139"/>
      <c r="G43" s="1140"/>
      <c r="H43" s="1138"/>
      <c r="I43" s="1138"/>
      <c r="J43" s="1138"/>
      <c r="K43" s="1138"/>
      <c r="L43" s="1142"/>
      <c r="M43" s="1138"/>
      <c r="N43" s="1138"/>
      <c r="O43" s="1151"/>
      <c r="P43" s="1151"/>
      <c r="Q43" s="1143"/>
      <c r="R43" s="1144"/>
      <c r="S43" s="1145"/>
      <c r="T43" s="1146"/>
    </row>
    <row r="44" spans="1:20" s="1134" customFormat="1" ht="16.5" hidden="1" thickBot="1" x14ac:dyDescent="0.3">
      <c r="A44" s="1136"/>
      <c r="B44" s="1136"/>
      <c r="C44" s="1136"/>
      <c r="D44" s="1149"/>
      <c r="E44" s="1142"/>
      <c r="F44" s="1139"/>
      <c r="G44" s="1140"/>
      <c r="H44" s="1138"/>
      <c r="I44" s="1152"/>
      <c r="J44" s="1138"/>
      <c r="K44" s="1138"/>
      <c r="L44" s="1138"/>
      <c r="M44" s="1138"/>
      <c r="N44" s="1138"/>
      <c r="O44" s="1139"/>
      <c r="P44" s="1141"/>
      <c r="Q44" s="1143"/>
      <c r="R44" s="1144"/>
      <c r="S44" s="1145"/>
      <c r="T44" s="1146"/>
    </row>
    <row r="45" spans="1:20" s="1134" customFormat="1" ht="16.5" hidden="1" thickBot="1" x14ac:dyDescent="0.3">
      <c r="A45" s="1136"/>
      <c r="B45" s="1136"/>
      <c r="C45" s="1136"/>
      <c r="D45" s="1149"/>
      <c r="E45" s="1150"/>
      <c r="F45" s="1139"/>
      <c r="G45" s="1140"/>
      <c r="H45" s="1138"/>
      <c r="I45" s="1138"/>
      <c r="J45" s="1138"/>
      <c r="K45" s="1138"/>
      <c r="L45" s="1142"/>
      <c r="M45" s="1138"/>
      <c r="N45" s="1138"/>
      <c r="O45" s="1151"/>
      <c r="P45" s="1151"/>
      <c r="Q45" s="1143"/>
      <c r="R45" s="1144"/>
      <c r="S45" s="1145"/>
      <c r="T45" s="1146"/>
    </row>
    <row r="46" spans="1:20" s="1134" customFormat="1" ht="16.5" hidden="1" thickBot="1" x14ac:dyDescent="0.3">
      <c r="A46" s="1136"/>
      <c r="B46" s="1136"/>
      <c r="C46" s="1136"/>
      <c r="D46" s="1149"/>
      <c r="E46" s="1142"/>
      <c r="F46" s="1139"/>
      <c r="G46" s="1140"/>
      <c r="H46" s="1138"/>
      <c r="I46" s="1152"/>
      <c r="J46" s="1138"/>
      <c r="K46" s="1138"/>
      <c r="L46" s="1138"/>
      <c r="M46" s="1138"/>
      <c r="N46" s="1138"/>
      <c r="O46" s="1139"/>
      <c r="P46" s="1141"/>
      <c r="Q46" s="1143"/>
      <c r="R46" s="1144"/>
      <c r="S46" s="1145"/>
      <c r="T46" s="1146"/>
    </row>
    <row r="47" spans="1:20" s="1134" customFormat="1" ht="16.5" hidden="1" thickBot="1" x14ac:dyDescent="0.3">
      <c r="A47" s="1136"/>
      <c r="B47" s="1136"/>
      <c r="C47" s="1136"/>
      <c r="D47" s="1149"/>
      <c r="E47" s="1150"/>
      <c r="F47" s="1139"/>
      <c r="G47" s="1140"/>
      <c r="H47" s="1138"/>
      <c r="I47" s="1138"/>
      <c r="J47" s="1138"/>
      <c r="K47" s="1138"/>
      <c r="L47" s="1142"/>
      <c r="M47" s="1138"/>
      <c r="N47" s="1138"/>
      <c r="O47" s="1151"/>
      <c r="P47" s="1151"/>
      <c r="Q47" s="1159"/>
      <c r="R47" s="1144"/>
      <c r="S47" s="1145"/>
      <c r="T47" s="1146"/>
    </row>
    <row r="48" spans="1:20" s="1134" customFormat="1" ht="16.5" hidden="1" thickBot="1" x14ac:dyDescent="0.3">
      <c r="A48" s="1136"/>
      <c r="B48" s="1136"/>
      <c r="C48" s="1136"/>
      <c r="D48" s="1149"/>
      <c r="E48" s="1142"/>
      <c r="F48" s="1139"/>
      <c r="G48" s="1140"/>
      <c r="H48" s="1138"/>
      <c r="I48" s="1152"/>
      <c r="J48" s="1138"/>
      <c r="K48" s="1138"/>
      <c r="L48" s="1138"/>
      <c r="M48" s="1138"/>
      <c r="N48" s="1138"/>
      <c r="O48" s="1139"/>
      <c r="P48" s="1141"/>
      <c r="Q48" s="1143"/>
      <c r="R48" s="1144"/>
      <c r="S48" s="1145"/>
      <c r="T48" s="1146"/>
    </row>
    <row r="49" spans="1:20" s="1134" customFormat="1" ht="16.5" hidden="1" thickBot="1" x14ac:dyDescent="0.3">
      <c r="A49" s="1136"/>
      <c r="B49" s="1136"/>
      <c r="C49" s="1136"/>
      <c r="D49" s="1149"/>
      <c r="E49" s="1142"/>
      <c r="F49" s="1139"/>
      <c r="G49" s="1140"/>
      <c r="H49" s="1138"/>
      <c r="I49" s="1152"/>
      <c r="J49" s="1138"/>
      <c r="K49" s="1138"/>
      <c r="L49" s="1138"/>
      <c r="M49" s="1138"/>
      <c r="N49" s="1138"/>
      <c r="O49" s="1139"/>
      <c r="P49" s="1141"/>
      <c r="Q49" s="1143"/>
      <c r="R49" s="1144"/>
      <c r="S49" s="1145"/>
      <c r="T49" s="1146"/>
    </row>
    <row r="50" spans="1:20" s="1134" customFormat="1" ht="16.5" hidden="1" thickBot="1" x14ac:dyDescent="0.3">
      <c r="A50" s="1160"/>
      <c r="B50" s="1130"/>
      <c r="C50" s="1130"/>
      <c r="D50" s="1130"/>
      <c r="E50" s="1130"/>
      <c r="F50" s="1130"/>
      <c r="G50" s="1131"/>
      <c r="H50" s="1141"/>
      <c r="I50" s="1141"/>
      <c r="J50" s="1141"/>
      <c r="K50" s="1130"/>
      <c r="L50" s="1130"/>
      <c r="M50" s="1130"/>
      <c r="N50" s="1130"/>
      <c r="O50" s="1130"/>
      <c r="P50" s="1130"/>
      <c r="Q50" s="1141"/>
      <c r="R50" s="1141"/>
      <c r="S50" s="1141"/>
      <c r="T50" s="1141"/>
    </row>
    <row r="51" spans="1:20" s="1134" customFormat="1" ht="16.5" thickBot="1" x14ac:dyDescent="0.3">
      <c r="A51" s="1160"/>
      <c r="B51" s="1129"/>
      <c r="C51" s="1130"/>
      <c r="D51" s="1130"/>
      <c r="E51" s="1130"/>
      <c r="F51" s="1130"/>
      <c r="G51" s="1131"/>
      <c r="H51" s="1132"/>
      <c r="I51" s="1132"/>
      <c r="J51" s="1132"/>
      <c r="K51" s="1130"/>
      <c r="L51" s="1130"/>
      <c r="M51" s="1130"/>
      <c r="N51" s="1130"/>
      <c r="O51" s="1130"/>
      <c r="P51" s="1130"/>
      <c r="Q51" s="1132"/>
      <c r="R51" s="1132"/>
      <c r="S51" s="1132"/>
      <c r="T51" s="1132"/>
    </row>
    <row r="52" spans="1:20" s="1134" customFormat="1" ht="16.5" thickBot="1" x14ac:dyDescent="0.3">
      <c r="A52" s="1160"/>
      <c r="B52" s="1135"/>
      <c r="C52" s="1136"/>
      <c r="D52" s="1137"/>
      <c r="E52" s="1142"/>
      <c r="F52" s="1139"/>
      <c r="G52" s="1140"/>
      <c r="H52" s="1151"/>
      <c r="I52" s="1142"/>
      <c r="J52" s="1142"/>
      <c r="K52" s="1138"/>
      <c r="L52" s="1138"/>
      <c r="M52" s="1138"/>
      <c r="N52" s="1138"/>
      <c r="O52" s="1139"/>
      <c r="P52" s="1141"/>
      <c r="Q52" s="1143"/>
      <c r="R52" s="1144"/>
      <c r="S52" s="1145"/>
      <c r="T52" s="1146"/>
    </row>
    <row r="53" spans="1:20" s="1134" customFormat="1" ht="16.5" thickBot="1" x14ac:dyDescent="0.3">
      <c r="A53" s="1161"/>
      <c r="B53" s="1162" t="s">
        <v>937</v>
      </c>
      <c r="C53" s="1163"/>
      <c r="D53" s="1163"/>
      <c r="E53" s="1163"/>
      <c r="F53" s="1163"/>
      <c r="G53" s="1163"/>
      <c r="H53" s="1141">
        <f t="shared" ref="H53:T53" si="0">H50+H21</f>
        <v>60</v>
      </c>
      <c r="I53" s="1141">
        <f t="shared" si="0"/>
        <v>0</v>
      </c>
      <c r="J53" s="1141">
        <f t="shared" si="0"/>
        <v>60</v>
      </c>
      <c r="K53" s="1141">
        <f t="shared" si="0"/>
        <v>0</v>
      </c>
      <c r="L53" s="1141">
        <f t="shared" si="0"/>
        <v>0</v>
      </c>
      <c r="M53" s="1141">
        <f t="shared" si="0"/>
        <v>0</v>
      </c>
      <c r="N53" s="1141">
        <f t="shared" si="0"/>
        <v>0</v>
      </c>
      <c r="O53" s="1141">
        <f t="shared" si="0"/>
        <v>0</v>
      </c>
      <c r="P53" s="1141">
        <f t="shared" si="0"/>
        <v>0</v>
      </c>
      <c r="Q53" s="1141">
        <f t="shared" si="0"/>
        <v>14.25</v>
      </c>
      <c r="R53" s="1141">
        <f t="shared" si="0"/>
        <v>0</v>
      </c>
      <c r="S53" s="1141">
        <f t="shared" si="0"/>
        <v>336015</v>
      </c>
      <c r="T53" s="1141">
        <f t="shared" si="0"/>
        <v>336015</v>
      </c>
    </row>
    <row r="54" spans="1:20" s="1168" customFormat="1" ht="16.5" x14ac:dyDescent="0.3">
      <c r="A54" s="1164"/>
      <c r="B54" s="1165"/>
      <c r="C54" s="1166"/>
      <c r="D54" s="1166"/>
      <c r="E54" s="1166"/>
      <c r="F54" s="1166"/>
      <c r="G54" s="1166"/>
      <c r="H54" s="1167"/>
      <c r="I54" s="1167"/>
      <c r="J54" s="1167"/>
      <c r="K54" s="1167"/>
      <c r="L54" s="1167"/>
      <c r="M54" s="1167"/>
      <c r="N54" s="1167"/>
      <c r="O54" s="1167"/>
      <c r="P54" s="1167"/>
      <c r="Q54" s="1167"/>
      <c r="R54" s="1167"/>
      <c r="S54" s="1167"/>
      <c r="T54" s="1167"/>
    </row>
    <row r="55" spans="1:20" s="1097" customFormat="1" ht="16.5" x14ac:dyDescent="0.3">
      <c r="A55" s="1169" t="s">
        <v>522</v>
      </c>
      <c r="B55" s="1169"/>
      <c r="C55" s="1169"/>
      <c r="D55" s="1169"/>
      <c r="E55" s="1170"/>
      <c r="F55" s="1169"/>
      <c r="G55" s="1169" t="s">
        <v>815</v>
      </c>
      <c r="H55" s="1169"/>
      <c r="I55" s="1169"/>
      <c r="J55" s="1169"/>
      <c r="K55" s="1169" t="s">
        <v>816</v>
      </c>
      <c r="L55" s="1169"/>
      <c r="M55" s="1169"/>
      <c r="N55" s="1169"/>
      <c r="O55" s="1169"/>
      <c r="Q55" s="1169"/>
      <c r="S55" s="1169" t="s">
        <v>940</v>
      </c>
    </row>
    <row r="56" spans="1:20" s="1097" customFormat="1" ht="16.5" x14ac:dyDescent="0.3">
      <c r="A56" s="1169"/>
      <c r="B56" s="1169"/>
      <c r="C56" s="1169"/>
      <c r="D56" s="1169"/>
      <c r="E56" s="1170"/>
      <c r="F56" s="1169"/>
      <c r="G56" s="1169"/>
      <c r="H56" s="1169"/>
      <c r="I56" s="1169"/>
      <c r="J56" s="1169"/>
      <c r="K56" s="1169"/>
      <c r="L56" s="1169"/>
      <c r="M56" s="1169"/>
      <c r="N56" s="1169"/>
      <c r="O56" s="1169"/>
      <c r="Q56" s="1169"/>
    </row>
    <row r="57" spans="1:20" s="1097" customFormat="1" ht="16.5" x14ac:dyDescent="0.3">
      <c r="A57" s="1169"/>
      <c r="B57" s="1169"/>
      <c r="C57" s="1169"/>
      <c r="D57" s="1169"/>
      <c r="E57" s="1170"/>
      <c r="F57" s="1169"/>
      <c r="G57" s="1169"/>
      <c r="H57" s="1169"/>
      <c r="I57" s="1169"/>
      <c r="J57" s="1169"/>
      <c r="K57" s="1169"/>
      <c r="L57" s="1169"/>
      <c r="M57" s="1169"/>
      <c r="N57" s="1169"/>
      <c r="O57" s="1169"/>
      <c r="Q57" s="1169"/>
    </row>
    <row r="58" spans="1:20" s="1173" customFormat="1" ht="15.75" x14ac:dyDescent="0.25">
      <c r="A58" s="1734" t="s">
        <v>941</v>
      </c>
      <c r="B58" s="1734"/>
      <c r="C58" s="1734"/>
      <c r="D58" s="1734"/>
      <c r="E58" s="1734"/>
      <c r="F58" s="1171"/>
      <c r="G58" s="1171" t="s">
        <v>942</v>
      </c>
      <c r="H58" s="1171"/>
      <c r="I58" s="1171"/>
      <c r="J58" s="1171"/>
      <c r="K58" s="1172"/>
      <c r="L58" s="1533"/>
      <c r="M58" s="1172"/>
      <c r="N58" s="1533" t="s">
        <v>943</v>
      </c>
      <c r="O58" s="1172"/>
      <c r="Q58" s="1735"/>
      <c r="R58" s="1735"/>
      <c r="S58" s="1735" t="s">
        <v>944</v>
      </c>
      <c r="T58" s="1735"/>
    </row>
    <row r="59" spans="1:20" s="1097" customFormat="1" ht="15" customHeight="1" x14ac:dyDescent="0.3">
      <c r="A59" s="1728" t="s">
        <v>945</v>
      </c>
      <c r="B59" s="1728"/>
      <c r="C59" s="1728"/>
      <c r="D59" s="1728"/>
      <c r="E59" s="1174"/>
      <c r="F59" s="1534" t="s">
        <v>946</v>
      </c>
      <c r="H59" s="1175"/>
      <c r="I59" s="1175"/>
      <c r="J59" s="1175"/>
      <c r="K59" s="1176" t="s">
        <v>947</v>
      </c>
      <c r="L59" s="1176" t="s">
        <v>948</v>
      </c>
      <c r="M59" s="1176"/>
      <c r="N59" s="1176"/>
      <c r="O59" s="1176"/>
      <c r="P59" s="1176"/>
      <c r="Q59" s="1729"/>
      <c r="R59" s="1729"/>
      <c r="S59" s="1729" t="s">
        <v>949</v>
      </c>
      <c r="T59" s="1729"/>
    </row>
  </sheetData>
  <mergeCells count="39">
    <mergeCell ref="L17:L18"/>
    <mergeCell ref="M8:R8"/>
    <mergeCell ref="A1:T1"/>
    <mergeCell ref="A2:T2"/>
    <mergeCell ref="A3:T3"/>
    <mergeCell ref="A5:T5"/>
    <mergeCell ref="A6:T6"/>
    <mergeCell ref="U18:U20"/>
    <mergeCell ref="A58:E58"/>
    <mergeCell ref="Q58:R58"/>
    <mergeCell ref="S58:T58"/>
    <mergeCell ref="A13:R13"/>
    <mergeCell ref="A14:A18"/>
    <mergeCell ref="B14:B18"/>
    <mergeCell ref="C14:C18"/>
    <mergeCell ref="D14:D18"/>
    <mergeCell ref="E14:E18"/>
    <mergeCell ref="F14:F18"/>
    <mergeCell ref="G14:G18"/>
    <mergeCell ref="H14:J16"/>
    <mergeCell ref="K14:L16"/>
    <mergeCell ref="Q16:T16"/>
    <mergeCell ref="H17:H18"/>
    <mergeCell ref="A59:D59"/>
    <mergeCell ref="Q59:R59"/>
    <mergeCell ref="S59:T59"/>
    <mergeCell ref="O17:O18"/>
    <mergeCell ref="P17:P18"/>
    <mergeCell ref="Q17:Q18"/>
    <mergeCell ref="R17:R18"/>
    <mergeCell ref="S17:S18"/>
    <mergeCell ref="T17:T18"/>
    <mergeCell ref="M14:M18"/>
    <mergeCell ref="N14:T15"/>
    <mergeCell ref="N16:P16"/>
    <mergeCell ref="N17:N18"/>
    <mergeCell ref="I17:I18"/>
    <mergeCell ref="J17:J18"/>
    <mergeCell ref="K17:K18"/>
  </mergeCells>
  <pageMargins left="0.16" right="0" top="0.5" bottom="0.5" header="0.3" footer="0.3"/>
  <pageSetup paperSize="258" scale="73" orientation="landscape" horizontalDpi="4294967294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D3C7-0EAE-C141-BC4E-1723E48B582C}">
  <sheetPr>
    <tabColor theme="3" tint="0.59999389629810485"/>
  </sheetPr>
  <dimension ref="A1:Q419"/>
  <sheetViews>
    <sheetView topLeftCell="A13" workbookViewId="0">
      <pane xSplit="2" ySplit="5" topLeftCell="C202" activePane="bottomRight" state="frozen"/>
      <selection pane="topRight" activeCell="D59" sqref="D59"/>
      <selection pane="bottomLeft" activeCell="D59" sqref="D59"/>
      <selection pane="bottomRight" activeCell="N17" sqref="N17"/>
    </sheetView>
  </sheetViews>
  <sheetFormatPr defaultColWidth="11" defaultRowHeight="15" x14ac:dyDescent="0.25"/>
  <cols>
    <col min="1" max="1" width="8.875" style="185" customWidth="1"/>
    <col min="2" max="2" width="17.875" style="185" customWidth="1"/>
    <col min="3" max="5" width="8.875" style="185" customWidth="1"/>
    <col min="6" max="6" width="20.5" style="185" customWidth="1"/>
    <col min="7" max="7" width="15.125" style="185" customWidth="1"/>
    <col min="8" max="8" width="8.875" style="185" customWidth="1"/>
    <col min="9" max="9" width="15.375" style="185" customWidth="1"/>
    <col min="10" max="13" width="8.875" style="185" customWidth="1"/>
    <col min="14" max="14" width="15" style="185" customWidth="1"/>
    <col min="15" max="15" width="8.875" style="185" customWidth="1"/>
    <col min="16" max="16" width="15.5" style="185" customWidth="1"/>
    <col min="17" max="17" width="29" style="185" customWidth="1"/>
    <col min="18" max="257" width="8.875" style="185" customWidth="1"/>
    <col min="258" max="258" width="17.875" style="185" customWidth="1"/>
    <col min="259" max="261" width="8.875" style="185" customWidth="1"/>
    <col min="262" max="262" width="20.5" style="185" customWidth="1"/>
    <col min="263" max="263" width="15.125" style="185" customWidth="1"/>
    <col min="264" max="264" width="8.875" style="185" customWidth="1"/>
    <col min="265" max="265" width="15.375" style="185" customWidth="1"/>
    <col min="266" max="269" width="8.875" style="185" customWidth="1"/>
    <col min="270" max="270" width="15" style="185" customWidth="1"/>
    <col min="271" max="271" width="8.875" style="185" customWidth="1"/>
    <col min="272" max="272" width="15.5" style="185" customWidth="1"/>
    <col min="273" max="273" width="29" style="185" customWidth="1"/>
    <col min="274" max="513" width="8.875" style="185" customWidth="1"/>
    <col min="514" max="514" width="17.875" style="185" customWidth="1"/>
    <col min="515" max="517" width="8.875" style="185" customWidth="1"/>
    <col min="518" max="518" width="20.5" style="185" customWidth="1"/>
    <col min="519" max="519" width="15.125" style="185" customWidth="1"/>
    <col min="520" max="520" width="8.875" style="185" customWidth="1"/>
    <col min="521" max="521" width="15.375" style="185" customWidth="1"/>
    <col min="522" max="525" width="8.875" style="185" customWidth="1"/>
    <col min="526" max="526" width="15" style="185" customWidth="1"/>
    <col min="527" max="527" width="8.875" style="185" customWidth="1"/>
    <col min="528" max="528" width="15.5" style="185" customWidth="1"/>
    <col min="529" max="529" width="29" style="185" customWidth="1"/>
    <col min="530" max="769" width="8.875" style="185" customWidth="1"/>
    <col min="770" max="770" width="17.875" style="185" customWidth="1"/>
    <col min="771" max="773" width="8.875" style="185" customWidth="1"/>
    <col min="774" max="774" width="20.5" style="185" customWidth="1"/>
    <col min="775" max="775" width="15.125" style="185" customWidth="1"/>
    <col min="776" max="776" width="8.875" style="185" customWidth="1"/>
    <col min="777" max="777" width="15.375" style="185" customWidth="1"/>
    <col min="778" max="781" width="8.875" style="185" customWidth="1"/>
    <col min="782" max="782" width="15" style="185" customWidth="1"/>
    <col min="783" max="783" width="8.875" style="185" customWidth="1"/>
    <col min="784" max="784" width="15.5" style="185" customWidth="1"/>
    <col min="785" max="785" width="29" style="185" customWidth="1"/>
    <col min="786" max="1025" width="8.875" style="185" customWidth="1"/>
    <col min="1026" max="1026" width="17.875" style="185" customWidth="1"/>
    <col min="1027" max="1029" width="8.875" style="185" customWidth="1"/>
    <col min="1030" max="1030" width="20.5" style="185" customWidth="1"/>
    <col min="1031" max="1031" width="15.125" style="185" customWidth="1"/>
    <col min="1032" max="1032" width="8.875" style="185" customWidth="1"/>
    <col min="1033" max="1033" width="15.375" style="185" customWidth="1"/>
    <col min="1034" max="1037" width="8.875" style="185" customWidth="1"/>
    <col min="1038" max="1038" width="15" style="185" customWidth="1"/>
    <col min="1039" max="1039" width="8.875" style="185" customWidth="1"/>
    <col min="1040" max="1040" width="15.5" style="185" customWidth="1"/>
    <col min="1041" max="1041" width="29" style="185" customWidth="1"/>
    <col min="1042" max="1281" width="8.875" style="185" customWidth="1"/>
    <col min="1282" max="1282" width="17.875" style="185" customWidth="1"/>
    <col min="1283" max="1285" width="8.875" style="185" customWidth="1"/>
    <col min="1286" max="1286" width="20.5" style="185" customWidth="1"/>
    <col min="1287" max="1287" width="15.125" style="185" customWidth="1"/>
    <col min="1288" max="1288" width="8.875" style="185" customWidth="1"/>
    <col min="1289" max="1289" width="15.375" style="185" customWidth="1"/>
    <col min="1290" max="1293" width="8.875" style="185" customWidth="1"/>
    <col min="1294" max="1294" width="15" style="185" customWidth="1"/>
    <col min="1295" max="1295" width="8.875" style="185" customWidth="1"/>
    <col min="1296" max="1296" width="15.5" style="185" customWidth="1"/>
    <col min="1297" max="1297" width="29" style="185" customWidth="1"/>
    <col min="1298" max="1537" width="8.875" style="185" customWidth="1"/>
    <col min="1538" max="1538" width="17.875" style="185" customWidth="1"/>
    <col min="1539" max="1541" width="8.875" style="185" customWidth="1"/>
    <col min="1542" max="1542" width="20.5" style="185" customWidth="1"/>
    <col min="1543" max="1543" width="15.125" style="185" customWidth="1"/>
    <col min="1544" max="1544" width="8.875" style="185" customWidth="1"/>
    <col min="1545" max="1545" width="15.375" style="185" customWidth="1"/>
    <col min="1546" max="1549" width="8.875" style="185" customWidth="1"/>
    <col min="1550" max="1550" width="15" style="185" customWidth="1"/>
    <col min="1551" max="1551" width="8.875" style="185" customWidth="1"/>
    <col min="1552" max="1552" width="15.5" style="185" customWidth="1"/>
    <col min="1553" max="1553" width="29" style="185" customWidth="1"/>
    <col min="1554" max="1793" width="8.875" style="185" customWidth="1"/>
    <col min="1794" max="1794" width="17.875" style="185" customWidth="1"/>
    <col min="1795" max="1797" width="8.875" style="185" customWidth="1"/>
    <col min="1798" max="1798" width="20.5" style="185" customWidth="1"/>
    <col min="1799" max="1799" width="15.125" style="185" customWidth="1"/>
    <col min="1800" max="1800" width="8.875" style="185" customWidth="1"/>
    <col min="1801" max="1801" width="15.375" style="185" customWidth="1"/>
    <col min="1802" max="1805" width="8.875" style="185" customWidth="1"/>
    <col min="1806" max="1806" width="15" style="185" customWidth="1"/>
    <col min="1807" max="1807" width="8.875" style="185" customWidth="1"/>
    <col min="1808" max="1808" width="15.5" style="185" customWidth="1"/>
    <col min="1809" max="1809" width="29" style="185" customWidth="1"/>
    <col min="1810" max="2049" width="8.875" style="185" customWidth="1"/>
    <col min="2050" max="2050" width="17.875" style="185" customWidth="1"/>
    <col min="2051" max="2053" width="8.875" style="185" customWidth="1"/>
    <col min="2054" max="2054" width="20.5" style="185" customWidth="1"/>
    <col min="2055" max="2055" width="15.125" style="185" customWidth="1"/>
    <col min="2056" max="2056" width="8.875" style="185" customWidth="1"/>
    <col min="2057" max="2057" width="15.375" style="185" customWidth="1"/>
    <col min="2058" max="2061" width="8.875" style="185" customWidth="1"/>
    <col min="2062" max="2062" width="15" style="185" customWidth="1"/>
    <col min="2063" max="2063" width="8.875" style="185" customWidth="1"/>
    <col min="2064" max="2064" width="15.5" style="185" customWidth="1"/>
    <col min="2065" max="2065" width="29" style="185" customWidth="1"/>
    <col min="2066" max="2305" width="8.875" style="185" customWidth="1"/>
    <col min="2306" max="2306" width="17.875" style="185" customWidth="1"/>
    <col min="2307" max="2309" width="8.875" style="185" customWidth="1"/>
    <col min="2310" max="2310" width="20.5" style="185" customWidth="1"/>
    <col min="2311" max="2311" width="15.125" style="185" customWidth="1"/>
    <col min="2312" max="2312" width="8.875" style="185" customWidth="1"/>
    <col min="2313" max="2313" width="15.375" style="185" customWidth="1"/>
    <col min="2314" max="2317" width="8.875" style="185" customWidth="1"/>
    <col min="2318" max="2318" width="15" style="185" customWidth="1"/>
    <col min="2319" max="2319" width="8.875" style="185" customWidth="1"/>
    <col min="2320" max="2320" width="15.5" style="185" customWidth="1"/>
    <col min="2321" max="2321" width="29" style="185" customWidth="1"/>
    <col min="2322" max="2561" width="8.875" style="185" customWidth="1"/>
    <col min="2562" max="2562" width="17.875" style="185" customWidth="1"/>
    <col min="2563" max="2565" width="8.875" style="185" customWidth="1"/>
    <col min="2566" max="2566" width="20.5" style="185" customWidth="1"/>
    <col min="2567" max="2567" width="15.125" style="185" customWidth="1"/>
    <col min="2568" max="2568" width="8.875" style="185" customWidth="1"/>
    <col min="2569" max="2569" width="15.375" style="185" customWidth="1"/>
    <col min="2570" max="2573" width="8.875" style="185" customWidth="1"/>
    <col min="2574" max="2574" width="15" style="185" customWidth="1"/>
    <col min="2575" max="2575" width="8.875" style="185" customWidth="1"/>
    <col min="2576" max="2576" width="15.5" style="185" customWidth="1"/>
    <col min="2577" max="2577" width="29" style="185" customWidth="1"/>
    <col min="2578" max="2817" width="8.875" style="185" customWidth="1"/>
    <col min="2818" max="2818" width="17.875" style="185" customWidth="1"/>
    <col min="2819" max="2821" width="8.875" style="185" customWidth="1"/>
    <col min="2822" max="2822" width="20.5" style="185" customWidth="1"/>
    <col min="2823" max="2823" width="15.125" style="185" customWidth="1"/>
    <col min="2824" max="2824" width="8.875" style="185" customWidth="1"/>
    <col min="2825" max="2825" width="15.375" style="185" customWidth="1"/>
    <col min="2826" max="2829" width="8.875" style="185" customWidth="1"/>
    <col min="2830" max="2830" width="15" style="185" customWidth="1"/>
    <col min="2831" max="2831" width="8.875" style="185" customWidth="1"/>
    <col min="2832" max="2832" width="15.5" style="185" customWidth="1"/>
    <col min="2833" max="2833" width="29" style="185" customWidth="1"/>
    <col min="2834" max="3073" width="8.875" style="185" customWidth="1"/>
    <col min="3074" max="3074" width="17.875" style="185" customWidth="1"/>
    <col min="3075" max="3077" width="8.875" style="185" customWidth="1"/>
    <col min="3078" max="3078" width="20.5" style="185" customWidth="1"/>
    <col min="3079" max="3079" width="15.125" style="185" customWidth="1"/>
    <col min="3080" max="3080" width="8.875" style="185" customWidth="1"/>
    <col min="3081" max="3081" width="15.375" style="185" customWidth="1"/>
    <col min="3082" max="3085" width="8.875" style="185" customWidth="1"/>
    <col min="3086" max="3086" width="15" style="185" customWidth="1"/>
    <col min="3087" max="3087" width="8.875" style="185" customWidth="1"/>
    <col min="3088" max="3088" width="15.5" style="185" customWidth="1"/>
    <col min="3089" max="3089" width="29" style="185" customWidth="1"/>
    <col min="3090" max="3329" width="8.875" style="185" customWidth="1"/>
    <col min="3330" max="3330" width="17.875" style="185" customWidth="1"/>
    <col min="3331" max="3333" width="8.875" style="185" customWidth="1"/>
    <col min="3334" max="3334" width="20.5" style="185" customWidth="1"/>
    <col min="3335" max="3335" width="15.125" style="185" customWidth="1"/>
    <col min="3336" max="3336" width="8.875" style="185" customWidth="1"/>
    <col min="3337" max="3337" width="15.375" style="185" customWidth="1"/>
    <col min="3338" max="3341" width="8.875" style="185" customWidth="1"/>
    <col min="3342" max="3342" width="15" style="185" customWidth="1"/>
    <col min="3343" max="3343" width="8.875" style="185" customWidth="1"/>
    <col min="3344" max="3344" width="15.5" style="185" customWidth="1"/>
    <col min="3345" max="3345" width="29" style="185" customWidth="1"/>
    <col min="3346" max="3585" width="8.875" style="185" customWidth="1"/>
    <col min="3586" max="3586" width="17.875" style="185" customWidth="1"/>
    <col min="3587" max="3589" width="8.875" style="185" customWidth="1"/>
    <col min="3590" max="3590" width="20.5" style="185" customWidth="1"/>
    <col min="3591" max="3591" width="15.125" style="185" customWidth="1"/>
    <col min="3592" max="3592" width="8.875" style="185" customWidth="1"/>
    <col min="3593" max="3593" width="15.375" style="185" customWidth="1"/>
    <col min="3594" max="3597" width="8.875" style="185" customWidth="1"/>
    <col min="3598" max="3598" width="15" style="185" customWidth="1"/>
    <col min="3599" max="3599" width="8.875" style="185" customWidth="1"/>
    <col min="3600" max="3600" width="15.5" style="185" customWidth="1"/>
    <col min="3601" max="3601" width="29" style="185" customWidth="1"/>
    <col min="3602" max="3841" width="8.875" style="185" customWidth="1"/>
    <col min="3842" max="3842" width="17.875" style="185" customWidth="1"/>
    <col min="3843" max="3845" width="8.875" style="185" customWidth="1"/>
    <col min="3846" max="3846" width="20.5" style="185" customWidth="1"/>
    <col min="3847" max="3847" width="15.125" style="185" customWidth="1"/>
    <col min="3848" max="3848" width="8.875" style="185" customWidth="1"/>
    <col min="3849" max="3849" width="15.375" style="185" customWidth="1"/>
    <col min="3850" max="3853" width="8.875" style="185" customWidth="1"/>
    <col min="3854" max="3854" width="15" style="185" customWidth="1"/>
    <col min="3855" max="3855" width="8.875" style="185" customWidth="1"/>
    <col min="3856" max="3856" width="15.5" style="185" customWidth="1"/>
    <col min="3857" max="3857" width="29" style="185" customWidth="1"/>
    <col min="3858" max="4097" width="8.875" style="185" customWidth="1"/>
    <col min="4098" max="4098" width="17.875" style="185" customWidth="1"/>
    <col min="4099" max="4101" width="8.875" style="185" customWidth="1"/>
    <col min="4102" max="4102" width="20.5" style="185" customWidth="1"/>
    <col min="4103" max="4103" width="15.125" style="185" customWidth="1"/>
    <col min="4104" max="4104" width="8.875" style="185" customWidth="1"/>
    <col min="4105" max="4105" width="15.375" style="185" customWidth="1"/>
    <col min="4106" max="4109" width="8.875" style="185" customWidth="1"/>
    <col min="4110" max="4110" width="15" style="185" customWidth="1"/>
    <col min="4111" max="4111" width="8.875" style="185" customWidth="1"/>
    <col min="4112" max="4112" width="15.5" style="185" customWidth="1"/>
    <col min="4113" max="4113" width="29" style="185" customWidth="1"/>
    <col min="4114" max="4353" width="8.875" style="185" customWidth="1"/>
    <col min="4354" max="4354" width="17.875" style="185" customWidth="1"/>
    <col min="4355" max="4357" width="8.875" style="185" customWidth="1"/>
    <col min="4358" max="4358" width="20.5" style="185" customWidth="1"/>
    <col min="4359" max="4359" width="15.125" style="185" customWidth="1"/>
    <col min="4360" max="4360" width="8.875" style="185" customWidth="1"/>
    <col min="4361" max="4361" width="15.375" style="185" customWidth="1"/>
    <col min="4362" max="4365" width="8.875" style="185" customWidth="1"/>
    <col min="4366" max="4366" width="15" style="185" customWidth="1"/>
    <col min="4367" max="4367" width="8.875" style="185" customWidth="1"/>
    <col min="4368" max="4368" width="15.5" style="185" customWidth="1"/>
    <col min="4369" max="4369" width="29" style="185" customWidth="1"/>
    <col min="4370" max="4609" width="8.875" style="185" customWidth="1"/>
    <col min="4610" max="4610" width="17.875" style="185" customWidth="1"/>
    <col min="4611" max="4613" width="8.875" style="185" customWidth="1"/>
    <col min="4614" max="4614" width="20.5" style="185" customWidth="1"/>
    <col min="4615" max="4615" width="15.125" style="185" customWidth="1"/>
    <col min="4616" max="4616" width="8.875" style="185" customWidth="1"/>
    <col min="4617" max="4617" width="15.375" style="185" customWidth="1"/>
    <col min="4618" max="4621" width="8.875" style="185" customWidth="1"/>
    <col min="4622" max="4622" width="15" style="185" customWidth="1"/>
    <col min="4623" max="4623" width="8.875" style="185" customWidth="1"/>
    <col min="4624" max="4624" width="15.5" style="185" customWidth="1"/>
    <col min="4625" max="4625" width="29" style="185" customWidth="1"/>
    <col min="4626" max="4865" width="8.875" style="185" customWidth="1"/>
    <col min="4866" max="4866" width="17.875" style="185" customWidth="1"/>
    <col min="4867" max="4869" width="8.875" style="185" customWidth="1"/>
    <col min="4870" max="4870" width="20.5" style="185" customWidth="1"/>
    <col min="4871" max="4871" width="15.125" style="185" customWidth="1"/>
    <col min="4872" max="4872" width="8.875" style="185" customWidth="1"/>
    <col min="4873" max="4873" width="15.375" style="185" customWidth="1"/>
    <col min="4874" max="4877" width="8.875" style="185" customWidth="1"/>
    <col min="4878" max="4878" width="15" style="185" customWidth="1"/>
    <col min="4879" max="4879" width="8.875" style="185" customWidth="1"/>
    <col min="4880" max="4880" width="15.5" style="185" customWidth="1"/>
    <col min="4881" max="4881" width="29" style="185" customWidth="1"/>
    <col min="4882" max="5121" width="8.875" style="185" customWidth="1"/>
    <col min="5122" max="5122" width="17.875" style="185" customWidth="1"/>
    <col min="5123" max="5125" width="8.875" style="185" customWidth="1"/>
    <col min="5126" max="5126" width="20.5" style="185" customWidth="1"/>
    <col min="5127" max="5127" width="15.125" style="185" customWidth="1"/>
    <col min="5128" max="5128" width="8.875" style="185" customWidth="1"/>
    <col min="5129" max="5129" width="15.375" style="185" customWidth="1"/>
    <col min="5130" max="5133" width="8.875" style="185" customWidth="1"/>
    <col min="5134" max="5134" width="15" style="185" customWidth="1"/>
    <col min="5135" max="5135" width="8.875" style="185" customWidth="1"/>
    <col min="5136" max="5136" width="15.5" style="185" customWidth="1"/>
    <col min="5137" max="5137" width="29" style="185" customWidth="1"/>
    <col min="5138" max="5377" width="8.875" style="185" customWidth="1"/>
    <col min="5378" max="5378" width="17.875" style="185" customWidth="1"/>
    <col min="5379" max="5381" width="8.875" style="185" customWidth="1"/>
    <col min="5382" max="5382" width="20.5" style="185" customWidth="1"/>
    <col min="5383" max="5383" width="15.125" style="185" customWidth="1"/>
    <col min="5384" max="5384" width="8.875" style="185" customWidth="1"/>
    <col min="5385" max="5385" width="15.375" style="185" customWidth="1"/>
    <col min="5386" max="5389" width="8.875" style="185" customWidth="1"/>
    <col min="5390" max="5390" width="15" style="185" customWidth="1"/>
    <col min="5391" max="5391" width="8.875" style="185" customWidth="1"/>
    <col min="5392" max="5392" width="15.5" style="185" customWidth="1"/>
    <col min="5393" max="5393" width="29" style="185" customWidth="1"/>
    <col min="5394" max="5633" width="8.875" style="185" customWidth="1"/>
    <col min="5634" max="5634" width="17.875" style="185" customWidth="1"/>
    <col min="5635" max="5637" width="8.875" style="185" customWidth="1"/>
    <col min="5638" max="5638" width="20.5" style="185" customWidth="1"/>
    <col min="5639" max="5639" width="15.125" style="185" customWidth="1"/>
    <col min="5640" max="5640" width="8.875" style="185" customWidth="1"/>
    <col min="5641" max="5641" width="15.375" style="185" customWidth="1"/>
    <col min="5642" max="5645" width="8.875" style="185" customWidth="1"/>
    <col min="5646" max="5646" width="15" style="185" customWidth="1"/>
    <col min="5647" max="5647" width="8.875" style="185" customWidth="1"/>
    <col min="5648" max="5648" width="15.5" style="185" customWidth="1"/>
    <col min="5649" max="5649" width="29" style="185" customWidth="1"/>
    <col min="5650" max="5889" width="8.875" style="185" customWidth="1"/>
    <col min="5890" max="5890" width="17.875" style="185" customWidth="1"/>
    <col min="5891" max="5893" width="8.875" style="185" customWidth="1"/>
    <col min="5894" max="5894" width="20.5" style="185" customWidth="1"/>
    <col min="5895" max="5895" width="15.125" style="185" customWidth="1"/>
    <col min="5896" max="5896" width="8.875" style="185" customWidth="1"/>
    <col min="5897" max="5897" width="15.375" style="185" customWidth="1"/>
    <col min="5898" max="5901" width="8.875" style="185" customWidth="1"/>
    <col min="5902" max="5902" width="15" style="185" customWidth="1"/>
    <col min="5903" max="5903" width="8.875" style="185" customWidth="1"/>
    <col min="5904" max="5904" width="15.5" style="185" customWidth="1"/>
    <col min="5905" max="5905" width="29" style="185" customWidth="1"/>
    <col min="5906" max="6145" width="8.875" style="185" customWidth="1"/>
    <col min="6146" max="6146" width="17.875" style="185" customWidth="1"/>
    <col min="6147" max="6149" width="8.875" style="185" customWidth="1"/>
    <col min="6150" max="6150" width="20.5" style="185" customWidth="1"/>
    <col min="6151" max="6151" width="15.125" style="185" customWidth="1"/>
    <col min="6152" max="6152" width="8.875" style="185" customWidth="1"/>
    <col min="6153" max="6153" width="15.375" style="185" customWidth="1"/>
    <col min="6154" max="6157" width="8.875" style="185" customWidth="1"/>
    <col min="6158" max="6158" width="15" style="185" customWidth="1"/>
    <col min="6159" max="6159" width="8.875" style="185" customWidth="1"/>
    <col min="6160" max="6160" width="15.5" style="185" customWidth="1"/>
    <col min="6161" max="6161" width="29" style="185" customWidth="1"/>
    <col min="6162" max="6401" width="8.875" style="185" customWidth="1"/>
    <col min="6402" max="6402" width="17.875" style="185" customWidth="1"/>
    <col min="6403" max="6405" width="8.875" style="185" customWidth="1"/>
    <col min="6406" max="6406" width="20.5" style="185" customWidth="1"/>
    <col min="6407" max="6407" width="15.125" style="185" customWidth="1"/>
    <col min="6408" max="6408" width="8.875" style="185" customWidth="1"/>
    <col min="6409" max="6409" width="15.375" style="185" customWidth="1"/>
    <col min="6410" max="6413" width="8.875" style="185" customWidth="1"/>
    <col min="6414" max="6414" width="15" style="185" customWidth="1"/>
    <col min="6415" max="6415" width="8.875" style="185" customWidth="1"/>
    <col min="6416" max="6416" width="15.5" style="185" customWidth="1"/>
    <col min="6417" max="6417" width="29" style="185" customWidth="1"/>
    <col min="6418" max="6657" width="8.875" style="185" customWidth="1"/>
    <col min="6658" max="6658" width="17.875" style="185" customWidth="1"/>
    <col min="6659" max="6661" width="8.875" style="185" customWidth="1"/>
    <col min="6662" max="6662" width="20.5" style="185" customWidth="1"/>
    <col min="6663" max="6663" width="15.125" style="185" customWidth="1"/>
    <col min="6664" max="6664" width="8.875" style="185" customWidth="1"/>
    <col min="6665" max="6665" width="15.375" style="185" customWidth="1"/>
    <col min="6666" max="6669" width="8.875" style="185" customWidth="1"/>
    <col min="6670" max="6670" width="15" style="185" customWidth="1"/>
    <col min="6671" max="6671" width="8.875" style="185" customWidth="1"/>
    <col min="6672" max="6672" width="15.5" style="185" customWidth="1"/>
    <col min="6673" max="6673" width="29" style="185" customWidth="1"/>
    <col min="6674" max="6913" width="8.875" style="185" customWidth="1"/>
    <col min="6914" max="6914" width="17.875" style="185" customWidth="1"/>
    <col min="6915" max="6917" width="8.875" style="185" customWidth="1"/>
    <col min="6918" max="6918" width="20.5" style="185" customWidth="1"/>
    <col min="6919" max="6919" width="15.125" style="185" customWidth="1"/>
    <col min="6920" max="6920" width="8.875" style="185" customWidth="1"/>
    <col min="6921" max="6921" width="15.375" style="185" customWidth="1"/>
    <col min="6922" max="6925" width="8.875" style="185" customWidth="1"/>
    <col min="6926" max="6926" width="15" style="185" customWidth="1"/>
    <col min="6927" max="6927" width="8.875" style="185" customWidth="1"/>
    <col min="6928" max="6928" width="15.5" style="185" customWidth="1"/>
    <col min="6929" max="6929" width="29" style="185" customWidth="1"/>
    <col min="6930" max="7169" width="8.875" style="185" customWidth="1"/>
    <col min="7170" max="7170" width="17.875" style="185" customWidth="1"/>
    <col min="7171" max="7173" width="8.875" style="185" customWidth="1"/>
    <col min="7174" max="7174" width="20.5" style="185" customWidth="1"/>
    <col min="7175" max="7175" width="15.125" style="185" customWidth="1"/>
    <col min="7176" max="7176" width="8.875" style="185" customWidth="1"/>
    <col min="7177" max="7177" width="15.375" style="185" customWidth="1"/>
    <col min="7178" max="7181" width="8.875" style="185" customWidth="1"/>
    <col min="7182" max="7182" width="15" style="185" customWidth="1"/>
    <col min="7183" max="7183" width="8.875" style="185" customWidth="1"/>
    <col min="7184" max="7184" width="15.5" style="185" customWidth="1"/>
    <col min="7185" max="7185" width="29" style="185" customWidth="1"/>
    <col min="7186" max="7425" width="8.875" style="185" customWidth="1"/>
    <col min="7426" max="7426" width="17.875" style="185" customWidth="1"/>
    <col min="7427" max="7429" width="8.875" style="185" customWidth="1"/>
    <col min="7430" max="7430" width="20.5" style="185" customWidth="1"/>
    <col min="7431" max="7431" width="15.125" style="185" customWidth="1"/>
    <col min="7432" max="7432" width="8.875" style="185" customWidth="1"/>
    <col min="7433" max="7433" width="15.375" style="185" customWidth="1"/>
    <col min="7434" max="7437" width="8.875" style="185" customWidth="1"/>
    <col min="7438" max="7438" width="15" style="185" customWidth="1"/>
    <col min="7439" max="7439" width="8.875" style="185" customWidth="1"/>
    <col min="7440" max="7440" width="15.5" style="185" customWidth="1"/>
    <col min="7441" max="7441" width="29" style="185" customWidth="1"/>
    <col min="7442" max="7681" width="8.875" style="185" customWidth="1"/>
    <col min="7682" max="7682" width="17.875" style="185" customWidth="1"/>
    <col min="7683" max="7685" width="8.875" style="185" customWidth="1"/>
    <col min="7686" max="7686" width="20.5" style="185" customWidth="1"/>
    <col min="7687" max="7687" width="15.125" style="185" customWidth="1"/>
    <col min="7688" max="7688" width="8.875" style="185" customWidth="1"/>
    <col min="7689" max="7689" width="15.375" style="185" customWidth="1"/>
    <col min="7690" max="7693" width="8.875" style="185" customWidth="1"/>
    <col min="7694" max="7694" width="15" style="185" customWidth="1"/>
    <col min="7695" max="7695" width="8.875" style="185" customWidth="1"/>
    <col min="7696" max="7696" width="15.5" style="185" customWidth="1"/>
    <col min="7697" max="7697" width="29" style="185" customWidth="1"/>
    <col min="7698" max="7937" width="8.875" style="185" customWidth="1"/>
    <col min="7938" max="7938" width="17.875" style="185" customWidth="1"/>
    <col min="7939" max="7941" width="8.875" style="185" customWidth="1"/>
    <col min="7942" max="7942" width="20.5" style="185" customWidth="1"/>
    <col min="7943" max="7943" width="15.125" style="185" customWidth="1"/>
    <col min="7944" max="7944" width="8.875" style="185" customWidth="1"/>
    <col min="7945" max="7945" width="15.375" style="185" customWidth="1"/>
    <col min="7946" max="7949" width="8.875" style="185" customWidth="1"/>
    <col min="7950" max="7950" width="15" style="185" customWidth="1"/>
    <col min="7951" max="7951" width="8.875" style="185" customWidth="1"/>
    <col min="7952" max="7952" width="15.5" style="185" customWidth="1"/>
    <col min="7953" max="7953" width="29" style="185" customWidth="1"/>
    <col min="7954" max="8193" width="8.875" style="185" customWidth="1"/>
    <col min="8194" max="8194" width="17.875" style="185" customWidth="1"/>
    <col min="8195" max="8197" width="8.875" style="185" customWidth="1"/>
    <col min="8198" max="8198" width="20.5" style="185" customWidth="1"/>
    <col min="8199" max="8199" width="15.125" style="185" customWidth="1"/>
    <col min="8200" max="8200" width="8.875" style="185" customWidth="1"/>
    <col min="8201" max="8201" width="15.375" style="185" customWidth="1"/>
    <col min="8202" max="8205" width="8.875" style="185" customWidth="1"/>
    <col min="8206" max="8206" width="15" style="185" customWidth="1"/>
    <col min="8207" max="8207" width="8.875" style="185" customWidth="1"/>
    <col min="8208" max="8208" width="15.5" style="185" customWidth="1"/>
    <col min="8209" max="8209" width="29" style="185" customWidth="1"/>
    <col min="8210" max="8449" width="8.875" style="185" customWidth="1"/>
    <col min="8450" max="8450" width="17.875" style="185" customWidth="1"/>
    <col min="8451" max="8453" width="8.875" style="185" customWidth="1"/>
    <col min="8454" max="8454" width="20.5" style="185" customWidth="1"/>
    <col min="8455" max="8455" width="15.125" style="185" customWidth="1"/>
    <col min="8456" max="8456" width="8.875" style="185" customWidth="1"/>
    <col min="8457" max="8457" width="15.375" style="185" customWidth="1"/>
    <col min="8458" max="8461" width="8.875" style="185" customWidth="1"/>
    <col min="8462" max="8462" width="15" style="185" customWidth="1"/>
    <col min="8463" max="8463" width="8.875" style="185" customWidth="1"/>
    <col min="8464" max="8464" width="15.5" style="185" customWidth="1"/>
    <col min="8465" max="8465" width="29" style="185" customWidth="1"/>
    <col min="8466" max="8705" width="8.875" style="185" customWidth="1"/>
    <col min="8706" max="8706" width="17.875" style="185" customWidth="1"/>
    <col min="8707" max="8709" width="8.875" style="185" customWidth="1"/>
    <col min="8710" max="8710" width="20.5" style="185" customWidth="1"/>
    <col min="8711" max="8711" width="15.125" style="185" customWidth="1"/>
    <col min="8712" max="8712" width="8.875" style="185" customWidth="1"/>
    <col min="8713" max="8713" width="15.375" style="185" customWidth="1"/>
    <col min="8714" max="8717" width="8.875" style="185" customWidth="1"/>
    <col min="8718" max="8718" width="15" style="185" customWidth="1"/>
    <col min="8719" max="8719" width="8.875" style="185" customWidth="1"/>
    <col min="8720" max="8720" width="15.5" style="185" customWidth="1"/>
    <col min="8721" max="8721" width="29" style="185" customWidth="1"/>
    <col min="8722" max="8961" width="8.875" style="185" customWidth="1"/>
    <col min="8962" max="8962" width="17.875" style="185" customWidth="1"/>
    <col min="8963" max="8965" width="8.875" style="185" customWidth="1"/>
    <col min="8966" max="8966" width="20.5" style="185" customWidth="1"/>
    <col min="8967" max="8967" width="15.125" style="185" customWidth="1"/>
    <col min="8968" max="8968" width="8.875" style="185" customWidth="1"/>
    <col min="8969" max="8969" width="15.375" style="185" customWidth="1"/>
    <col min="8970" max="8973" width="8.875" style="185" customWidth="1"/>
    <col min="8974" max="8974" width="15" style="185" customWidth="1"/>
    <col min="8975" max="8975" width="8.875" style="185" customWidth="1"/>
    <col min="8976" max="8976" width="15.5" style="185" customWidth="1"/>
    <col min="8977" max="8977" width="29" style="185" customWidth="1"/>
    <col min="8978" max="9217" width="8.875" style="185" customWidth="1"/>
    <col min="9218" max="9218" width="17.875" style="185" customWidth="1"/>
    <col min="9219" max="9221" width="8.875" style="185" customWidth="1"/>
    <col min="9222" max="9222" width="20.5" style="185" customWidth="1"/>
    <col min="9223" max="9223" width="15.125" style="185" customWidth="1"/>
    <col min="9224" max="9224" width="8.875" style="185" customWidth="1"/>
    <col min="9225" max="9225" width="15.375" style="185" customWidth="1"/>
    <col min="9226" max="9229" width="8.875" style="185" customWidth="1"/>
    <col min="9230" max="9230" width="15" style="185" customWidth="1"/>
    <col min="9231" max="9231" width="8.875" style="185" customWidth="1"/>
    <col min="9232" max="9232" width="15.5" style="185" customWidth="1"/>
    <col min="9233" max="9233" width="29" style="185" customWidth="1"/>
    <col min="9234" max="9473" width="8.875" style="185" customWidth="1"/>
    <col min="9474" max="9474" width="17.875" style="185" customWidth="1"/>
    <col min="9475" max="9477" width="8.875" style="185" customWidth="1"/>
    <col min="9478" max="9478" width="20.5" style="185" customWidth="1"/>
    <col min="9479" max="9479" width="15.125" style="185" customWidth="1"/>
    <col min="9480" max="9480" width="8.875" style="185" customWidth="1"/>
    <col min="9481" max="9481" width="15.375" style="185" customWidth="1"/>
    <col min="9482" max="9485" width="8.875" style="185" customWidth="1"/>
    <col min="9486" max="9486" width="15" style="185" customWidth="1"/>
    <col min="9487" max="9487" width="8.875" style="185" customWidth="1"/>
    <col min="9488" max="9488" width="15.5" style="185" customWidth="1"/>
    <col min="9489" max="9489" width="29" style="185" customWidth="1"/>
    <col min="9490" max="9729" width="8.875" style="185" customWidth="1"/>
    <col min="9730" max="9730" width="17.875" style="185" customWidth="1"/>
    <col min="9731" max="9733" width="8.875" style="185" customWidth="1"/>
    <col min="9734" max="9734" width="20.5" style="185" customWidth="1"/>
    <col min="9735" max="9735" width="15.125" style="185" customWidth="1"/>
    <col min="9736" max="9736" width="8.875" style="185" customWidth="1"/>
    <col min="9737" max="9737" width="15.375" style="185" customWidth="1"/>
    <col min="9738" max="9741" width="8.875" style="185" customWidth="1"/>
    <col min="9742" max="9742" width="15" style="185" customWidth="1"/>
    <col min="9743" max="9743" width="8.875" style="185" customWidth="1"/>
    <col min="9744" max="9744" width="15.5" style="185" customWidth="1"/>
    <col min="9745" max="9745" width="29" style="185" customWidth="1"/>
    <col min="9746" max="9985" width="8.875" style="185" customWidth="1"/>
    <col min="9986" max="9986" width="17.875" style="185" customWidth="1"/>
    <col min="9987" max="9989" width="8.875" style="185" customWidth="1"/>
    <col min="9990" max="9990" width="20.5" style="185" customWidth="1"/>
    <col min="9991" max="9991" width="15.125" style="185" customWidth="1"/>
    <col min="9992" max="9992" width="8.875" style="185" customWidth="1"/>
    <col min="9993" max="9993" width="15.375" style="185" customWidth="1"/>
    <col min="9994" max="9997" width="8.875" style="185" customWidth="1"/>
    <col min="9998" max="9998" width="15" style="185" customWidth="1"/>
    <col min="9999" max="9999" width="8.875" style="185" customWidth="1"/>
    <col min="10000" max="10000" width="15.5" style="185" customWidth="1"/>
    <col min="10001" max="10001" width="29" style="185" customWidth="1"/>
    <col min="10002" max="10241" width="8.875" style="185" customWidth="1"/>
    <col min="10242" max="10242" width="17.875" style="185" customWidth="1"/>
    <col min="10243" max="10245" width="8.875" style="185" customWidth="1"/>
    <col min="10246" max="10246" width="20.5" style="185" customWidth="1"/>
    <col min="10247" max="10247" width="15.125" style="185" customWidth="1"/>
    <col min="10248" max="10248" width="8.875" style="185" customWidth="1"/>
    <col min="10249" max="10249" width="15.375" style="185" customWidth="1"/>
    <col min="10250" max="10253" width="8.875" style="185" customWidth="1"/>
    <col min="10254" max="10254" width="15" style="185" customWidth="1"/>
    <col min="10255" max="10255" width="8.875" style="185" customWidth="1"/>
    <col min="10256" max="10256" width="15.5" style="185" customWidth="1"/>
    <col min="10257" max="10257" width="29" style="185" customWidth="1"/>
    <col min="10258" max="10497" width="8.875" style="185" customWidth="1"/>
    <col min="10498" max="10498" width="17.875" style="185" customWidth="1"/>
    <col min="10499" max="10501" width="8.875" style="185" customWidth="1"/>
    <col min="10502" max="10502" width="20.5" style="185" customWidth="1"/>
    <col min="10503" max="10503" width="15.125" style="185" customWidth="1"/>
    <col min="10504" max="10504" width="8.875" style="185" customWidth="1"/>
    <col min="10505" max="10505" width="15.375" style="185" customWidth="1"/>
    <col min="10506" max="10509" width="8.875" style="185" customWidth="1"/>
    <col min="10510" max="10510" width="15" style="185" customWidth="1"/>
    <col min="10511" max="10511" width="8.875" style="185" customWidth="1"/>
    <col min="10512" max="10512" width="15.5" style="185" customWidth="1"/>
    <col min="10513" max="10513" width="29" style="185" customWidth="1"/>
    <col min="10514" max="10753" width="8.875" style="185" customWidth="1"/>
    <col min="10754" max="10754" width="17.875" style="185" customWidth="1"/>
    <col min="10755" max="10757" width="8.875" style="185" customWidth="1"/>
    <col min="10758" max="10758" width="20.5" style="185" customWidth="1"/>
    <col min="10759" max="10759" width="15.125" style="185" customWidth="1"/>
    <col min="10760" max="10760" width="8.875" style="185" customWidth="1"/>
    <col min="10761" max="10761" width="15.375" style="185" customWidth="1"/>
    <col min="10762" max="10765" width="8.875" style="185" customWidth="1"/>
    <col min="10766" max="10766" width="15" style="185" customWidth="1"/>
    <col min="10767" max="10767" width="8.875" style="185" customWidth="1"/>
    <col min="10768" max="10768" width="15.5" style="185" customWidth="1"/>
    <col min="10769" max="10769" width="29" style="185" customWidth="1"/>
    <col min="10770" max="11009" width="8.875" style="185" customWidth="1"/>
    <col min="11010" max="11010" width="17.875" style="185" customWidth="1"/>
    <col min="11011" max="11013" width="8.875" style="185" customWidth="1"/>
    <col min="11014" max="11014" width="20.5" style="185" customWidth="1"/>
    <col min="11015" max="11015" width="15.125" style="185" customWidth="1"/>
    <col min="11016" max="11016" width="8.875" style="185" customWidth="1"/>
    <col min="11017" max="11017" width="15.375" style="185" customWidth="1"/>
    <col min="11018" max="11021" width="8.875" style="185" customWidth="1"/>
    <col min="11022" max="11022" width="15" style="185" customWidth="1"/>
    <col min="11023" max="11023" width="8.875" style="185" customWidth="1"/>
    <col min="11024" max="11024" width="15.5" style="185" customWidth="1"/>
    <col min="11025" max="11025" width="29" style="185" customWidth="1"/>
    <col min="11026" max="11265" width="8.875" style="185" customWidth="1"/>
    <col min="11266" max="11266" width="17.875" style="185" customWidth="1"/>
    <col min="11267" max="11269" width="8.875" style="185" customWidth="1"/>
    <col min="11270" max="11270" width="20.5" style="185" customWidth="1"/>
    <col min="11271" max="11271" width="15.125" style="185" customWidth="1"/>
    <col min="11272" max="11272" width="8.875" style="185" customWidth="1"/>
    <col min="11273" max="11273" width="15.375" style="185" customWidth="1"/>
    <col min="11274" max="11277" width="8.875" style="185" customWidth="1"/>
    <col min="11278" max="11278" width="15" style="185" customWidth="1"/>
    <col min="11279" max="11279" width="8.875" style="185" customWidth="1"/>
    <col min="11280" max="11280" width="15.5" style="185" customWidth="1"/>
    <col min="11281" max="11281" width="29" style="185" customWidth="1"/>
    <col min="11282" max="11521" width="8.875" style="185" customWidth="1"/>
    <col min="11522" max="11522" width="17.875" style="185" customWidth="1"/>
    <col min="11523" max="11525" width="8.875" style="185" customWidth="1"/>
    <col min="11526" max="11526" width="20.5" style="185" customWidth="1"/>
    <col min="11527" max="11527" width="15.125" style="185" customWidth="1"/>
    <col min="11528" max="11528" width="8.875" style="185" customWidth="1"/>
    <col min="11529" max="11529" width="15.375" style="185" customWidth="1"/>
    <col min="11530" max="11533" width="8.875" style="185" customWidth="1"/>
    <col min="11534" max="11534" width="15" style="185" customWidth="1"/>
    <col min="11535" max="11535" width="8.875" style="185" customWidth="1"/>
    <col min="11536" max="11536" width="15.5" style="185" customWidth="1"/>
    <col min="11537" max="11537" width="29" style="185" customWidth="1"/>
    <col min="11538" max="11777" width="8.875" style="185" customWidth="1"/>
    <col min="11778" max="11778" width="17.875" style="185" customWidth="1"/>
    <col min="11779" max="11781" width="8.875" style="185" customWidth="1"/>
    <col min="11782" max="11782" width="20.5" style="185" customWidth="1"/>
    <col min="11783" max="11783" width="15.125" style="185" customWidth="1"/>
    <col min="11784" max="11784" width="8.875" style="185" customWidth="1"/>
    <col min="11785" max="11785" width="15.375" style="185" customWidth="1"/>
    <col min="11786" max="11789" width="8.875" style="185" customWidth="1"/>
    <col min="11790" max="11790" width="15" style="185" customWidth="1"/>
    <col min="11791" max="11791" width="8.875" style="185" customWidth="1"/>
    <col min="11792" max="11792" width="15.5" style="185" customWidth="1"/>
    <col min="11793" max="11793" width="29" style="185" customWidth="1"/>
    <col min="11794" max="12033" width="8.875" style="185" customWidth="1"/>
    <col min="12034" max="12034" width="17.875" style="185" customWidth="1"/>
    <col min="12035" max="12037" width="8.875" style="185" customWidth="1"/>
    <col min="12038" max="12038" width="20.5" style="185" customWidth="1"/>
    <col min="12039" max="12039" width="15.125" style="185" customWidth="1"/>
    <col min="12040" max="12040" width="8.875" style="185" customWidth="1"/>
    <col min="12041" max="12041" width="15.375" style="185" customWidth="1"/>
    <col min="12042" max="12045" width="8.875" style="185" customWidth="1"/>
    <col min="12046" max="12046" width="15" style="185" customWidth="1"/>
    <col min="12047" max="12047" width="8.875" style="185" customWidth="1"/>
    <col min="12048" max="12048" width="15.5" style="185" customWidth="1"/>
    <col min="12049" max="12049" width="29" style="185" customWidth="1"/>
    <col min="12050" max="12289" width="8.875" style="185" customWidth="1"/>
    <col min="12290" max="12290" width="17.875" style="185" customWidth="1"/>
    <col min="12291" max="12293" width="8.875" style="185" customWidth="1"/>
    <col min="12294" max="12294" width="20.5" style="185" customWidth="1"/>
    <col min="12295" max="12295" width="15.125" style="185" customWidth="1"/>
    <col min="12296" max="12296" width="8.875" style="185" customWidth="1"/>
    <col min="12297" max="12297" width="15.375" style="185" customWidth="1"/>
    <col min="12298" max="12301" width="8.875" style="185" customWidth="1"/>
    <col min="12302" max="12302" width="15" style="185" customWidth="1"/>
    <col min="12303" max="12303" width="8.875" style="185" customWidth="1"/>
    <col min="12304" max="12304" width="15.5" style="185" customWidth="1"/>
    <col min="12305" max="12305" width="29" style="185" customWidth="1"/>
    <col min="12306" max="12545" width="8.875" style="185" customWidth="1"/>
    <col min="12546" max="12546" width="17.875" style="185" customWidth="1"/>
    <col min="12547" max="12549" width="8.875" style="185" customWidth="1"/>
    <col min="12550" max="12550" width="20.5" style="185" customWidth="1"/>
    <col min="12551" max="12551" width="15.125" style="185" customWidth="1"/>
    <col min="12552" max="12552" width="8.875" style="185" customWidth="1"/>
    <col min="12553" max="12553" width="15.375" style="185" customWidth="1"/>
    <col min="12554" max="12557" width="8.875" style="185" customWidth="1"/>
    <col min="12558" max="12558" width="15" style="185" customWidth="1"/>
    <col min="12559" max="12559" width="8.875" style="185" customWidth="1"/>
    <col min="12560" max="12560" width="15.5" style="185" customWidth="1"/>
    <col min="12561" max="12561" width="29" style="185" customWidth="1"/>
    <col min="12562" max="12801" width="8.875" style="185" customWidth="1"/>
    <col min="12802" max="12802" width="17.875" style="185" customWidth="1"/>
    <col min="12803" max="12805" width="8.875" style="185" customWidth="1"/>
    <col min="12806" max="12806" width="20.5" style="185" customWidth="1"/>
    <col min="12807" max="12807" width="15.125" style="185" customWidth="1"/>
    <col min="12808" max="12808" width="8.875" style="185" customWidth="1"/>
    <col min="12809" max="12809" width="15.375" style="185" customWidth="1"/>
    <col min="12810" max="12813" width="8.875" style="185" customWidth="1"/>
    <col min="12814" max="12814" width="15" style="185" customWidth="1"/>
    <col min="12815" max="12815" width="8.875" style="185" customWidth="1"/>
    <col min="12816" max="12816" width="15.5" style="185" customWidth="1"/>
    <col min="12817" max="12817" width="29" style="185" customWidth="1"/>
    <col min="12818" max="13057" width="8.875" style="185" customWidth="1"/>
    <col min="13058" max="13058" width="17.875" style="185" customWidth="1"/>
    <col min="13059" max="13061" width="8.875" style="185" customWidth="1"/>
    <col min="13062" max="13062" width="20.5" style="185" customWidth="1"/>
    <col min="13063" max="13063" width="15.125" style="185" customWidth="1"/>
    <col min="13064" max="13064" width="8.875" style="185" customWidth="1"/>
    <col min="13065" max="13065" width="15.375" style="185" customWidth="1"/>
    <col min="13066" max="13069" width="8.875" style="185" customWidth="1"/>
    <col min="13070" max="13070" width="15" style="185" customWidth="1"/>
    <col min="13071" max="13071" width="8.875" style="185" customWidth="1"/>
    <col min="13072" max="13072" width="15.5" style="185" customWidth="1"/>
    <col min="13073" max="13073" width="29" style="185" customWidth="1"/>
    <col min="13074" max="13313" width="8.875" style="185" customWidth="1"/>
    <col min="13314" max="13314" width="17.875" style="185" customWidth="1"/>
    <col min="13315" max="13317" width="8.875" style="185" customWidth="1"/>
    <col min="13318" max="13318" width="20.5" style="185" customWidth="1"/>
    <col min="13319" max="13319" width="15.125" style="185" customWidth="1"/>
    <col min="13320" max="13320" width="8.875" style="185" customWidth="1"/>
    <col min="13321" max="13321" width="15.375" style="185" customWidth="1"/>
    <col min="13322" max="13325" width="8.875" style="185" customWidth="1"/>
    <col min="13326" max="13326" width="15" style="185" customWidth="1"/>
    <col min="13327" max="13327" width="8.875" style="185" customWidth="1"/>
    <col min="13328" max="13328" width="15.5" style="185" customWidth="1"/>
    <col min="13329" max="13329" width="29" style="185" customWidth="1"/>
    <col min="13330" max="13569" width="8.875" style="185" customWidth="1"/>
    <col min="13570" max="13570" width="17.875" style="185" customWidth="1"/>
    <col min="13571" max="13573" width="8.875" style="185" customWidth="1"/>
    <col min="13574" max="13574" width="20.5" style="185" customWidth="1"/>
    <col min="13575" max="13575" width="15.125" style="185" customWidth="1"/>
    <col min="13576" max="13576" width="8.875" style="185" customWidth="1"/>
    <col min="13577" max="13577" width="15.375" style="185" customWidth="1"/>
    <col min="13578" max="13581" width="8.875" style="185" customWidth="1"/>
    <col min="13582" max="13582" width="15" style="185" customWidth="1"/>
    <col min="13583" max="13583" width="8.875" style="185" customWidth="1"/>
    <col min="13584" max="13584" width="15.5" style="185" customWidth="1"/>
    <col min="13585" max="13585" width="29" style="185" customWidth="1"/>
    <col min="13586" max="13825" width="8.875" style="185" customWidth="1"/>
    <col min="13826" max="13826" width="17.875" style="185" customWidth="1"/>
    <col min="13827" max="13829" width="8.875" style="185" customWidth="1"/>
    <col min="13830" max="13830" width="20.5" style="185" customWidth="1"/>
    <col min="13831" max="13831" width="15.125" style="185" customWidth="1"/>
    <col min="13832" max="13832" width="8.875" style="185" customWidth="1"/>
    <col min="13833" max="13833" width="15.375" style="185" customWidth="1"/>
    <col min="13834" max="13837" width="8.875" style="185" customWidth="1"/>
    <col min="13838" max="13838" width="15" style="185" customWidth="1"/>
    <col min="13839" max="13839" width="8.875" style="185" customWidth="1"/>
    <col min="13840" max="13840" width="15.5" style="185" customWidth="1"/>
    <col min="13841" max="13841" width="29" style="185" customWidth="1"/>
    <col min="13842" max="14081" width="8.875" style="185" customWidth="1"/>
    <col min="14082" max="14082" width="17.875" style="185" customWidth="1"/>
    <col min="14083" max="14085" width="8.875" style="185" customWidth="1"/>
    <col min="14086" max="14086" width="20.5" style="185" customWidth="1"/>
    <col min="14087" max="14087" width="15.125" style="185" customWidth="1"/>
    <col min="14088" max="14088" width="8.875" style="185" customWidth="1"/>
    <col min="14089" max="14089" width="15.375" style="185" customWidth="1"/>
    <col min="14090" max="14093" width="8.875" style="185" customWidth="1"/>
    <col min="14094" max="14094" width="15" style="185" customWidth="1"/>
    <col min="14095" max="14095" width="8.875" style="185" customWidth="1"/>
    <col min="14096" max="14096" width="15.5" style="185" customWidth="1"/>
    <col min="14097" max="14097" width="29" style="185" customWidth="1"/>
    <col min="14098" max="14337" width="8.875" style="185" customWidth="1"/>
    <col min="14338" max="14338" width="17.875" style="185" customWidth="1"/>
    <col min="14339" max="14341" width="8.875" style="185" customWidth="1"/>
    <col min="14342" max="14342" width="20.5" style="185" customWidth="1"/>
    <col min="14343" max="14343" width="15.125" style="185" customWidth="1"/>
    <col min="14344" max="14344" width="8.875" style="185" customWidth="1"/>
    <col min="14345" max="14345" width="15.375" style="185" customWidth="1"/>
    <col min="14346" max="14349" width="8.875" style="185" customWidth="1"/>
    <col min="14350" max="14350" width="15" style="185" customWidth="1"/>
    <col min="14351" max="14351" width="8.875" style="185" customWidth="1"/>
    <col min="14352" max="14352" width="15.5" style="185" customWidth="1"/>
    <col min="14353" max="14353" width="29" style="185" customWidth="1"/>
    <col min="14354" max="14593" width="8.875" style="185" customWidth="1"/>
    <col min="14594" max="14594" width="17.875" style="185" customWidth="1"/>
    <col min="14595" max="14597" width="8.875" style="185" customWidth="1"/>
    <col min="14598" max="14598" width="20.5" style="185" customWidth="1"/>
    <col min="14599" max="14599" width="15.125" style="185" customWidth="1"/>
    <col min="14600" max="14600" width="8.875" style="185" customWidth="1"/>
    <col min="14601" max="14601" width="15.375" style="185" customWidth="1"/>
    <col min="14602" max="14605" width="8.875" style="185" customWidth="1"/>
    <col min="14606" max="14606" width="15" style="185" customWidth="1"/>
    <col min="14607" max="14607" width="8.875" style="185" customWidth="1"/>
    <col min="14608" max="14608" width="15.5" style="185" customWidth="1"/>
    <col min="14609" max="14609" width="29" style="185" customWidth="1"/>
    <col min="14610" max="14849" width="8.875" style="185" customWidth="1"/>
    <col min="14850" max="14850" width="17.875" style="185" customWidth="1"/>
    <col min="14851" max="14853" width="8.875" style="185" customWidth="1"/>
    <col min="14854" max="14854" width="20.5" style="185" customWidth="1"/>
    <col min="14855" max="14855" width="15.125" style="185" customWidth="1"/>
    <col min="14856" max="14856" width="8.875" style="185" customWidth="1"/>
    <col min="14857" max="14857" width="15.375" style="185" customWidth="1"/>
    <col min="14858" max="14861" width="8.875" style="185" customWidth="1"/>
    <col min="14862" max="14862" width="15" style="185" customWidth="1"/>
    <col min="14863" max="14863" width="8.875" style="185" customWidth="1"/>
    <col min="14864" max="14864" width="15.5" style="185" customWidth="1"/>
    <col min="14865" max="14865" width="29" style="185" customWidth="1"/>
    <col min="14866" max="15105" width="8.875" style="185" customWidth="1"/>
    <col min="15106" max="15106" width="17.875" style="185" customWidth="1"/>
    <col min="15107" max="15109" width="8.875" style="185" customWidth="1"/>
    <col min="15110" max="15110" width="20.5" style="185" customWidth="1"/>
    <col min="15111" max="15111" width="15.125" style="185" customWidth="1"/>
    <col min="15112" max="15112" width="8.875" style="185" customWidth="1"/>
    <col min="15113" max="15113" width="15.375" style="185" customWidth="1"/>
    <col min="15114" max="15117" width="8.875" style="185" customWidth="1"/>
    <col min="15118" max="15118" width="15" style="185" customWidth="1"/>
    <col min="15119" max="15119" width="8.875" style="185" customWidth="1"/>
    <col min="15120" max="15120" width="15.5" style="185" customWidth="1"/>
    <col min="15121" max="15121" width="29" style="185" customWidth="1"/>
    <col min="15122" max="15361" width="8.875" style="185" customWidth="1"/>
    <col min="15362" max="15362" width="17.875" style="185" customWidth="1"/>
    <col min="15363" max="15365" width="8.875" style="185" customWidth="1"/>
    <col min="15366" max="15366" width="20.5" style="185" customWidth="1"/>
    <col min="15367" max="15367" width="15.125" style="185" customWidth="1"/>
    <col min="15368" max="15368" width="8.875" style="185" customWidth="1"/>
    <col min="15369" max="15369" width="15.375" style="185" customWidth="1"/>
    <col min="15370" max="15373" width="8.875" style="185" customWidth="1"/>
    <col min="15374" max="15374" width="15" style="185" customWidth="1"/>
    <col min="15375" max="15375" width="8.875" style="185" customWidth="1"/>
    <col min="15376" max="15376" width="15.5" style="185" customWidth="1"/>
    <col min="15377" max="15377" width="29" style="185" customWidth="1"/>
    <col min="15378" max="15617" width="8.875" style="185" customWidth="1"/>
    <col min="15618" max="15618" width="17.875" style="185" customWidth="1"/>
    <col min="15619" max="15621" width="8.875" style="185" customWidth="1"/>
    <col min="15622" max="15622" width="20.5" style="185" customWidth="1"/>
    <col min="15623" max="15623" width="15.125" style="185" customWidth="1"/>
    <col min="15624" max="15624" width="8.875" style="185" customWidth="1"/>
    <col min="15625" max="15625" width="15.375" style="185" customWidth="1"/>
    <col min="15626" max="15629" width="8.875" style="185" customWidth="1"/>
    <col min="15630" max="15630" width="15" style="185" customWidth="1"/>
    <col min="15631" max="15631" width="8.875" style="185" customWidth="1"/>
    <col min="15632" max="15632" width="15.5" style="185" customWidth="1"/>
    <col min="15633" max="15633" width="29" style="185" customWidth="1"/>
    <col min="15634" max="15873" width="8.875" style="185" customWidth="1"/>
    <col min="15874" max="15874" width="17.875" style="185" customWidth="1"/>
    <col min="15875" max="15877" width="8.875" style="185" customWidth="1"/>
    <col min="15878" max="15878" width="20.5" style="185" customWidth="1"/>
    <col min="15879" max="15879" width="15.125" style="185" customWidth="1"/>
    <col min="15880" max="15880" width="8.875" style="185" customWidth="1"/>
    <col min="15881" max="15881" width="15.375" style="185" customWidth="1"/>
    <col min="15882" max="15885" width="8.875" style="185" customWidth="1"/>
    <col min="15886" max="15886" width="15" style="185" customWidth="1"/>
    <col min="15887" max="15887" width="8.875" style="185" customWidth="1"/>
    <col min="15888" max="15888" width="15.5" style="185" customWidth="1"/>
    <col min="15889" max="15889" width="29" style="185" customWidth="1"/>
    <col min="15890" max="16129" width="8.875" style="185" customWidth="1"/>
    <col min="16130" max="16130" width="17.875" style="185" customWidth="1"/>
    <col min="16131" max="16133" width="8.875" style="185" customWidth="1"/>
    <col min="16134" max="16134" width="20.5" style="185" customWidth="1"/>
    <col min="16135" max="16135" width="15.125" style="185" customWidth="1"/>
    <col min="16136" max="16136" width="8.875" style="185" customWidth="1"/>
    <col min="16137" max="16137" width="15.375" style="185" customWidth="1"/>
    <col min="16138" max="16141" width="8.875" style="185" customWidth="1"/>
    <col min="16142" max="16142" width="15" style="185" customWidth="1"/>
    <col min="16143" max="16143" width="8.875" style="185" customWidth="1"/>
    <col min="16144" max="16144" width="15.5" style="185" customWidth="1"/>
    <col min="16145" max="16145" width="29" style="185" customWidth="1"/>
    <col min="16146" max="16384" width="8.875" style="185" customWidth="1"/>
  </cols>
  <sheetData>
    <row r="1" spans="1:17" ht="15.75" hidden="1" x14ac:dyDescent="0.25">
      <c r="A1" s="1753" t="s">
        <v>411</v>
      </c>
      <c r="B1" s="1753"/>
      <c r="C1" s="1753"/>
      <c r="D1" s="1753"/>
      <c r="E1" s="1753"/>
      <c r="F1" s="1753"/>
      <c r="G1" s="1753"/>
      <c r="H1" s="1753"/>
      <c r="I1" s="1753"/>
      <c r="J1" s="1753"/>
      <c r="K1" s="1753"/>
      <c r="L1" s="1753"/>
      <c r="M1" s="1753"/>
      <c r="N1" s="1753"/>
      <c r="O1" s="1753"/>
      <c r="P1" s="1753"/>
      <c r="Q1" s="1753"/>
    </row>
    <row r="2" spans="1:17" ht="15.75" hidden="1" x14ac:dyDescent="0.25">
      <c r="A2" s="1753" t="s">
        <v>412</v>
      </c>
      <c r="B2" s="1753"/>
      <c r="C2" s="1753"/>
      <c r="D2" s="1753"/>
      <c r="E2" s="1753"/>
      <c r="F2" s="1753"/>
      <c r="G2" s="1753"/>
      <c r="H2" s="1753"/>
      <c r="I2" s="1753"/>
      <c r="J2" s="1753"/>
      <c r="K2" s="1753"/>
      <c r="L2" s="1753"/>
      <c r="M2" s="1753"/>
      <c r="N2" s="1753"/>
      <c r="O2" s="1753"/>
      <c r="P2" s="1753"/>
      <c r="Q2" s="1753"/>
    </row>
    <row r="3" spans="1:17" ht="15.75" hidden="1" x14ac:dyDescent="0.25">
      <c r="A3" s="1760" t="s">
        <v>413</v>
      </c>
      <c r="B3" s="1760"/>
      <c r="C3" s="1760"/>
      <c r="D3" s="1760"/>
      <c r="E3" s="1760"/>
      <c r="F3" s="1760"/>
      <c r="G3" s="1760"/>
      <c r="H3" s="1760"/>
      <c r="I3" s="1760"/>
      <c r="J3" s="1760"/>
      <c r="K3" s="1760"/>
      <c r="L3" s="1760"/>
      <c r="M3" s="1760"/>
      <c r="N3" s="1760"/>
      <c r="O3" s="1760"/>
      <c r="P3" s="1760"/>
      <c r="Q3" s="1760"/>
    </row>
    <row r="4" spans="1:17" ht="15.75" hidden="1" x14ac:dyDescent="0.25">
      <c r="A4" s="1753" t="s">
        <v>950</v>
      </c>
      <c r="B4" s="1753"/>
      <c r="C4" s="1753"/>
      <c r="D4" s="1753"/>
      <c r="E4" s="1753"/>
      <c r="F4" s="1753"/>
      <c r="G4" s="1753"/>
      <c r="H4" s="1753"/>
      <c r="I4" s="1753"/>
      <c r="J4" s="1753"/>
      <c r="K4" s="1753"/>
      <c r="L4" s="1753"/>
      <c r="M4" s="1753"/>
      <c r="N4" s="1753"/>
      <c r="O4" s="1753"/>
      <c r="P4" s="1753"/>
      <c r="Q4" s="1753"/>
    </row>
    <row r="5" spans="1:17" ht="15.75" hidden="1" x14ac:dyDescent="0.25">
      <c r="A5" s="1753" t="s">
        <v>951</v>
      </c>
      <c r="B5" s="1753"/>
      <c r="C5" s="1753"/>
      <c r="D5" s="1753"/>
      <c r="E5" s="1753"/>
      <c r="F5" s="1753"/>
      <c r="G5" s="1753"/>
      <c r="H5" s="1753"/>
      <c r="I5" s="1753"/>
      <c r="J5" s="1753"/>
      <c r="K5" s="1753"/>
      <c r="L5" s="1753"/>
      <c r="M5" s="1753"/>
      <c r="N5" s="1753"/>
      <c r="O5" s="1753"/>
      <c r="P5" s="1753"/>
      <c r="Q5" s="1753"/>
    </row>
    <row r="6" spans="1:17" ht="15.75" hidden="1" x14ac:dyDescent="0.25">
      <c r="A6" s="1753" t="s">
        <v>952</v>
      </c>
      <c r="B6" s="1753"/>
      <c r="C6" s="1753"/>
      <c r="D6" s="1753"/>
      <c r="E6" s="1753"/>
      <c r="F6" s="1753"/>
      <c r="G6" s="1753"/>
      <c r="H6" s="1753"/>
      <c r="I6" s="1753"/>
      <c r="J6" s="1753"/>
      <c r="K6" s="1753"/>
      <c r="L6" s="1753"/>
      <c r="M6" s="1753"/>
      <c r="N6" s="1753"/>
      <c r="O6" s="1753"/>
      <c r="P6" s="1753"/>
      <c r="Q6" s="1753"/>
    </row>
    <row r="7" spans="1:17" ht="15.75" hidden="1" x14ac:dyDescent="0.25">
      <c r="A7" s="1753"/>
      <c r="B7" s="1753"/>
      <c r="C7" s="1753"/>
      <c r="D7" s="1753"/>
      <c r="E7" s="1753"/>
      <c r="F7" s="1753"/>
      <c r="G7" s="1753"/>
      <c r="H7" s="1753"/>
      <c r="I7" s="1753"/>
      <c r="J7" s="1753"/>
      <c r="K7" s="1753"/>
      <c r="L7" s="1753"/>
      <c r="M7" s="1753"/>
      <c r="N7" s="1753"/>
      <c r="O7" s="1753"/>
      <c r="P7" s="1753"/>
      <c r="Q7" s="1753"/>
    </row>
    <row r="8" spans="1:17" ht="15.75" hidden="1" x14ac:dyDescent="0.25">
      <c r="A8" s="1178" t="s">
        <v>417</v>
      </c>
      <c r="B8" s="1179"/>
      <c r="C8" s="1179"/>
      <c r="D8" s="1179"/>
      <c r="E8" s="1180"/>
      <c r="F8" s="1179"/>
      <c r="G8" s="1179"/>
      <c r="H8" s="1179"/>
      <c r="I8" s="1179"/>
      <c r="J8" s="1179"/>
      <c r="K8" s="1181"/>
      <c r="L8" s="1182" t="s">
        <v>418</v>
      </c>
      <c r="M8" s="1183"/>
      <c r="N8" s="1183"/>
      <c r="O8" s="1183"/>
      <c r="P8" s="1183"/>
      <c r="Q8" s="1183"/>
    </row>
    <row r="9" spans="1:17" ht="15.75" hidden="1" x14ac:dyDescent="0.25">
      <c r="A9" s="1184" t="s">
        <v>420</v>
      </c>
      <c r="B9" s="1185"/>
      <c r="C9" s="1185"/>
      <c r="D9" s="1185"/>
      <c r="E9" s="1186"/>
      <c r="F9" s="1185"/>
      <c r="G9" s="1185"/>
      <c r="H9" s="1185"/>
      <c r="I9" s="1185"/>
      <c r="J9" s="1185"/>
      <c r="K9" s="1187"/>
      <c r="L9" s="1188" t="s">
        <v>421</v>
      </c>
      <c r="M9" s="1179"/>
      <c r="N9" s="1188"/>
      <c r="O9" s="1179" t="s">
        <v>422</v>
      </c>
      <c r="P9" s="1179"/>
      <c r="Q9" s="1181"/>
    </row>
    <row r="10" spans="1:17" ht="15.75" hidden="1" x14ac:dyDescent="0.25">
      <c r="A10" s="1184"/>
      <c r="B10" s="1185"/>
      <c r="C10" s="1185"/>
      <c r="D10" s="1185"/>
      <c r="E10" s="1186"/>
      <c r="F10" s="1185"/>
      <c r="G10" s="1185"/>
      <c r="H10" s="1185"/>
      <c r="I10" s="1185"/>
      <c r="J10" s="1185"/>
      <c r="K10" s="1187"/>
      <c r="L10" s="1184"/>
      <c r="M10" s="1185" t="s">
        <v>953</v>
      </c>
      <c r="N10" s="1184"/>
      <c r="O10" s="1185" t="s">
        <v>760</v>
      </c>
      <c r="P10" s="1185"/>
      <c r="Q10" s="1187"/>
    </row>
    <row r="11" spans="1:17" ht="15.75" hidden="1" x14ac:dyDescent="0.25">
      <c r="A11" s="1184"/>
      <c r="B11" s="1185"/>
      <c r="C11" s="1185"/>
      <c r="D11" s="1185"/>
      <c r="E11" s="1186"/>
      <c r="F11" s="1185"/>
      <c r="G11" s="1185"/>
      <c r="H11" s="1185"/>
      <c r="I11" s="1185"/>
      <c r="J11" s="1185"/>
      <c r="K11" s="1187"/>
      <c r="L11" s="1184"/>
      <c r="M11" s="1185" t="s">
        <v>954</v>
      </c>
      <c r="N11" s="1184"/>
      <c r="O11" s="1185" t="s">
        <v>762</v>
      </c>
      <c r="P11" s="1185"/>
      <c r="Q11" s="1187"/>
    </row>
    <row r="12" spans="1:17" ht="15.75" hidden="1" x14ac:dyDescent="0.25">
      <c r="A12" s="1189"/>
      <c r="B12" s="1190"/>
      <c r="C12" s="1190"/>
      <c r="D12" s="1190"/>
      <c r="E12" s="1191"/>
      <c r="F12" s="1190"/>
      <c r="G12" s="1190"/>
      <c r="H12" s="1190"/>
      <c r="I12" s="1190"/>
      <c r="J12" s="1190"/>
      <c r="K12" s="1192"/>
      <c r="L12" s="1193"/>
      <c r="M12" s="1190" t="s">
        <v>955</v>
      </c>
      <c r="N12" s="1189"/>
      <c r="O12" s="1190" t="s">
        <v>901</v>
      </c>
      <c r="P12" s="1190"/>
      <c r="Q12" s="1192"/>
    </row>
    <row r="13" spans="1:17" ht="15.75" x14ac:dyDescent="0.25">
      <c r="A13" s="1182" t="s">
        <v>430</v>
      </c>
      <c r="B13" s="1183"/>
      <c r="C13" s="1183"/>
      <c r="D13" s="1183"/>
      <c r="E13" s="1194"/>
      <c r="F13" s="1183"/>
      <c r="G13" s="1183"/>
      <c r="H13" s="1183"/>
      <c r="I13" s="1183"/>
      <c r="J13" s="1183"/>
      <c r="K13" s="1183"/>
      <c r="L13" s="1183"/>
      <c r="M13" s="1183"/>
      <c r="N13" s="1183"/>
      <c r="O13" s="1183"/>
      <c r="P13" s="1183"/>
      <c r="Q13" s="1183"/>
    </row>
    <row r="14" spans="1:17" ht="15.75" x14ac:dyDescent="0.25">
      <c r="A14" s="1748" t="s">
        <v>431</v>
      </c>
      <c r="B14" s="1749" t="s">
        <v>432</v>
      </c>
      <c r="C14" s="1748" t="s">
        <v>668</v>
      </c>
      <c r="D14" s="1748" t="s">
        <v>434</v>
      </c>
      <c r="E14" s="1754" t="s">
        <v>435</v>
      </c>
      <c r="F14" s="1748" t="s">
        <v>436</v>
      </c>
      <c r="G14" s="1748" t="s">
        <v>956</v>
      </c>
      <c r="H14" s="1748"/>
      <c r="I14" s="1748"/>
      <c r="J14" s="1755" t="s">
        <v>438</v>
      </c>
      <c r="K14" s="1756"/>
      <c r="L14" s="1757" t="s">
        <v>439</v>
      </c>
      <c r="M14" s="1748" t="s">
        <v>957</v>
      </c>
      <c r="N14" s="1749" t="s">
        <v>440</v>
      </c>
      <c r="O14" s="1749"/>
      <c r="P14" s="1749"/>
      <c r="Q14" s="1749"/>
    </row>
    <row r="15" spans="1:17" ht="15.75" x14ac:dyDescent="0.25">
      <c r="A15" s="1748"/>
      <c r="B15" s="1749"/>
      <c r="C15" s="1748"/>
      <c r="D15" s="1748"/>
      <c r="E15" s="1754"/>
      <c r="F15" s="1748"/>
      <c r="G15" s="1749" t="s">
        <v>447</v>
      </c>
      <c r="H15" s="1748" t="s">
        <v>448</v>
      </c>
      <c r="I15" s="1748" t="s">
        <v>449</v>
      </c>
      <c r="J15" s="1748" t="s">
        <v>441</v>
      </c>
      <c r="K15" s="1748" t="s">
        <v>442</v>
      </c>
      <c r="L15" s="1758"/>
      <c r="M15" s="1748"/>
      <c r="N15" s="1748" t="s">
        <v>450</v>
      </c>
      <c r="O15" s="1749" t="s">
        <v>958</v>
      </c>
      <c r="P15" s="1749"/>
      <c r="Q15" s="1749" t="s">
        <v>865</v>
      </c>
    </row>
    <row r="16" spans="1:17" ht="47.25" x14ac:dyDescent="0.25">
      <c r="A16" s="1748"/>
      <c r="B16" s="1749"/>
      <c r="C16" s="1748"/>
      <c r="D16" s="1748"/>
      <c r="E16" s="1754"/>
      <c r="F16" s="1748"/>
      <c r="G16" s="1749"/>
      <c r="H16" s="1748"/>
      <c r="I16" s="1748"/>
      <c r="J16" s="1748"/>
      <c r="K16" s="1748"/>
      <c r="L16" s="1759"/>
      <c r="M16" s="1748"/>
      <c r="N16" s="1748"/>
      <c r="O16" s="1540" t="s">
        <v>959</v>
      </c>
      <c r="P16" s="1540" t="s">
        <v>960</v>
      </c>
      <c r="Q16" s="1749"/>
    </row>
    <row r="17" spans="1:17" ht="15.75" x14ac:dyDescent="0.25">
      <c r="A17" s="1195"/>
      <c r="B17" s="1195">
        <v>1</v>
      </c>
      <c r="C17" s="1195">
        <v>2</v>
      </c>
      <c r="D17" s="1195">
        <v>3</v>
      </c>
      <c r="E17" s="1195">
        <v>4</v>
      </c>
      <c r="F17" s="1195">
        <v>5</v>
      </c>
      <c r="G17" s="1195">
        <v>6</v>
      </c>
      <c r="H17" s="1195">
        <v>7</v>
      </c>
      <c r="I17" s="1195">
        <v>8</v>
      </c>
      <c r="J17" s="1195">
        <v>9</v>
      </c>
      <c r="K17" s="1195">
        <v>10</v>
      </c>
      <c r="L17" s="1195">
        <v>11</v>
      </c>
      <c r="M17" s="1195">
        <v>12</v>
      </c>
      <c r="N17" s="1195">
        <v>13</v>
      </c>
      <c r="O17" s="1195">
        <v>14</v>
      </c>
      <c r="P17" s="1195">
        <v>15</v>
      </c>
      <c r="Q17" s="1195">
        <v>16</v>
      </c>
    </row>
    <row r="18" spans="1:17" ht="15.75" x14ac:dyDescent="0.25">
      <c r="A18" s="1196"/>
      <c r="B18" s="1197" t="s">
        <v>470</v>
      </c>
      <c r="C18" s="1196"/>
      <c r="D18" s="1198">
        <f>SUM(D163+D280+D339+D350)</f>
        <v>0</v>
      </c>
      <c r="E18" s="1198">
        <f>SUM(E19+E206+E163)</f>
        <v>0</v>
      </c>
      <c r="F18" s="1198"/>
      <c r="G18" s="1198">
        <f>SUM(H18:I18)</f>
        <v>64031.75</v>
      </c>
      <c r="H18" s="1198">
        <f>H19+H142+H206+H163</f>
        <v>2214.67</v>
      </c>
      <c r="I18" s="1198">
        <f>I19+I142+I206+I163</f>
        <v>61817.08</v>
      </c>
      <c r="J18" s="1198"/>
      <c r="K18" s="1198"/>
      <c r="L18" s="1198"/>
      <c r="M18" s="1198"/>
      <c r="N18" s="1198">
        <f>N19+N142+N206+N163</f>
        <v>48174.038492</v>
      </c>
      <c r="O18" s="1198"/>
      <c r="P18" s="1198"/>
      <c r="Q18" s="1198">
        <f>Q19+Q142+Q206+Q163</f>
        <v>1128630849.84512</v>
      </c>
    </row>
    <row r="19" spans="1:17" ht="15.75" x14ac:dyDescent="0.25">
      <c r="A19" s="1199"/>
      <c r="B19" s="1200" t="s">
        <v>271</v>
      </c>
      <c r="C19" s="1199"/>
      <c r="D19" s="1199"/>
      <c r="E19" s="1201">
        <f>E107</f>
        <v>0</v>
      </c>
      <c r="F19" s="1199"/>
      <c r="G19" s="1201">
        <f>SUM(H19:I19)</f>
        <v>33742.33</v>
      </c>
      <c r="H19" s="1201">
        <f>SUM(H20+H32+H52+H73+H83+H107)</f>
        <v>2204.9700000000003</v>
      </c>
      <c r="I19" s="1201">
        <f>SUM(I20+I32+I52+I73+I83+I107)</f>
        <v>31537.360000000001</v>
      </c>
      <c r="J19" s="1201"/>
      <c r="K19" s="1201"/>
      <c r="L19" s="1201"/>
      <c r="M19" s="1201"/>
      <c r="N19" s="1201">
        <f>SUM(N20+N32+N52+N73+N83+N107)</f>
        <v>20616.810239999999</v>
      </c>
      <c r="O19" s="1201"/>
      <c r="P19" s="1201"/>
      <c r="Q19" s="1201">
        <f>SUM(Q20+Q32+Q52+Q73+Q83+Q107)</f>
        <v>483463032.02560002</v>
      </c>
    </row>
    <row r="20" spans="1:17" ht="15.75" x14ac:dyDescent="0.25">
      <c r="A20" s="1202"/>
      <c r="B20" s="1203" t="s">
        <v>471</v>
      </c>
      <c r="C20" s="1202"/>
      <c r="D20" s="1202"/>
      <c r="E20" s="1204">
        <f>E22</f>
        <v>0</v>
      </c>
      <c r="F20" s="1202"/>
      <c r="G20" s="1204">
        <f>SUM(G22:G30)</f>
        <v>2096</v>
      </c>
      <c r="H20" s="1204">
        <f>SUM(H22:H30)</f>
        <v>0</v>
      </c>
      <c r="I20" s="1204">
        <f>SUM(I22:I30)</f>
        <v>2096</v>
      </c>
      <c r="J20" s="1204"/>
      <c r="K20" s="1204"/>
      <c r="L20" s="1204"/>
      <c r="M20" s="1204"/>
      <c r="N20" s="1204">
        <f>SUM(N22:N30)</f>
        <v>871.93600000000004</v>
      </c>
      <c r="O20" s="1204"/>
      <c r="P20" s="1204">
        <f>SUM(P22:P30)</f>
        <v>20438179.840000004</v>
      </c>
      <c r="Q20" s="1204">
        <f>SUM(Q22:Q30)</f>
        <v>20438179.840000004</v>
      </c>
    </row>
    <row r="21" spans="1:17" s="1264" customFormat="1" ht="15.75" x14ac:dyDescent="0.25">
      <c r="A21" s="1262"/>
      <c r="B21" s="1206" t="s">
        <v>610</v>
      </c>
      <c r="C21" s="1262"/>
      <c r="D21" s="1262"/>
      <c r="E21" s="1263"/>
      <c r="F21" s="1262"/>
      <c r="G21" s="1263">
        <f>SUM(G22:G23)</f>
        <v>172</v>
      </c>
      <c r="H21" s="1263">
        <f t="shared" ref="H21:Q21" si="0">SUM(H22:H23)</f>
        <v>0</v>
      </c>
      <c r="I21" s="1263">
        <f t="shared" si="0"/>
        <v>172</v>
      </c>
      <c r="J21" s="1263">
        <f t="shared" si="0"/>
        <v>8.32</v>
      </c>
      <c r="K21" s="1263">
        <f t="shared" si="0"/>
        <v>7.4880000000000004</v>
      </c>
      <c r="L21" s="1263">
        <f t="shared" si="0"/>
        <v>0.2</v>
      </c>
      <c r="M21" s="1263">
        <f t="shared" si="0"/>
        <v>0</v>
      </c>
      <c r="N21" s="1263">
        <f t="shared" si="0"/>
        <v>71.552000000000007</v>
      </c>
      <c r="O21" s="1263">
        <f t="shared" si="0"/>
        <v>0</v>
      </c>
      <c r="P21" s="1263">
        <f t="shared" si="0"/>
        <v>1677178.8800000006</v>
      </c>
      <c r="Q21" s="1263">
        <f t="shared" si="0"/>
        <v>1677178.8800000006</v>
      </c>
    </row>
    <row r="22" spans="1:17" ht="15.75" x14ac:dyDescent="0.25">
      <c r="A22" s="1205"/>
      <c r="C22" s="1206"/>
      <c r="D22" s="1195"/>
      <c r="E22" s="1207"/>
      <c r="F22" s="1206" t="s">
        <v>504</v>
      </c>
      <c r="G22" s="1195">
        <f>H22+I22</f>
        <v>170</v>
      </c>
      <c r="H22" s="1195">
        <v>0</v>
      </c>
      <c r="I22" s="1195">
        <v>170</v>
      </c>
      <c r="J22" s="1195">
        <v>4.16</v>
      </c>
      <c r="K22" s="1195">
        <f t="shared" ref="K22:K30" si="1">J22-(J22*L22)</f>
        <v>3.7440000000000002</v>
      </c>
      <c r="L22" s="1195">
        <v>0.1</v>
      </c>
      <c r="M22" s="1195"/>
      <c r="N22" s="1183">
        <f t="shared" ref="N22:N30" si="2">L22*J22*I22</f>
        <v>70.720000000000013</v>
      </c>
      <c r="O22" s="1195"/>
      <c r="P22" s="1183">
        <f t="shared" ref="P22:P30" si="3">N22*23.44*1000</f>
        <v>1657676.8000000005</v>
      </c>
      <c r="Q22" s="1183">
        <f t="shared" ref="Q22:Q30" si="4">SUM(O22:P22)</f>
        <v>1657676.8000000005</v>
      </c>
    </row>
    <row r="23" spans="1:17" ht="15.75" x14ac:dyDescent="0.25">
      <c r="A23" s="1205"/>
      <c r="B23" s="1208"/>
      <c r="C23" s="1205"/>
      <c r="D23" s="1205"/>
      <c r="E23" s="1209"/>
      <c r="F23" s="1206" t="s">
        <v>961</v>
      </c>
      <c r="G23" s="1195">
        <f>H23+I23</f>
        <v>2</v>
      </c>
      <c r="H23" s="1195">
        <v>0</v>
      </c>
      <c r="I23" s="1195">
        <v>2</v>
      </c>
      <c r="J23" s="1195">
        <v>4.16</v>
      </c>
      <c r="K23" s="1195">
        <f t="shared" si="1"/>
        <v>3.7440000000000002</v>
      </c>
      <c r="L23" s="1195">
        <v>0.1</v>
      </c>
      <c r="M23" s="1195"/>
      <c r="N23" s="1183">
        <f t="shared" si="2"/>
        <v>0.83200000000000007</v>
      </c>
      <c r="O23" s="1195"/>
      <c r="P23" s="1183">
        <f t="shared" si="3"/>
        <v>19502.080000000002</v>
      </c>
      <c r="Q23" s="1183">
        <f t="shared" si="4"/>
        <v>19502.080000000002</v>
      </c>
    </row>
    <row r="24" spans="1:17" ht="15.75" x14ac:dyDescent="0.25">
      <c r="A24" s="1205"/>
      <c r="B24" s="1206" t="s">
        <v>739</v>
      </c>
      <c r="C24" s="1205"/>
      <c r="D24" s="1205"/>
      <c r="E24" s="1209"/>
      <c r="F24" s="1206" t="s">
        <v>504</v>
      </c>
      <c r="G24" s="1195">
        <f>I24</f>
        <v>30</v>
      </c>
      <c r="H24" s="1195"/>
      <c r="I24" s="1195">
        <v>30</v>
      </c>
      <c r="J24" s="1195">
        <v>4.16</v>
      </c>
      <c r="K24" s="1195">
        <f t="shared" si="1"/>
        <v>3.7440000000000002</v>
      </c>
      <c r="L24" s="1195">
        <v>0.1</v>
      </c>
      <c r="M24" s="1195"/>
      <c r="N24" s="1183">
        <f t="shared" si="2"/>
        <v>12.48</v>
      </c>
      <c r="O24" s="1195"/>
      <c r="P24" s="1183">
        <f t="shared" si="3"/>
        <v>292531.20000000001</v>
      </c>
      <c r="Q24" s="1183">
        <f t="shared" si="4"/>
        <v>292531.20000000001</v>
      </c>
    </row>
    <row r="25" spans="1:17" ht="15.75" x14ac:dyDescent="0.25">
      <c r="A25" s="1205"/>
      <c r="B25" s="1206" t="s">
        <v>479</v>
      </c>
      <c r="C25" s="1206"/>
      <c r="D25" s="1195"/>
      <c r="E25" s="1207"/>
      <c r="F25" s="1206" t="s">
        <v>504</v>
      </c>
      <c r="G25" s="1195">
        <f t="shared" ref="G25:G30" si="5">H25+I25</f>
        <v>219</v>
      </c>
      <c r="H25" s="1195">
        <v>0</v>
      </c>
      <c r="I25" s="1195">
        <v>219</v>
      </c>
      <c r="J25" s="1195">
        <v>4.16</v>
      </c>
      <c r="K25" s="1195">
        <f t="shared" si="1"/>
        <v>3.7440000000000002</v>
      </c>
      <c r="L25" s="1195">
        <v>0.1</v>
      </c>
      <c r="M25" s="1195"/>
      <c r="N25" s="1183">
        <f t="shared" si="2"/>
        <v>91.104000000000013</v>
      </c>
      <c r="O25" s="1195"/>
      <c r="P25" s="1183">
        <f t="shared" si="3"/>
        <v>2135477.7600000002</v>
      </c>
      <c r="Q25" s="1183">
        <f t="shared" si="4"/>
        <v>2135477.7600000002</v>
      </c>
    </row>
    <row r="26" spans="1:17" ht="15.75" x14ac:dyDescent="0.25">
      <c r="A26" s="1205"/>
      <c r="B26" s="1206" t="s">
        <v>613</v>
      </c>
      <c r="C26" s="1206"/>
      <c r="D26" s="1195"/>
      <c r="E26" s="1207"/>
      <c r="F26" s="1206" t="s">
        <v>504</v>
      </c>
      <c r="G26" s="1195">
        <f t="shared" si="5"/>
        <v>50</v>
      </c>
      <c r="H26" s="1195">
        <v>0</v>
      </c>
      <c r="I26" s="1195">
        <v>50</v>
      </c>
      <c r="J26" s="1195">
        <v>4.16</v>
      </c>
      <c r="K26" s="1195">
        <f t="shared" si="1"/>
        <v>3.7440000000000002</v>
      </c>
      <c r="L26" s="1195">
        <v>0.1</v>
      </c>
      <c r="M26" s="1195"/>
      <c r="N26" s="1183">
        <f t="shared" si="2"/>
        <v>20.8</v>
      </c>
      <c r="O26" s="1195"/>
      <c r="P26" s="1183">
        <f t="shared" si="3"/>
        <v>487552</v>
      </c>
      <c r="Q26" s="1183">
        <f t="shared" si="4"/>
        <v>487552</v>
      </c>
    </row>
    <row r="27" spans="1:17" ht="15.75" x14ac:dyDescent="0.25">
      <c r="A27" s="1205"/>
      <c r="B27" s="1206" t="s">
        <v>617</v>
      </c>
      <c r="C27" s="1206"/>
      <c r="D27" s="1195"/>
      <c r="E27" s="1207"/>
      <c r="F27" s="1206" t="s">
        <v>504</v>
      </c>
      <c r="G27" s="1195">
        <f t="shared" si="5"/>
        <v>302</v>
      </c>
      <c r="H27" s="1195">
        <v>0</v>
      </c>
      <c r="I27" s="1195">
        <v>302</v>
      </c>
      <c r="J27" s="1195">
        <v>4.16</v>
      </c>
      <c r="K27" s="1195">
        <f t="shared" si="1"/>
        <v>3.7440000000000002</v>
      </c>
      <c r="L27" s="1195">
        <v>0.1</v>
      </c>
      <c r="M27" s="1195"/>
      <c r="N27" s="1183">
        <f t="shared" si="2"/>
        <v>125.63200000000001</v>
      </c>
      <c r="O27" s="1195"/>
      <c r="P27" s="1183">
        <f t="shared" si="3"/>
        <v>2944814.08</v>
      </c>
      <c r="Q27" s="1183">
        <f t="shared" si="4"/>
        <v>2944814.08</v>
      </c>
    </row>
    <row r="28" spans="1:17" ht="15.75" x14ac:dyDescent="0.25">
      <c r="A28" s="1205"/>
      <c r="B28" s="1206" t="s">
        <v>570</v>
      </c>
      <c r="C28" s="1206"/>
      <c r="D28" s="1195"/>
      <c r="E28" s="1207"/>
      <c r="F28" s="1206" t="s">
        <v>586</v>
      </c>
      <c r="G28" s="1195">
        <f t="shared" si="5"/>
        <v>780</v>
      </c>
      <c r="H28" s="1195">
        <v>0</v>
      </c>
      <c r="I28" s="1195">
        <v>780</v>
      </c>
      <c r="J28" s="1195">
        <v>4.16</v>
      </c>
      <c r="K28" s="1195">
        <f t="shared" si="1"/>
        <v>3.7440000000000002</v>
      </c>
      <c r="L28" s="1195">
        <v>0.1</v>
      </c>
      <c r="M28" s="1195"/>
      <c r="N28" s="1183">
        <f t="shared" si="2"/>
        <v>324.48</v>
      </c>
      <c r="O28" s="1195"/>
      <c r="P28" s="1183">
        <f t="shared" si="3"/>
        <v>7605811.2000000011</v>
      </c>
      <c r="Q28" s="1183">
        <f t="shared" si="4"/>
        <v>7605811.2000000011</v>
      </c>
    </row>
    <row r="29" spans="1:17" ht="15.75" x14ac:dyDescent="0.25">
      <c r="A29" s="1205"/>
      <c r="B29" s="1206" t="s">
        <v>614</v>
      </c>
      <c r="C29" s="1206"/>
      <c r="D29" s="1195"/>
      <c r="E29" s="1207"/>
      <c r="F29" s="1206" t="s">
        <v>586</v>
      </c>
      <c r="G29" s="1195">
        <f t="shared" si="5"/>
        <v>148</v>
      </c>
      <c r="H29" s="1195">
        <v>0</v>
      </c>
      <c r="I29" s="1195">
        <v>148</v>
      </c>
      <c r="J29" s="1195">
        <v>4.16</v>
      </c>
      <c r="K29" s="1195">
        <f t="shared" si="1"/>
        <v>3.7440000000000002</v>
      </c>
      <c r="L29" s="1195">
        <v>0.1</v>
      </c>
      <c r="M29" s="1195"/>
      <c r="N29" s="1183">
        <f t="shared" si="2"/>
        <v>61.568000000000005</v>
      </c>
      <c r="O29" s="1195"/>
      <c r="P29" s="1183">
        <f t="shared" si="3"/>
        <v>1443153.9200000002</v>
      </c>
      <c r="Q29" s="1183">
        <f t="shared" si="4"/>
        <v>1443153.9200000002</v>
      </c>
    </row>
    <row r="30" spans="1:17" ht="15.75" x14ac:dyDescent="0.25">
      <c r="A30" s="1205"/>
      <c r="B30" s="1206" t="s">
        <v>618</v>
      </c>
      <c r="C30" s="1206"/>
      <c r="D30" s="1195"/>
      <c r="E30" s="1207"/>
      <c r="F30" s="1206" t="s">
        <v>586</v>
      </c>
      <c r="G30" s="1195">
        <f t="shared" si="5"/>
        <v>395</v>
      </c>
      <c r="H30" s="1195">
        <v>0</v>
      </c>
      <c r="I30" s="1195">
        <v>395</v>
      </c>
      <c r="J30" s="1195">
        <v>4.16</v>
      </c>
      <c r="K30" s="1195">
        <f t="shared" si="1"/>
        <v>3.7440000000000002</v>
      </c>
      <c r="L30" s="1195">
        <v>0.1</v>
      </c>
      <c r="M30" s="1195"/>
      <c r="N30" s="1183">
        <f t="shared" si="2"/>
        <v>164.32000000000002</v>
      </c>
      <c r="O30" s="1195"/>
      <c r="P30" s="1183">
        <f t="shared" si="3"/>
        <v>3851660.8000000007</v>
      </c>
      <c r="Q30" s="1183">
        <f t="shared" si="4"/>
        <v>3851660.8000000007</v>
      </c>
    </row>
    <row r="31" spans="1:17" ht="15.75" x14ac:dyDescent="0.25">
      <c r="A31" s="1205"/>
      <c r="B31" s="1206"/>
      <c r="C31" s="1206"/>
      <c r="D31" s="1195"/>
      <c r="E31" s="1207"/>
      <c r="F31" s="1206"/>
      <c r="G31" s="1195"/>
      <c r="H31" s="1195"/>
      <c r="I31" s="1195"/>
      <c r="J31" s="1195"/>
      <c r="K31" s="1195"/>
      <c r="L31" s="1195"/>
      <c r="M31" s="1195"/>
      <c r="N31" s="1183"/>
      <c r="O31" s="1195"/>
      <c r="P31" s="1183"/>
      <c r="Q31" s="1183"/>
    </row>
    <row r="32" spans="1:17" ht="15.75" x14ac:dyDescent="0.25">
      <c r="A32" s="1202"/>
      <c r="B32" s="1203" t="s">
        <v>475</v>
      </c>
      <c r="C32" s="1202"/>
      <c r="D32" s="1202"/>
      <c r="E32" s="1204">
        <f>E33</f>
        <v>0</v>
      </c>
      <c r="F32" s="1202"/>
      <c r="G32" s="1204">
        <f>SUM(G33:G50)</f>
        <v>3969</v>
      </c>
      <c r="H32" s="1204">
        <f>SUM(H33:H50)</f>
        <v>0</v>
      </c>
      <c r="I32" s="1204">
        <f>SUM(I33:I50)</f>
        <v>3969</v>
      </c>
      <c r="J32" s="1204"/>
      <c r="K32" s="1204"/>
      <c r="L32" s="1204"/>
      <c r="M32" s="1204"/>
      <c r="N32" s="1204">
        <f>SUM(N33:N50)</f>
        <v>1642.7840000000001</v>
      </c>
      <c r="O32" s="1204"/>
      <c r="P32" s="1204">
        <f>SUM(P33:P50)</f>
        <v>38506856.960000008</v>
      </c>
      <c r="Q32" s="1204">
        <f>SUM(Q33:Q50)</f>
        <v>38506856.960000008</v>
      </c>
    </row>
    <row r="33" spans="1:17" ht="15.75" x14ac:dyDescent="0.25">
      <c r="A33" s="1205"/>
      <c r="B33" s="1206" t="s">
        <v>486</v>
      </c>
      <c r="C33" s="1206"/>
      <c r="D33" s="1195"/>
      <c r="E33" s="1207"/>
      <c r="F33" s="1206" t="s">
        <v>487</v>
      </c>
      <c r="G33" s="1195">
        <f t="shared" ref="G33:G50" si="6">H33+I33</f>
        <v>559</v>
      </c>
      <c r="H33" s="1195">
        <v>0</v>
      </c>
      <c r="I33" s="1195">
        <v>559</v>
      </c>
      <c r="J33" s="1195">
        <v>4.16</v>
      </c>
      <c r="K33" s="1195">
        <f t="shared" ref="K33:K50" si="7">J33-(J33*L33)</f>
        <v>3.7440000000000002</v>
      </c>
      <c r="L33" s="1195">
        <v>0.1</v>
      </c>
      <c r="M33" s="1195"/>
      <c r="N33" s="1183">
        <f t="shared" ref="N33:N50" si="8">L33*J33*I33</f>
        <v>232.54400000000001</v>
      </c>
      <c r="O33" s="1195"/>
      <c r="P33" s="1183">
        <f t="shared" ref="P33:P50" si="9">N33*23.44*1000</f>
        <v>5450831.3600000003</v>
      </c>
      <c r="Q33" s="1183">
        <f t="shared" ref="Q33:Q50" si="10">SUM(O33:P33)</f>
        <v>5450831.3600000003</v>
      </c>
    </row>
    <row r="34" spans="1:17" s="1264" customFormat="1" ht="15.75" x14ac:dyDescent="0.25">
      <c r="A34" s="1262"/>
      <c r="B34" s="1206" t="s">
        <v>480</v>
      </c>
      <c r="C34" s="1265"/>
      <c r="D34" s="1262"/>
      <c r="E34" s="1266"/>
      <c r="F34" s="1265"/>
      <c r="G34" s="1262">
        <f>SUM(G35:G36)</f>
        <v>265</v>
      </c>
      <c r="H34" s="1262">
        <f t="shared" ref="H34:Q34" si="11">SUM(H35:H36)</f>
        <v>0</v>
      </c>
      <c r="I34" s="1262">
        <f t="shared" si="11"/>
        <v>265</v>
      </c>
      <c r="J34" s="1262">
        <f t="shared" si="11"/>
        <v>8.32</v>
      </c>
      <c r="K34" s="1262">
        <f t="shared" si="11"/>
        <v>7.4880000000000004</v>
      </c>
      <c r="L34" s="1262">
        <f t="shared" si="11"/>
        <v>0.2</v>
      </c>
      <c r="M34" s="1262">
        <f t="shared" si="11"/>
        <v>0</v>
      </c>
      <c r="N34" s="1262">
        <f t="shared" si="11"/>
        <v>110.24000000000001</v>
      </c>
      <c r="O34" s="1262">
        <f t="shared" si="11"/>
        <v>0</v>
      </c>
      <c r="P34" s="1262">
        <f t="shared" si="11"/>
        <v>2584025.6000000006</v>
      </c>
      <c r="Q34" s="1262">
        <f t="shared" si="11"/>
        <v>2584025.6000000006</v>
      </c>
    </row>
    <row r="35" spans="1:17" ht="15.75" x14ac:dyDescent="0.25">
      <c r="A35" s="1205"/>
      <c r="C35" s="1206"/>
      <c r="D35" s="1195"/>
      <c r="E35" s="1207"/>
      <c r="F35" s="1206" t="s">
        <v>504</v>
      </c>
      <c r="G35" s="1195">
        <f t="shared" si="6"/>
        <v>76</v>
      </c>
      <c r="H35" s="1195">
        <v>0</v>
      </c>
      <c r="I35" s="1195">
        <v>76</v>
      </c>
      <c r="J35" s="1195">
        <v>4.16</v>
      </c>
      <c r="K35" s="1195">
        <f t="shared" si="7"/>
        <v>3.7440000000000002</v>
      </c>
      <c r="L35" s="1195">
        <v>0.1</v>
      </c>
      <c r="M35" s="1195"/>
      <c r="N35" s="1183">
        <f t="shared" si="8"/>
        <v>31.616000000000003</v>
      </c>
      <c r="O35" s="1195"/>
      <c r="P35" s="1183">
        <f t="shared" si="9"/>
        <v>741079.04000000004</v>
      </c>
      <c r="Q35" s="1183">
        <f t="shared" si="10"/>
        <v>741079.04000000004</v>
      </c>
    </row>
    <row r="36" spans="1:17" ht="15.75" x14ac:dyDescent="0.25">
      <c r="A36" s="1205"/>
      <c r="B36" s="1206"/>
      <c r="C36" s="1206"/>
      <c r="D36" s="1195"/>
      <c r="E36" s="1207"/>
      <c r="F36" s="1206" t="s">
        <v>586</v>
      </c>
      <c r="G36" s="1195">
        <f>H36+I36</f>
        <v>189</v>
      </c>
      <c r="H36" s="1195">
        <v>0</v>
      </c>
      <c r="I36" s="1195">
        <v>189</v>
      </c>
      <c r="J36" s="1195">
        <v>4.16</v>
      </c>
      <c r="K36" s="1195">
        <f t="shared" si="7"/>
        <v>3.7440000000000002</v>
      </c>
      <c r="L36" s="1195">
        <v>0.1</v>
      </c>
      <c r="M36" s="1195"/>
      <c r="N36" s="1183">
        <f t="shared" si="8"/>
        <v>78.624000000000009</v>
      </c>
      <c r="O36" s="1195"/>
      <c r="P36" s="1183">
        <f t="shared" si="9"/>
        <v>1842946.5600000003</v>
      </c>
      <c r="Q36" s="1183">
        <f t="shared" si="10"/>
        <v>1842946.5600000003</v>
      </c>
    </row>
    <row r="37" spans="1:17" s="1264" customFormat="1" ht="15.75" x14ac:dyDescent="0.25">
      <c r="A37" s="1262"/>
      <c r="B37" s="1206" t="s">
        <v>623</v>
      </c>
      <c r="C37" s="1265"/>
      <c r="D37" s="1262"/>
      <c r="E37" s="1266"/>
      <c r="F37" s="1265"/>
      <c r="G37" s="1262">
        <f>SUM(G38:G42)</f>
        <v>525</v>
      </c>
      <c r="H37" s="1262">
        <f t="shared" ref="H37:Q37" si="12">SUM(H38:H42)</f>
        <v>0</v>
      </c>
      <c r="I37" s="1262">
        <f t="shared" si="12"/>
        <v>525</v>
      </c>
      <c r="J37" s="1262">
        <f t="shared" si="12"/>
        <v>16.64</v>
      </c>
      <c r="K37" s="1262">
        <f t="shared" si="12"/>
        <v>14.976000000000001</v>
      </c>
      <c r="L37" s="1262">
        <f t="shared" si="12"/>
        <v>0.4</v>
      </c>
      <c r="M37" s="1262">
        <f t="shared" si="12"/>
        <v>0</v>
      </c>
      <c r="N37" s="1262">
        <f t="shared" si="12"/>
        <v>214.24000000000004</v>
      </c>
      <c r="O37" s="1262">
        <f t="shared" si="12"/>
        <v>0</v>
      </c>
      <c r="P37" s="1262">
        <f t="shared" si="12"/>
        <v>5021785.6000000006</v>
      </c>
      <c r="Q37" s="1262">
        <f t="shared" si="12"/>
        <v>5021785.6000000006</v>
      </c>
    </row>
    <row r="38" spans="1:17" ht="15.75" x14ac:dyDescent="0.25">
      <c r="A38" s="1205"/>
      <c r="C38" s="1206"/>
      <c r="D38" s="1195"/>
      <c r="E38" s="1207"/>
      <c r="F38" s="1206" t="s">
        <v>482</v>
      </c>
      <c r="G38" s="1195">
        <f>H38+I38</f>
        <v>10</v>
      </c>
      <c r="H38" s="1195"/>
      <c r="I38" s="1195">
        <v>10</v>
      </c>
      <c r="J38" s="1195"/>
      <c r="K38" s="1195"/>
      <c r="L38" s="1195"/>
      <c r="M38" s="1195"/>
      <c r="N38" s="1183"/>
      <c r="O38" s="1195"/>
      <c r="P38" s="1183"/>
      <c r="Q38" s="1183"/>
    </row>
    <row r="39" spans="1:17" ht="15.75" x14ac:dyDescent="0.25">
      <c r="A39" s="1205"/>
      <c r="B39" s="1206"/>
      <c r="C39" s="1206"/>
      <c r="D39" s="1195"/>
      <c r="E39" s="1207"/>
      <c r="F39" s="1206" t="s">
        <v>586</v>
      </c>
      <c r="G39" s="1195">
        <f>H39+I39</f>
        <v>420</v>
      </c>
      <c r="H39" s="1195">
        <v>0</v>
      </c>
      <c r="I39" s="1195">
        <v>420</v>
      </c>
      <c r="J39" s="1195">
        <v>4.16</v>
      </c>
      <c r="K39" s="1195">
        <f>J39-(J39*L39)</f>
        <v>3.7440000000000002</v>
      </c>
      <c r="L39" s="1195">
        <v>0.1</v>
      </c>
      <c r="M39" s="1195"/>
      <c r="N39" s="1183">
        <f>L39*J39*I39</f>
        <v>174.72000000000003</v>
      </c>
      <c r="O39" s="1195"/>
      <c r="P39" s="1183">
        <f>N39*23.44*1000</f>
        <v>4095436.8000000007</v>
      </c>
      <c r="Q39" s="1183">
        <f>SUM(O39:P39)</f>
        <v>4095436.8000000007</v>
      </c>
    </row>
    <row r="40" spans="1:17" ht="15.75" x14ac:dyDescent="0.25">
      <c r="A40" s="1205"/>
      <c r="B40" s="1206" t="s">
        <v>488</v>
      </c>
      <c r="C40" s="1206"/>
      <c r="D40" s="1195"/>
      <c r="E40" s="1207"/>
      <c r="F40" s="1206" t="s">
        <v>586</v>
      </c>
      <c r="G40" s="1195">
        <f t="shared" si="6"/>
        <v>25</v>
      </c>
      <c r="H40" s="1195">
        <v>0</v>
      </c>
      <c r="I40" s="1195">
        <v>25</v>
      </c>
      <c r="J40" s="1195">
        <v>4.16</v>
      </c>
      <c r="K40" s="1195">
        <f t="shared" si="7"/>
        <v>3.7440000000000002</v>
      </c>
      <c r="L40" s="1195">
        <v>0.1</v>
      </c>
      <c r="M40" s="1195"/>
      <c r="N40" s="1183">
        <f t="shared" si="8"/>
        <v>10.4</v>
      </c>
      <c r="O40" s="1195"/>
      <c r="P40" s="1183">
        <f t="shared" si="9"/>
        <v>243776</v>
      </c>
      <c r="Q40" s="1183">
        <f t="shared" si="10"/>
        <v>243776</v>
      </c>
    </row>
    <row r="41" spans="1:17" ht="15.75" x14ac:dyDescent="0.25">
      <c r="A41" s="1205"/>
      <c r="B41" s="1206" t="s">
        <v>483</v>
      </c>
      <c r="C41" s="1206"/>
      <c r="D41" s="1195"/>
      <c r="E41" s="1207"/>
      <c r="F41" s="1206" t="s">
        <v>586</v>
      </c>
      <c r="G41" s="1195">
        <f t="shared" si="6"/>
        <v>20</v>
      </c>
      <c r="H41" s="1195">
        <v>0</v>
      </c>
      <c r="I41" s="1195">
        <v>20</v>
      </c>
      <c r="J41" s="1195">
        <v>4.16</v>
      </c>
      <c r="K41" s="1195">
        <f t="shared" si="7"/>
        <v>3.7440000000000002</v>
      </c>
      <c r="L41" s="1195">
        <v>0.1</v>
      </c>
      <c r="M41" s="1195"/>
      <c r="N41" s="1183">
        <f t="shared" si="8"/>
        <v>8.32</v>
      </c>
      <c r="O41" s="1195"/>
      <c r="P41" s="1183">
        <f t="shared" si="9"/>
        <v>195020.80000000002</v>
      </c>
      <c r="Q41" s="1183">
        <f t="shared" si="10"/>
        <v>195020.80000000002</v>
      </c>
    </row>
    <row r="42" spans="1:17" ht="15.75" x14ac:dyDescent="0.25">
      <c r="A42" s="1205"/>
      <c r="B42" s="1206" t="s">
        <v>909</v>
      </c>
      <c r="C42" s="1206"/>
      <c r="D42" s="1195"/>
      <c r="E42" s="1207"/>
      <c r="F42" s="1206" t="s">
        <v>501</v>
      </c>
      <c r="G42" s="1195">
        <f t="shared" si="6"/>
        <v>50</v>
      </c>
      <c r="H42" s="1195">
        <v>0</v>
      </c>
      <c r="I42" s="1195">
        <v>50</v>
      </c>
      <c r="J42" s="1195">
        <v>4.16</v>
      </c>
      <c r="K42" s="1195">
        <f t="shared" si="7"/>
        <v>3.7440000000000002</v>
      </c>
      <c r="L42" s="1195">
        <v>0.1</v>
      </c>
      <c r="M42" s="1195"/>
      <c r="N42" s="1183">
        <f t="shared" si="8"/>
        <v>20.8</v>
      </c>
      <c r="O42" s="1195"/>
      <c r="P42" s="1183">
        <f t="shared" si="9"/>
        <v>487552</v>
      </c>
      <c r="Q42" s="1183">
        <f t="shared" si="10"/>
        <v>487552</v>
      </c>
    </row>
    <row r="43" spans="1:17" s="1264" customFormat="1" ht="15.75" x14ac:dyDescent="0.25">
      <c r="A43" s="1262"/>
      <c r="B43" s="1206" t="s">
        <v>624</v>
      </c>
      <c r="C43" s="1265"/>
      <c r="D43" s="1262"/>
      <c r="E43" s="1266"/>
      <c r="F43" s="1265"/>
      <c r="G43" s="1262">
        <f>SUM(G44:G47)</f>
        <v>900</v>
      </c>
      <c r="H43" s="1262">
        <f t="shared" ref="H43:Q43" si="13">SUM(H44:H47)</f>
        <v>0</v>
      </c>
      <c r="I43" s="1262">
        <f t="shared" si="13"/>
        <v>900</v>
      </c>
      <c r="J43" s="1262">
        <f t="shared" si="13"/>
        <v>16.64</v>
      </c>
      <c r="K43" s="1262">
        <f t="shared" si="13"/>
        <v>14.976000000000001</v>
      </c>
      <c r="L43" s="1262">
        <f t="shared" si="13"/>
        <v>0.4</v>
      </c>
      <c r="M43" s="1262">
        <f t="shared" si="13"/>
        <v>0</v>
      </c>
      <c r="N43" s="1262">
        <f t="shared" si="13"/>
        <v>374.40000000000009</v>
      </c>
      <c r="O43" s="1262">
        <f t="shared" si="13"/>
        <v>0</v>
      </c>
      <c r="P43" s="1262">
        <f t="shared" si="13"/>
        <v>8775936.0000000019</v>
      </c>
      <c r="Q43" s="1262">
        <f t="shared" si="13"/>
        <v>8775936.0000000019</v>
      </c>
    </row>
    <row r="44" spans="1:17" ht="15.75" x14ac:dyDescent="0.25">
      <c r="A44" s="1205"/>
      <c r="C44" s="1206"/>
      <c r="D44" s="1195"/>
      <c r="E44" s="1207"/>
      <c r="F44" s="1206" t="s">
        <v>474</v>
      </c>
      <c r="G44" s="1195">
        <f t="shared" si="6"/>
        <v>265</v>
      </c>
      <c r="H44" s="1195">
        <v>0</v>
      </c>
      <c r="I44" s="1195">
        <v>265</v>
      </c>
      <c r="J44" s="1195">
        <v>4.16</v>
      </c>
      <c r="K44" s="1195">
        <f t="shared" si="7"/>
        <v>3.7440000000000002</v>
      </c>
      <c r="L44" s="1195">
        <v>0.1</v>
      </c>
      <c r="M44" s="1195"/>
      <c r="N44" s="1183">
        <f t="shared" si="8"/>
        <v>110.24000000000001</v>
      </c>
      <c r="O44" s="1195"/>
      <c r="P44" s="1183">
        <f t="shared" si="9"/>
        <v>2584025.6000000006</v>
      </c>
      <c r="Q44" s="1183">
        <f t="shared" si="10"/>
        <v>2584025.6000000006</v>
      </c>
    </row>
    <row r="45" spans="1:17" ht="15.75" x14ac:dyDescent="0.25">
      <c r="A45" s="1205"/>
      <c r="B45" s="1206"/>
      <c r="C45" s="1206"/>
      <c r="D45" s="1195"/>
      <c r="E45" s="1207"/>
      <c r="F45" s="1206" t="s">
        <v>586</v>
      </c>
      <c r="G45" s="1195">
        <f t="shared" si="6"/>
        <v>471</v>
      </c>
      <c r="H45" s="1195">
        <v>0</v>
      </c>
      <c r="I45" s="1195">
        <v>471</v>
      </c>
      <c r="J45" s="1195">
        <v>4.16</v>
      </c>
      <c r="K45" s="1195">
        <f t="shared" si="7"/>
        <v>3.7440000000000002</v>
      </c>
      <c r="L45" s="1195">
        <v>0.1</v>
      </c>
      <c r="M45" s="1195"/>
      <c r="N45" s="1183">
        <f t="shared" si="8"/>
        <v>195.93600000000001</v>
      </c>
      <c r="O45" s="1195"/>
      <c r="P45" s="1183">
        <f t="shared" si="9"/>
        <v>4592739.84</v>
      </c>
      <c r="Q45" s="1183">
        <f t="shared" si="10"/>
        <v>4592739.84</v>
      </c>
    </row>
    <row r="46" spans="1:17" ht="15.75" x14ac:dyDescent="0.25">
      <c r="A46" s="1205"/>
      <c r="B46" s="1206"/>
      <c r="C46" s="1206"/>
      <c r="D46" s="1195"/>
      <c r="E46" s="1207"/>
      <c r="F46" s="1206" t="s">
        <v>539</v>
      </c>
      <c r="G46" s="1195">
        <f t="shared" si="6"/>
        <v>154</v>
      </c>
      <c r="H46" s="1195">
        <v>0</v>
      </c>
      <c r="I46" s="1195">
        <v>154</v>
      </c>
      <c r="J46" s="1195">
        <v>4.16</v>
      </c>
      <c r="K46" s="1195">
        <f t="shared" si="7"/>
        <v>3.7440000000000002</v>
      </c>
      <c r="L46" s="1195">
        <v>0.1</v>
      </c>
      <c r="M46" s="1195"/>
      <c r="N46" s="1183">
        <f t="shared" si="8"/>
        <v>64.064000000000007</v>
      </c>
      <c r="O46" s="1195"/>
      <c r="P46" s="1183">
        <f t="shared" si="9"/>
        <v>1501660.1600000004</v>
      </c>
      <c r="Q46" s="1183">
        <f t="shared" si="10"/>
        <v>1501660.1600000004</v>
      </c>
    </row>
    <row r="47" spans="1:17" ht="15.75" x14ac:dyDescent="0.25">
      <c r="A47" s="1205"/>
      <c r="B47" s="1206"/>
      <c r="C47" s="1206"/>
      <c r="D47" s="1195"/>
      <c r="E47" s="1207"/>
      <c r="F47" s="1206" t="s">
        <v>799</v>
      </c>
      <c r="G47" s="1195">
        <f t="shared" si="6"/>
        <v>10</v>
      </c>
      <c r="H47" s="1195">
        <v>0</v>
      </c>
      <c r="I47" s="1195">
        <v>10</v>
      </c>
      <c r="J47" s="1195">
        <v>4.16</v>
      </c>
      <c r="K47" s="1195">
        <f t="shared" si="7"/>
        <v>3.7440000000000002</v>
      </c>
      <c r="L47" s="1195">
        <v>0.1</v>
      </c>
      <c r="M47" s="1195"/>
      <c r="N47" s="1183">
        <f t="shared" si="8"/>
        <v>4.16</v>
      </c>
      <c r="O47" s="1195"/>
      <c r="P47" s="1183">
        <f t="shared" si="9"/>
        <v>97510.400000000009</v>
      </c>
      <c r="Q47" s="1183">
        <f t="shared" si="10"/>
        <v>97510.400000000009</v>
      </c>
    </row>
    <row r="48" spans="1:17" s="1264" customFormat="1" ht="15.75" x14ac:dyDescent="0.25">
      <c r="A48" s="1262"/>
      <c r="B48" s="1206" t="s">
        <v>882</v>
      </c>
      <c r="C48" s="1265"/>
      <c r="D48" s="1262"/>
      <c r="E48" s="1266"/>
      <c r="F48" s="1265"/>
      <c r="G48" s="1262">
        <f>SUM(G49:G50)</f>
        <v>15</v>
      </c>
      <c r="H48" s="1262">
        <f t="shared" ref="H48:Q48" si="14">SUM(H49:H50)</f>
        <v>0</v>
      </c>
      <c r="I48" s="1262">
        <f t="shared" si="14"/>
        <v>15</v>
      </c>
      <c r="J48" s="1262">
        <f t="shared" si="14"/>
        <v>8.32</v>
      </c>
      <c r="K48" s="1262">
        <f t="shared" si="14"/>
        <v>7.4880000000000004</v>
      </c>
      <c r="L48" s="1262">
        <f t="shared" si="14"/>
        <v>0.2</v>
      </c>
      <c r="M48" s="1262">
        <f t="shared" si="14"/>
        <v>0</v>
      </c>
      <c r="N48" s="1262">
        <f t="shared" si="14"/>
        <v>6.24</v>
      </c>
      <c r="O48" s="1262">
        <f t="shared" si="14"/>
        <v>0</v>
      </c>
      <c r="P48" s="1262">
        <f t="shared" si="14"/>
        <v>146265.60000000001</v>
      </c>
      <c r="Q48" s="1262">
        <f t="shared" si="14"/>
        <v>146265.60000000001</v>
      </c>
    </row>
    <row r="49" spans="1:17" ht="15.75" x14ac:dyDescent="0.25">
      <c r="A49" s="1205"/>
      <c r="C49" s="1206"/>
      <c r="D49" s="1195"/>
      <c r="E49" s="1207"/>
      <c r="F49" s="1206" t="s">
        <v>504</v>
      </c>
      <c r="G49" s="1195">
        <f t="shared" si="6"/>
        <v>5</v>
      </c>
      <c r="H49" s="1195">
        <v>0</v>
      </c>
      <c r="I49" s="1195">
        <v>5</v>
      </c>
      <c r="J49" s="1195">
        <v>4.16</v>
      </c>
      <c r="K49" s="1195">
        <f t="shared" si="7"/>
        <v>3.7440000000000002</v>
      </c>
      <c r="L49" s="1195">
        <v>0.1</v>
      </c>
      <c r="M49" s="1195"/>
      <c r="N49" s="1183">
        <f t="shared" si="8"/>
        <v>2.08</v>
      </c>
      <c r="O49" s="1195"/>
      <c r="P49" s="1183">
        <f t="shared" si="9"/>
        <v>48755.200000000004</v>
      </c>
      <c r="Q49" s="1183">
        <f t="shared" si="10"/>
        <v>48755.200000000004</v>
      </c>
    </row>
    <row r="50" spans="1:17" ht="15.75" x14ac:dyDescent="0.25">
      <c r="A50" s="1205"/>
      <c r="B50" s="1206"/>
      <c r="C50" s="1206"/>
      <c r="D50" s="1195"/>
      <c r="E50" s="1207"/>
      <c r="F50" s="1206" t="s">
        <v>961</v>
      </c>
      <c r="G50" s="1195">
        <f t="shared" si="6"/>
        <v>10</v>
      </c>
      <c r="H50" s="1195">
        <v>0</v>
      </c>
      <c r="I50" s="1195">
        <v>10</v>
      </c>
      <c r="J50" s="1195">
        <v>4.16</v>
      </c>
      <c r="K50" s="1195">
        <f t="shared" si="7"/>
        <v>3.7440000000000002</v>
      </c>
      <c r="L50" s="1195">
        <v>0.1</v>
      </c>
      <c r="M50" s="1195"/>
      <c r="N50" s="1183">
        <f t="shared" si="8"/>
        <v>4.16</v>
      </c>
      <c r="O50" s="1195"/>
      <c r="P50" s="1183">
        <f t="shared" si="9"/>
        <v>97510.400000000009</v>
      </c>
      <c r="Q50" s="1183">
        <f t="shared" si="10"/>
        <v>97510.400000000009</v>
      </c>
    </row>
    <row r="51" spans="1:17" ht="15.75" x14ac:dyDescent="0.25">
      <c r="A51" s="1205"/>
      <c r="B51" s="1206"/>
      <c r="C51" s="1206"/>
      <c r="D51" s="1195"/>
      <c r="E51" s="1207"/>
      <c r="F51" s="1206"/>
      <c r="G51" s="1195"/>
      <c r="H51" s="1195"/>
      <c r="I51" s="1195"/>
      <c r="J51" s="1195"/>
      <c r="K51" s="1195"/>
      <c r="L51" s="1195"/>
      <c r="M51" s="1195"/>
      <c r="N51" s="1183"/>
      <c r="O51" s="1195"/>
      <c r="P51" s="1183"/>
      <c r="Q51" s="1183"/>
    </row>
    <row r="52" spans="1:17" ht="15.75" x14ac:dyDescent="0.25">
      <c r="A52" s="1202"/>
      <c r="B52" s="1203" t="s">
        <v>489</v>
      </c>
      <c r="C52" s="1202"/>
      <c r="D52" s="1202"/>
      <c r="E52" s="1204">
        <f>E54</f>
        <v>0</v>
      </c>
      <c r="F52" s="1202"/>
      <c r="G52" s="1204">
        <f>SUM(G54:G70)</f>
        <v>3328</v>
      </c>
      <c r="H52" s="1204">
        <f>SUM(H54:H70)</f>
        <v>1421</v>
      </c>
      <c r="I52" s="1204">
        <f>SUM(I54:I70)</f>
        <v>1907</v>
      </c>
      <c r="J52" s="1204"/>
      <c r="K52" s="1204"/>
      <c r="L52" s="1204"/>
      <c r="M52" s="1204"/>
      <c r="N52" s="1204">
        <f>SUM(N54:N70)</f>
        <v>6704.6720000000005</v>
      </c>
      <c r="O52" s="1204"/>
      <c r="P52" s="1204">
        <f>SUM(P54:P72)</f>
        <v>157362511.68000001</v>
      </c>
      <c r="Q52" s="1204">
        <f>SUM(Q54:Q72)</f>
        <v>157362511.68000001</v>
      </c>
    </row>
    <row r="53" spans="1:17" ht="15.75" x14ac:dyDescent="0.25">
      <c r="A53" s="1202"/>
      <c r="B53" s="1203"/>
      <c r="C53" s="1202"/>
      <c r="D53" s="1202"/>
      <c r="E53" s="1204"/>
      <c r="F53" s="1202"/>
      <c r="G53" s="1204"/>
      <c r="H53" s="1204"/>
      <c r="I53" s="1204"/>
      <c r="J53" s="1204"/>
      <c r="K53" s="1204"/>
      <c r="L53" s="1204"/>
      <c r="M53" s="1204"/>
      <c r="N53" s="1204"/>
      <c r="O53" s="1204"/>
      <c r="P53" s="1204"/>
      <c r="Q53" s="1204"/>
    </row>
    <row r="54" spans="1:17" ht="15.75" x14ac:dyDescent="0.25">
      <c r="A54" s="1205"/>
      <c r="B54" s="1206" t="s">
        <v>631</v>
      </c>
      <c r="C54" s="1206"/>
      <c r="D54" s="1195"/>
      <c r="E54" s="1207"/>
      <c r="F54" s="1206" t="s">
        <v>586</v>
      </c>
      <c r="G54" s="1195">
        <f t="shared" ref="G54:G70" si="15">H54+I54</f>
        <v>350</v>
      </c>
      <c r="H54" s="1195">
        <v>0</v>
      </c>
      <c r="I54" s="1195">
        <v>350</v>
      </c>
      <c r="J54" s="1195">
        <v>4.16</v>
      </c>
      <c r="K54" s="1195">
        <f t="shared" ref="K54:K70" si="16">J54-(J54*L54)</f>
        <v>3.7440000000000002</v>
      </c>
      <c r="L54" s="1195">
        <v>0.1</v>
      </c>
      <c r="M54" s="1195"/>
      <c r="N54" s="1183">
        <f t="shared" ref="N54:N68" si="17">L54*J54*I54</f>
        <v>145.60000000000002</v>
      </c>
      <c r="O54" s="1195"/>
      <c r="P54" s="1183">
        <f t="shared" ref="P54:P68" si="18">N54*23.44*1000</f>
        <v>3412864.0000000009</v>
      </c>
      <c r="Q54" s="1183">
        <f t="shared" ref="Q54:Q72" si="19">SUM(O54:P54)</f>
        <v>3412864.0000000009</v>
      </c>
    </row>
    <row r="55" spans="1:17" ht="15.75" x14ac:dyDescent="0.25">
      <c r="A55" s="1205"/>
      <c r="B55" s="1208"/>
      <c r="C55" s="1205"/>
      <c r="D55" s="1205"/>
      <c r="E55" s="1209"/>
      <c r="F55" s="1206" t="s">
        <v>961</v>
      </c>
      <c r="G55" s="1195">
        <f t="shared" si="15"/>
        <v>5</v>
      </c>
      <c r="H55" s="1195">
        <v>0</v>
      </c>
      <c r="I55" s="1195">
        <v>5</v>
      </c>
      <c r="J55" s="1195">
        <v>4.16</v>
      </c>
      <c r="K55" s="1195">
        <f t="shared" si="16"/>
        <v>3.7440000000000002</v>
      </c>
      <c r="L55" s="1195">
        <v>0.1</v>
      </c>
      <c r="M55" s="1195"/>
      <c r="N55" s="1183">
        <f t="shared" si="17"/>
        <v>2.08</v>
      </c>
      <c r="O55" s="1195"/>
      <c r="P55" s="1183">
        <f t="shared" si="18"/>
        <v>48755.200000000004</v>
      </c>
      <c r="Q55" s="1183">
        <f t="shared" si="19"/>
        <v>48755.200000000004</v>
      </c>
    </row>
    <row r="56" spans="1:17" ht="15.75" x14ac:dyDescent="0.25">
      <c r="A56" s="1205"/>
      <c r="B56" s="1208"/>
      <c r="C56" s="1205"/>
      <c r="D56" s="1205"/>
      <c r="E56" s="1209"/>
      <c r="F56" s="1206" t="s">
        <v>961</v>
      </c>
      <c r="G56" s="1195">
        <f t="shared" si="15"/>
        <v>5</v>
      </c>
      <c r="H56" s="1195">
        <v>0</v>
      </c>
      <c r="I56" s="1195">
        <v>5</v>
      </c>
      <c r="J56" s="1195">
        <v>4.16</v>
      </c>
      <c r="K56" s="1195">
        <f t="shared" si="16"/>
        <v>3.7440000000000002</v>
      </c>
      <c r="L56" s="1195">
        <v>0.1</v>
      </c>
      <c r="M56" s="1195"/>
      <c r="N56" s="1183">
        <f t="shared" si="17"/>
        <v>2.08</v>
      </c>
      <c r="O56" s="1195"/>
      <c r="P56" s="1183">
        <f t="shared" si="18"/>
        <v>48755.200000000004</v>
      </c>
      <c r="Q56" s="1183">
        <f t="shared" si="19"/>
        <v>48755.200000000004</v>
      </c>
    </row>
    <row r="57" spans="1:17" ht="15.75" x14ac:dyDescent="0.25">
      <c r="A57" s="1205"/>
      <c r="B57" s="1208"/>
      <c r="C57" s="1205"/>
      <c r="D57" s="1205"/>
      <c r="E57" s="1209"/>
      <c r="F57" s="1206" t="s">
        <v>961</v>
      </c>
      <c r="G57" s="1195">
        <f t="shared" si="15"/>
        <v>225</v>
      </c>
      <c r="H57" s="1195">
        <v>225</v>
      </c>
      <c r="I57" s="1195"/>
      <c r="J57" s="1195">
        <v>4.16</v>
      </c>
      <c r="K57" s="1195">
        <f t="shared" si="16"/>
        <v>0</v>
      </c>
      <c r="L57" s="1195">
        <v>1</v>
      </c>
      <c r="M57" s="1195"/>
      <c r="N57" s="1183">
        <f>H57*J57*L57</f>
        <v>936</v>
      </c>
      <c r="O57" s="1195"/>
      <c r="P57" s="1183">
        <f>N57*23.44*1000</f>
        <v>21939840</v>
      </c>
      <c r="Q57" s="1183">
        <f t="shared" si="19"/>
        <v>21939840</v>
      </c>
    </row>
    <row r="58" spans="1:17" ht="15.75" x14ac:dyDescent="0.25">
      <c r="A58" s="1205"/>
      <c r="B58" s="1210" t="s">
        <v>627</v>
      </c>
      <c r="C58" s="1211"/>
      <c r="D58" s="1205"/>
      <c r="E58" s="1209"/>
      <c r="F58" s="1206" t="s">
        <v>962</v>
      </c>
      <c r="G58" s="1195">
        <f>H58+I58</f>
        <v>234</v>
      </c>
      <c r="H58" s="1195"/>
      <c r="I58" s="1195">
        <v>234</v>
      </c>
      <c r="J58" s="1195">
        <v>4.16</v>
      </c>
      <c r="K58" s="1195">
        <f t="shared" si="16"/>
        <v>3.7440000000000002</v>
      </c>
      <c r="L58" s="1195">
        <v>0.1</v>
      </c>
      <c r="M58" s="1195"/>
      <c r="N58" s="1183">
        <f>I58*J58*L58</f>
        <v>97.344000000000008</v>
      </c>
      <c r="O58" s="1195"/>
      <c r="P58" s="1183">
        <f>N58*23.44*1000</f>
        <v>2281743.3600000003</v>
      </c>
      <c r="Q58" s="1183">
        <f t="shared" si="19"/>
        <v>2281743.3600000003</v>
      </c>
    </row>
    <row r="59" spans="1:17" s="1264" customFormat="1" ht="15.75" x14ac:dyDescent="0.25">
      <c r="A59" s="1262"/>
      <c r="B59" s="1206" t="s">
        <v>628</v>
      </c>
      <c r="C59" s="1268"/>
      <c r="D59" s="1262"/>
      <c r="E59" s="1263"/>
      <c r="F59" s="1265"/>
      <c r="G59" s="1262">
        <f>SUM(G60:G61)</f>
        <v>200</v>
      </c>
      <c r="H59" s="1262">
        <f t="shared" ref="H59:Q59" si="20">SUM(H60:H61)</f>
        <v>0</v>
      </c>
      <c r="I59" s="1262">
        <f t="shared" si="20"/>
        <v>200</v>
      </c>
      <c r="J59" s="1262">
        <f t="shared" si="20"/>
        <v>8.32</v>
      </c>
      <c r="K59" s="1262">
        <f t="shared" si="20"/>
        <v>7.4880000000000004</v>
      </c>
      <c r="L59" s="1262">
        <f t="shared" si="20"/>
        <v>0.2</v>
      </c>
      <c r="M59" s="1262">
        <f t="shared" si="20"/>
        <v>0</v>
      </c>
      <c r="N59" s="1262">
        <f t="shared" si="20"/>
        <v>83.200000000000017</v>
      </c>
      <c r="O59" s="1262">
        <f t="shared" si="20"/>
        <v>0</v>
      </c>
      <c r="P59" s="1262">
        <f t="shared" si="20"/>
        <v>1950208.0000000005</v>
      </c>
      <c r="Q59" s="1262">
        <f t="shared" si="20"/>
        <v>1950208.0000000005</v>
      </c>
    </row>
    <row r="60" spans="1:17" ht="15.75" x14ac:dyDescent="0.25">
      <c r="A60" s="1205"/>
      <c r="C60" s="1206"/>
      <c r="D60" s="1195"/>
      <c r="E60" s="1207"/>
      <c r="F60" s="1206" t="s">
        <v>474</v>
      </c>
      <c r="G60" s="1195">
        <f t="shared" si="15"/>
        <v>30</v>
      </c>
      <c r="H60" s="1195">
        <v>0</v>
      </c>
      <c r="I60" s="1195">
        <v>30</v>
      </c>
      <c r="J60" s="1195">
        <v>4.16</v>
      </c>
      <c r="K60" s="1195">
        <f t="shared" si="16"/>
        <v>3.7440000000000002</v>
      </c>
      <c r="L60" s="1195">
        <v>0.1</v>
      </c>
      <c r="M60" s="1195"/>
      <c r="N60" s="1183">
        <f t="shared" si="17"/>
        <v>12.48</v>
      </c>
      <c r="O60" s="1195"/>
      <c r="P60" s="1183">
        <f>N60*23.44*1000</f>
        <v>292531.20000000001</v>
      </c>
      <c r="Q60" s="1183">
        <f t="shared" si="19"/>
        <v>292531.20000000001</v>
      </c>
    </row>
    <row r="61" spans="1:17" ht="15.75" x14ac:dyDescent="0.25">
      <c r="A61" s="1205"/>
      <c r="B61" s="1206"/>
      <c r="C61" s="1206"/>
      <c r="D61" s="1195"/>
      <c r="E61" s="1207"/>
      <c r="F61" s="1206" t="s">
        <v>586</v>
      </c>
      <c r="G61" s="1195">
        <f t="shared" si="15"/>
        <v>170</v>
      </c>
      <c r="H61" s="1195">
        <v>0</v>
      </c>
      <c r="I61" s="1195">
        <v>170</v>
      </c>
      <c r="J61" s="1195">
        <v>4.16</v>
      </c>
      <c r="K61" s="1195">
        <f t="shared" si="16"/>
        <v>3.7440000000000002</v>
      </c>
      <c r="L61" s="1195">
        <v>0.1</v>
      </c>
      <c r="M61" s="1195"/>
      <c r="N61" s="1183">
        <f t="shared" si="17"/>
        <v>70.720000000000013</v>
      </c>
      <c r="O61" s="1195"/>
      <c r="P61" s="1183">
        <f t="shared" si="18"/>
        <v>1657676.8000000005</v>
      </c>
      <c r="Q61" s="1183">
        <f t="shared" si="19"/>
        <v>1657676.8000000005</v>
      </c>
    </row>
    <row r="62" spans="1:17" s="1264" customFormat="1" ht="15.75" x14ac:dyDescent="0.25">
      <c r="A62" s="1262"/>
      <c r="B62" s="1206" t="s">
        <v>629</v>
      </c>
      <c r="C62" s="1265"/>
      <c r="D62" s="1262"/>
      <c r="E62" s="1266"/>
      <c r="F62" s="1265"/>
      <c r="G62" s="1262">
        <f>SUM(G63:G64)</f>
        <v>458.5</v>
      </c>
      <c r="H62" s="1262">
        <f t="shared" ref="H62:Q62" si="21">SUM(H63:H64)</f>
        <v>213</v>
      </c>
      <c r="I62" s="1262">
        <f t="shared" si="21"/>
        <v>245.5</v>
      </c>
      <c r="J62" s="1262">
        <f t="shared" si="21"/>
        <v>8.32</v>
      </c>
      <c r="K62" s="1262">
        <f t="shared" si="21"/>
        <v>3.7440000000000002</v>
      </c>
      <c r="L62" s="1262">
        <f t="shared" si="21"/>
        <v>1.1000000000000001</v>
      </c>
      <c r="M62" s="1262">
        <f t="shared" si="21"/>
        <v>0</v>
      </c>
      <c r="N62" s="1262">
        <f t="shared" si="21"/>
        <v>988.20800000000008</v>
      </c>
      <c r="O62" s="1262">
        <f t="shared" si="21"/>
        <v>0</v>
      </c>
      <c r="P62" s="1262">
        <f t="shared" si="21"/>
        <v>23163595.520000003</v>
      </c>
      <c r="Q62" s="1262">
        <f t="shared" si="21"/>
        <v>23163595.520000003</v>
      </c>
    </row>
    <row r="63" spans="1:17" ht="15.75" x14ac:dyDescent="0.25">
      <c r="A63" s="1205"/>
      <c r="C63" s="1206"/>
      <c r="D63" s="1195"/>
      <c r="E63" s="1207"/>
      <c r="F63" s="1206" t="s">
        <v>962</v>
      </c>
      <c r="G63" s="1195">
        <f t="shared" si="15"/>
        <v>245.5</v>
      </c>
      <c r="H63" s="1195">
        <v>0</v>
      </c>
      <c r="I63" s="1195">
        <v>245.5</v>
      </c>
      <c r="J63" s="1195">
        <v>4.16</v>
      </c>
      <c r="K63" s="1195">
        <f t="shared" si="16"/>
        <v>3.7440000000000002</v>
      </c>
      <c r="L63" s="1195">
        <v>0.1</v>
      </c>
      <c r="M63" s="1195"/>
      <c r="N63" s="1183">
        <f t="shared" si="17"/>
        <v>102.12800000000001</v>
      </c>
      <c r="O63" s="1195"/>
      <c r="P63" s="1183">
        <f t="shared" si="18"/>
        <v>2393880.3200000008</v>
      </c>
      <c r="Q63" s="1183">
        <f t="shared" si="19"/>
        <v>2393880.3200000008</v>
      </c>
    </row>
    <row r="64" spans="1:17" ht="15.75" x14ac:dyDescent="0.25">
      <c r="A64" s="1205"/>
      <c r="B64" s="1206"/>
      <c r="C64" s="1206"/>
      <c r="D64" s="1195"/>
      <c r="E64" s="1207"/>
      <c r="F64" s="1206" t="s">
        <v>963</v>
      </c>
      <c r="G64" s="1195">
        <f t="shared" si="15"/>
        <v>213</v>
      </c>
      <c r="H64" s="1195">
        <v>213</v>
      </c>
      <c r="I64" s="1195"/>
      <c r="J64" s="1195">
        <v>4.16</v>
      </c>
      <c r="K64" s="1195">
        <f t="shared" si="16"/>
        <v>0</v>
      </c>
      <c r="L64" s="1195">
        <v>1</v>
      </c>
      <c r="M64" s="1195"/>
      <c r="N64" s="1183">
        <f>H64*J64*L64</f>
        <v>886.08</v>
      </c>
      <c r="O64" s="1195"/>
      <c r="P64" s="1183">
        <f>N64*23.44*1000</f>
        <v>20769715.200000003</v>
      </c>
      <c r="Q64" s="1183">
        <f t="shared" si="19"/>
        <v>20769715.200000003</v>
      </c>
    </row>
    <row r="65" spans="1:17" s="1264" customFormat="1" ht="15.75" x14ac:dyDescent="0.25">
      <c r="A65" s="1262"/>
      <c r="B65" s="1206" t="s">
        <v>677</v>
      </c>
      <c r="C65" s="1265"/>
      <c r="D65" s="1262"/>
      <c r="E65" s="1266"/>
      <c r="F65" s="1265"/>
      <c r="G65" s="1262">
        <f>SUM(G66:G72)</f>
        <v>596</v>
      </c>
      <c r="H65" s="1262">
        <f t="shared" ref="H65:Q65" si="22">SUM(H66:H72)</f>
        <v>385</v>
      </c>
      <c r="I65" s="1262">
        <f t="shared" si="22"/>
        <v>211</v>
      </c>
      <c r="J65" s="1262">
        <f t="shared" si="22"/>
        <v>20.8</v>
      </c>
      <c r="K65" s="1262">
        <f t="shared" si="22"/>
        <v>11.232000000000001</v>
      </c>
      <c r="L65" s="1262">
        <f t="shared" si="22"/>
        <v>2.2999999999999998</v>
      </c>
      <c r="M65" s="1262">
        <f t="shared" si="22"/>
        <v>0</v>
      </c>
      <c r="N65" s="1262">
        <f t="shared" si="22"/>
        <v>1689.376</v>
      </c>
      <c r="O65" s="1262">
        <f t="shared" si="22"/>
        <v>0</v>
      </c>
      <c r="P65" s="1262">
        <f t="shared" si="22"/>
        <v>39701473.439999998</v>
      </c>
      <c r="Q65" s="1262">
        <f t="shared" si="22"/>
        <v>39701473.439999998</v>
      </c>
    </row>
    <row r="66" spans="1:17" ht="15.75" x14ac:dyDescent="0.25">
      <c r="A66" s="1205"/>
      <c r="C66" s="1206"/>
      <c r="D66" s="1195"/>
      <c r="E66" s="1207"/>
      <c r="F66" s="1206" t="s">
        <v>539</v>
      </c>
      <c r="G66" s="1195">
        <f t="shared" si="15"/>
        <v>85</v>
      </c>
      <c r="H66" s="1195">
        <v>0</v>
      </c>
      <c r="I66" s="1195">
        <v>85</v>
      </c>
      <c r="J66" s="1195">
        <v>4.16</v>
      </c>
      <c r="K66" s="1195">
        <f t="shared" si="16"/>
        <v>3.7440000000000002</v>
      </c>
      <c r="L66" s="1195">
        <v>0.1</v>
      </c>
      <c r="M66" s="1195"/>
      <c r="N66" s="1183">
        <f t="shared" si="17"/>
        <v>35.360000000000007</v>
      </c>
      <c r="O66" s="1195"/>
      <c r="P66" s="1183">
        <f t="shared" si="18"/>
        <v>828838.40000000026</v>
      </c>
      <c r="Q66" s="1183">
        <f t="shared" si="19"/>
        <v>828838.40000000026</v>
      </c>
    </row>
    <row r="67" spans="1:17" ht="15.75" x14ac:dyDescent="0.25">
      <c r="A67" s="1205"/>
      <c r="B67" s="1206"/>
      <c r="C67" s="1206"/>
      <c r="D67" s="1195"/>
      <c r="E67" s="1207"/>
      <c r="F67" s="1206" t="s">
        <v>586</v>
      </c>
      <c r="G67" s="1195">
        <f t="shared" si="15"/>
        <v>54</v>
      </c>
      <c r="H67" s="1195">
        <v>0</v>
      </c>
      <c r="I67" s="1195">
        <v>54</v>
      </c>
      <c r="J67" s="1195">
        <v>4.16</v>
      </c>
      <c r="K67" s="1195">
        <f t="shared" si="16"/>
        <v>3.7440000000000002</v>
      </c>
      <c r="L67" s="1195">
        <v>0.1</v>
      </c>
      <c r="M67" s="1195"/>
      <c r="N67" s="1183">
        <f t="shared" si="17"/>
        <v>22.464000000000002</v>
      </c>
      <c r="O67" s="1195"/>
      <c r="P67" s="1183">
        <f t="shared" si="18"/>
        <v>526556.16000000015</v>
      </c>
      <c r="Q67" s="1183">
        <f t="shared" si="19"/>
        <v>526556.16000000015</v>
      </c>
    </row>
    <row r="68" spans="1:17" ht="15.75" x14ac:dyDescent="0.25">
      <c r="A68" s="1205"/>
      <c r="B68" s="1208"/>
      <c r="C68" s="1205"/>
      <c r="D68" s="1205"/>
      <c r="E68" s="1209"/>
      <c r="F68" s="1206" t="s">
        <v>474</v>
      </c>
      <c r="G68" s="1195">
        <f t="shared" si="15"/>
        <v>72</v>
      </c>
      <c r="H68" s="1195">
        <v>0</v>
      </c>
      <c r="I68" s="1195">
        <v>72</v>
      </c>
      <c r="J68" s="1195">
        <v>4.16</v>
      </c>
      <c r="K68" s="1195">
        <f t="shared" si="16"/>
        <v>3.7440000000000002</v>
      </c>
      <c r="L68" s="1195">
        <v>0.1</v>
      </c>
      <c r="M68" s="1195"/>
      <c r="N68" s="1183">
        <f t="shared" si="17"/>
        <v>29.952000000000002</v>
      </c>
      <c r="O68" s="1195"/>
      <c r="P68" s="1183">
        <f t="shared" si="18"/>
        <v>702074.88000000012</v>
      </c>
      <c r="Q68" s="1183">
        <f t="shared" si="19"/>
        <v>702074.88000000012</v>
      </c>
    </row>
    <row r="69" spans="1:17" ht="15.75" x14ac:dyDescent="0.25">
      <c r="A69" s="1205"/>
      <c r="B69" s="1208"/>
      <c r="C69" s="1205"/>
      <c r="D69" s="1205"/>
      <c r="E69" s="1209"/>
      <c r="F69" s="1206" t="s">
        <v>504</v>
      </c>
      <c r="G69" s="1195">
        <f t="shared" si="15"/>
        <v>355</v>
      </c>
      <c r="H69" s="1195">
        <v>355</v>
      </c>
      <c r="I69" s="1195"/>
      <c r="J69" s="1195">
        <v>4.16</v>
      </c>
      <c r="K69" s="1195">
        <f t="shared" si="16"/>
        <v>0</v>
      </c>
      <c r="L69" s="1195">
        <v>1</v>
      </c>
      <c r="M69" s="1195"/>
      <c r="N69" s="1183">
        <f>H69*J69*L69</f>
        <v>1476.8</v>
      </c>
      <c r="O69" s="1195"/>
      <c r="P69" s="1183">
        <f>N69*23.44*1000</f>
        <v>34616192</v>
      </c>
      <c r="Q69" s="1183">
        <f t="shared" si="19"/>
        <v>34616192</v>
      </c>
    </row>
    <row r="70" spans="1:17" ht="15.75" x14ac:dyDescent="0.25">
      <c r="A70" s="1205"/>
      <c r="B70" s="1208"/>
      <c r="C70" s="1205"/>
      <c r="D70" s="1205"/>
      <c r="E70" s="1209"/>
      <c r="F70" s="1206" t="s">
        <v>962</v>
      </c>
      <c r="G70" s="1195">
        <f t="shared" si="15"/>
        <v>30</v>
      </c>
      <c r="H70" s="1195">
        <v>30</v>
      </c>
      <c r="I70" s="1195"/>
      <c r="J70" s="1195">
        <v>4.16</v>
      </c>
      <c r="K70" s="1195">
        <f t="shared" si="16"/>
        <v>0</v>
      </c>
      <c r="L70" s="1195">
        <v>1</v>
      </c>
      <c r="M70" s="1195"/>
      <c r="N70" s="1183">
        <f>H70*J70*L70</f>
        <v>124.80000000000001</v>
      </c>
      <c r="O70" s="1195"/>
      <c r="P70" s="1183">
        <f>N70*23.44*1000</f>
        <v>2925312.0000000005</v>
      </c>
      <c r="Q70" s="1183">
        <f t="shared" si="19"/>
        <v>2925312.0000000005</v>
      </c>
    </row>
    <row r="71" spans="1:17" ht="15.75" x14ac:dyDescent="0.25">
      <c r="A71" s="1205"/>
      <c r="B71" s="1208"/>
      <c r="C71" s="1205"/>
      <c r="D71" s="1205"/>
      <c r="E71" s="1209"/>
      <c r="F71" s="1206" t="s">
        <v>746</v>
      </c>
      <c r="G71" s="1271" t="s">
        <v>964</v>
      </c>
      <c r="H71" s="1272"/>
      <c r="I71" s="1273"/>
      <c r="J71" s="1195"/>
      <c r="K71" s="1195"/>
      <c r="L71" s="1195"/>
      <c r="M71" s="1195"/>
      <c r="N71" s="1183"/>
      <c r="O71" s="1195"/>
      <c r="P71" s="1183">
        <f>3500*10</f>
        <v>35000</v>
      </c>
      <c r="Q71" s="1183">
        <f t="shared" si="19"/>
        <v>35000</v>
      </c>
    </row>
    <row r="72" spans="1:17" ht="15.75" x14ac:dyDescent="0.25">
      <c r="A72" s="1205"/>
      <c r="B72" s="1208"/>
      <c r="C72" s="1205"/>
      <c r="D72" s="1205"/>
      <c r="E72" s="1209"/>
      <c r="F72" s="1206"/>
      <c r="G72" s="1271" t="s">
        <v>965</v>
      </c>
      <c r="H72" s="1272"/>
      <c r="I72" s="1273"/>
      <c r="J72" s="1195"/>
      <c r="K72" s="1195"/>
      <c r="L72" s="1195"/>
      <c r="M72" s="1195"/>
      <c r="N72" s="1183"/>
      <c r="O72" s="1195"/>
      <c r="P72" s="1183">
        <f>50*1350</f>
        <v>67500</v>
      </c>
      <c r="Q72" s="1183">
        <f t="shared" si="19"/>
        <v>67500</v>
      </c>
    </row>
    <row r="73" spans="1:17" ht="15.75" x14ac:dyDescent="0.25">
      <c r="A73" s="1202"/>
      <c r="B73" s="1203" t="s">
        <v>491</v>
      </c>
      <c r="C73" s="1202"/>
      <c r="D73" s="1202"/>
      <c r="E73" s="1204">
        <f>E74</f>
        <v>0</v>
      </c>
      <c r="F73" s="1202"/>
      <c r="G73" s="1204">
        <f>SUM(G74:G81)</f>
        <v>1603.37</v>
      </c>
      <c r="H73" s="1204">
        <f>SUM(H74:H81)</f>
        <v>25.25</v>
      </c>
      <c r="I73" s="1204">
        <f>SUM(I74:I81)</f>
        <v>1578.12</v>
      </c>
      <c r="J73" s="1204"/>
      <c r="K73" s="1204"/>
      <c r="L73" s="1204"/>
      <c r="M73" s="1204"/>
      <c r="N73" s="1204">
        <f>SUM(N74:N81)</f>
        <v>761.5379200000001</v>
      </c>
      <c r="O73" s="1204"/>
      <c r="P73" s="1204">
        <f>SUM(P74:P81)</f>
        <v>17850448.844800003</v>
      </c>
      <c r="Q73" s="1204">
        <f>SUM(Q74:Q81)</f>
        <v>17850448.844800003</v>
      </c>
    </row>
    <row r="74" spans="1:17" ht="15.75" x14ac:dyDescent="0.25">
      <c r="A74" s="1205"/>
      <c r="B74" s="1206" t="s">
        <v>966</v>
      </c>
      <c r="C74" s="1206"/>
      <c r="D74" s="1195"/>
      <c r="E74" s="1207"/>
      <c r="F74" s="1206" t="s">
        <v>504</v>
      </c>
      <c r="G74" s="1195">
        <f t="shared" ref="G74:G81" si="23">H74+I74</f>
        <v>20</v>
      </c>
      <c r="H74" s="1195">
        <v>0</v>
      </c>
      <c r="I74" s="1195">
        <v>20</v>
      </c>
      <c r="J74" s="1195">
        <v>4.16</v>
      </c>
      <c r="K74" s="1195">
        <f t="shared" ref="K74:K81" si="24">J74-(J74*L74)</f>
        <v>3.7440000000000002</v>
      </c>
      <c r="L74" s="1195">
        <v>0.1</v>
      </c>
      <c r="M74" s="1195"/>
      <c r="N74" s="1183">
        <f>L74*J74*I74</f>
        <v>8.32</v>
      </c>
      <c r="O74" s="1195"/>
      <c r="P74" s="1183">
        <f t="shared" ref="P74:P81" si="25">N74*23.44*1000</f>
        <v>195020.80000000002</v>
      </c>
      <c r="Q74" s="1183">
        <f t="shared" ref="Q74:Q81" si="26">SUM(O74:P74)</f>
        <v>195020.80000000002</v>
      </c>
    </row>
    <row r="75" spans="1:17" ht="15.75" x14ac:dyDescent="0.25">
      <c r="A75" s="1205"/>
      <c r="B75" s="1206" t="s">
        <v>637</v>
      </c>
      <c r="C75" s="1205"/>
      <c r="D75" s="1205"/>
      <c r="E75" s="1209"/>
      <c r="F75" s="1206" t="s">
        <v>586</v>
      </c>
      <c r="G75" s="1195">
        <f t="shared" si="23"/>
        <v>418.12</v>
      </c>
      <c r="H75" s="1195">
        <v>0</v>
      </c>
      <c r="I75" s="1195">
        <v>418.12</v>
      </c>
      <c r="J75" s="1195">
        <v>4.16</v>
      </c>
      <c r="K75" s="1195">
        <f t="shared" si="24"/>
        <v>3.7440000000000002</v>
      </c>
      <c r="L75" s="1195">
        <v>0.1</v>
      </c>
      <c r="M75" s="1195"/>
      <c r="N75" s="1183">
        <f>L75*J75*I75</f>
        <v>173.93792000000002</v>
      </c>
      <c r="O75" s="1195"/>
      <c r="P75" s="1183">
        <f t="shared" si="25"/>
        <v>4077104.8448000005</v>
      </c>
      <c r="Q75" s="1183">
        <f t="shared" si="26"/>
        <v>4077104.8448000005</v>
      </c>
    </row>
    <row r="76" spans="1:17" s="1264" customFormat="1" ht="15.75" x14ac:dyDescent="0.25">
      <c r="A76" s="1262"/>
      <c r="B76" s="1206" t="s">
        <v>634</v>
      </c>
      <c r="C76" s="1262"/>
      <c r="D76" s="1262"/>
      <c r="E76" s="1263"/>
      <c r="F76" s="1265"/>
      <c r="G76" s="1262"/>
      <c r="H76" s="1262"/>
      <c r="I76" s="1262"/>
      <c r="J76" s="1262"/>
      <c r="K76" s="1262"/>
      <c r="L76" s="1262"/>
      <c r="M76" s="1262"/>
      <c r="N76" s="1267"/>
      <c r="O76" s="1262"/>
      <c r="P76" s="1267"/>
      <c r="Q76" s="1267"/>
    </row>
    <row r="77" spans="1:17" ht="15.75" x14ac:dyDescent="0.25">
      <c r="A77" s="1205"/>
      <c r="C77" s="1205"/>
      <c r="D77" s="1205"/>
      <c r="E77" s="1209"/>
      <c r="F77" s="1206" t="s">
        <v>586</v>
      </c>
      <c r="G77" s="1195">
        <f t="shared" si="23"/>
        <v>452</v>
      </c>
      <c r="H77" s="1195"/>
      <c r="I77" s="1195">
        <v>452</v>
      </c>
      <c r="J77" s="1195">
        <v>4.16</v>
      </c>
      <c r="K77" s="1195">
        <f t="shared" si="24"/>
        <v>3.7440000000000002</v>
      </c>
      <c r="L77" s="1195">
        <v>0.1</v>
      </c>
      <c r="M77" s="1195"/>
      <c r="N77" s="1183">
        <f>L77*J77*I77</f>
        <v>188.03200000000001</v>
      </c>
      <c r="O77" s="1195"/>
      <c r="P77" s="1183">
        <f t="shared" si="25"/>
        <v>4407470.0800000001</v>
      </c>
      <c r="Q77" s="1183">
        <f t="shared" si="26"/>
        <v>4407470.0800000001</v>
      </c>
    </row>
    <row r="78" spans="1:17" ht="15.75" x14ac:dyDescent="0.25">
      <c r="A78" s="1205"/>
      <c r="B78" s="1206"/>
      <c r="C78" s="1205"/>
      <c r="D78" s="1205"/>
      <c r="E78" s="1209"/>
      <c r="F78" s="1206" t="s">
        <v>504</v>
      </c>
      <c r="G78" s="1195">
        <f t="shared" si="23"/>
        <v>25</v>
      </c>
      <c r="H78" s="1195">
        <v>25</v>
      </c>
      <c r="I78" s="1195"/>
      <c r="J78" s="1195">
        <v>4.16</v>
      </c>
      <c r="K78" s="1195">
        <f t="shared" si="24"/>
        <v>0</v>
      </c>
      <c r="L78" s="1195">
        <v>1</v>
      </c>
      <c r="M78" s="1195"/>
      <c r="N78" s="1183">
        <f>H78*J78*L78</f>
        <v>104</v>
      </c>
      <c r="O78" s="1195"/>
      <c r="P78" s="1183">
        <f t="shared" si="25"/>
        <v>2437760</v>
      </c>
      <c r="Q78" s="1183">
        <f t="shared" si="26"/>
        <v>2437760</v>
      </c>
    </row>
    <row r="79" spans="1:17" ht="15.75" x14ac:dyDescent="0.25">
      <c r="A79" s="1205"/>
      <c r="B79" s="1206"/>
      <c r="C79" s="1205"/>
      <c r="D79" s="1205"/>
      <c r="E79" s="1209"/>
      <c r="F79" s="1206" t="s">
        <v>474</v>
      </c>
      <c r="G79" s="1195">
        <f t="shared" si="23"/>
        <v>0.25</v>
      </c>
      <c r="H79" s="1195">
        <v>0.25</v>
      </c>
      <c r="I79" s="1195"/>
      <c r="J79" s="1195">
        <v>4.16</v>
      </c>
      <c r="K79" s="1195">
        <f t="shared" si="24"/>
        <v>0</v>
      </c>
      <c r="L79" s="1195">
        <v>1</v>
      </c>
      <c r="M79" s="1195"/>
      <c r="N79" s="1183">
        <f>H79*J79*L79</f>
        <v>1.04</v>
      </c>
      <c r="O79" s="1195"/>
      <c r="P79" s="1183">
        <f t="shared" si="25"/>
        <v>24377.600000000002</v>
      </c>
      <c r="Q79" s="1183">
        <f t="shared" si="26"/>
        <v>24377.600000000002</v>
      </c>
    </row>
    <row r="80" spans="1:17" ht="15.75" x14ac:dyDescent="0.25">
      <c r="A80" s="1205"/>
      <c r="B80" s="1206" t="s">
        <v>639</v>
      </c>
      <c r="C80" s="1205"/>
      <c r="D80" s="1205"/>
      <c r="E80" s="1209"/>
      <c r="F80" s="1206" t="s">
        <v>586</v>
      </c>
      <c r="G80" s="1195">
        <f t="shared" si="23"/>
        <v>538</v>
      </c>
      <c r="H80" s="1195">
        <v>0</v>
      </c>
      <c r="I80" s="1195">
        <v>538</v>
      </c>
      <c r="J80" s="1195">
        <v>4.16</v>
      </c>
      <c r="K80" s="1195">
        <f t="shared" si="24"/>
        <v>3.7440000000000002</v>
      </c>
      <c r="L80" s="1195">
        <v>0.1</v>
      </c>
      <c r="M80" s="1195"/>
      <c r="N80" s="1183">
        <f>L80*J80*I80</f>
        <v>223.80800000000002</v>
      </c>
      <c r="O80" s="1195"/>
      <c r="P80" s="1183">
        <f t="shared" si="25"/>
        <v>5246059.5200000005</v>
      </c>
      <c r="Q80" s="1183">
        <f t="shared" si="26"/>
        <v>5246059.5200000005</v>
      </c>
    </row>
    <row r="81" spans="1:17" ht="15.75" x14ac:dyDescent="0.25">
      <c r="A81" s="1205"/>
      <c r="B81" s="1206" t="s">
        <v>492</v>
      </c>
      <c r="C81" s="1205"/>
      <c r="D81" s="1205"/>
      <c r="E81" s="1209"/>
      <c r="F81" s="1206" t="s">
        <v>586</v>
      </c>
      <c r="G81" s="1195">
        <f t="shared" si="23"/>
        <v>150</v>
      </c>
      <c r="H81" s="1195">
        <v>0</v>
      </c>
      <c r="I81" s="1195">
        <v>150</v>
      </c>
      <c r="J81" s="1195">
        <v>4.16</v>
      </c>
      <c r="K81" s="1195">
        <f t="shared" si="24"/>
        <v>3.7440000000000002</v>
      </c>
      <c r="L81" s="1195">
        <v>0.1</v>
      </c>
      <c r="M81" s="1195"/>
      <c r="N81" s="1183">
        <f>L81*J81*I81</f>
        <v>62.400000000000006</v>
      </c>
      <c r="O81" s="1195"/>
      <c r="P81" s="1183">
        <f t="shared" si="25"/>
        <v>1462656.0000000002</v>
      </c>
      <c r="Q81" s="1183">
        <f t="shared" si="26"/>
        <v>1462656.0000000002</v>
      </c>
    </row>
    <row r="82" spans="1:17" ht="15.75" x14ac:dyDescent="0.25">
      <c r="A82" s="1205"/>
      <c r="B82" s="1206"/>
      <c r="C82" s="1205"/>
      <c r="D82" s="1205"/>
      <c r="E82" s="1209"/>
      <c r="F82" s="1206"/>
      <c r="G82" s="1195"/>
      <c r="H82" s="1195"/>
      <c r="I82" s="1195"/>
      <c r="J82" s="1195"/>
      <c r="K82" s="1195"/>
      <c r="L82" s="1195"/>
      <c r="M82" s="1195"/>
      <c r="N82" s="1183"/>
      <c r="O82" s="1195"/>
      <c r="P82" s="1183"/>
      <c r="Q82" s="1183"/>
    </row>
    <row r="83" spans="1:17" ht="15.75" x14ac:dyDescent="0.25">
      <c r="A83" s="1202"/>
      <c r="B83" s="1203" t="s">
        <v>493</v>
      </c>
      <c r="C83" s="1202"/>
      <c r="D83" s="1202"/>
      <c r="E83" s="1204">
        <f>E85</f>
        <v>0</v>
      </c>
      <c r="F83" s="1202"/>
      <c r="G83" s="1204">
        <f>SUM(G85:G106)</f>
        <v>7992.72</v>
      </c>
      <c r="H83" s="1204">
        <f>SUM(H85:H106)</f>
        <v>385.72</v>
      </c>
      <c r="I83" s="1204">
        <f>SUM(I85:I106)</f>
        <v>7607</v>
      </c>
      <c r="J83" s="1204"/>
      <c r="K83" s="1204"/>
      <c r="L83" s="1204"/>
      <c r="M83" s="1204"/>
      <c r="N83" s="1204">
        <f>SUM(N85:N106)</f>
        <v>4769.1072000000013</v>
      </c>
      <c r="O83" s="1204"/>
      <c r="P83" s="1204">
        <f>SUM(P85:P106)</f>
        <v>111787872.76800002</v>
      </c>
      <c r="Q83" s="1204">
        <f>SUM(Q85:Q106)</f>
        <v>111787872.76800002</v>
      </c>
    </row>
    <row r="84" spans="1:17" s="1264" customFormat="1" ht="15.75" x14ac:dyDescent="0.25">
      <c r="A84" s="1262"/>
      <c r="B84" s="1206" t="s">
        <v>499</v>
      </c>
      <c r="C84" s="1262"/>
      <c r="D84" s="1262"/>
      <c r="E84" s="1263"/>
      <c r="F84" s="1262"/>
      <c r="G84" s="1263">
        <f>SUM(G85:G86)</f>
        <v>80</v>
      </c>
      <c r="H84" s="1263">
        <f t="shared" ref="H84:Q84" si="27">SUM(H85:H86)</f>
        <v>0</v>
      </c>
      <c r="I84" s="1263">
        <f t="shared" si="27"/>
        <v>80</v>
      </c>
      <c r="J84" s="1263">
        <f t="shared" si="27"/>
        <v>8.32</v>
      </c>
      <c r="K84" s="1263">
        <f t="shared" si="27"/>
        <v>7.4880000000000004</v>
      </c>
      <c r="L84" s="1263">
        <f t="shared" si="27"/>
        <v>0.2</v>
      </c>
      <c r="M84" s="1263">
        <f t="shared" si="27"/>
        <v>0</v>
      </c>
      <c r="N84" s="1263">
        <f t="shared" si="27"/>
        <v>33.28</v>
      </c>
      <c r="O84" s="1263">
        <f t="shared" si="27"/>
        <v>0</v>
      </c>
      <c r="P84" s="1263">
        <f t="shared" si="27"/>
        <v>780083.20000000007</v>
      </c>
      <c r="Q84" s="1263">
        <f t="shared" si="27"/>
        <v>780083.20000000007</v>
      </c>
    </row>
    <row r="85" spans="1:17" ht="15.75" x14ac:dyDescent="0.25">
      <c r="A85" s="1205"/>
      <c r="C85" s="1206"/>
      <c r="D85" s="1195"/>
      <c r="E85" s="1207"/>
      <c r="F85" s="1206" t="s">
        <v>504</v>
      </c>
      <c r="G85" s="1195">
        <f t="shared" ref="G85:G105" si="28">H85+I85</f>
        <v>20</v>
      </c>
      <c r="H85" s="1195">
        <v>0</v>
      </c>
      <c r="I85" s="1195">
        <v>20</v>
      </c>
      <c r="J85" s="1195">
        <v>4.16</v>
      </c>
      <c r="K85" s="1195">
        <f t="shared" ref="K85:K105" si="29">J85-(J85*L85)</f>
        <v>3.7440000000000002</v>
      </c>
      <c r="L85" s="1195">
        <v>0.1</v>
      </c>
      <c r="M85" s="1195"/>
      <c r="N85" s="1183">
        <f t="shared" ref="N85:N105" si="30">L85*J85*I85</f>
        <v>8.32</v>
      </c>
      <c r="O85" s="1195"/>
      <c r="P85" s="1183">
        <f t="shared" ref="P85:P105" si="31">N85*23.44*1000</f>
        <v>195020.80000000002</v>
      </c>
      <c r="Q85" s="1183">
        <f t="shared" ref="Q85:Q140" si="32">SUM(O85:P85)</f>
        <v>195020.80000000002</v>
      </c>
    </row>
    <row r="86" spans="1:17" ht="15.75" x14ac:dyDescent="0.25">
      <c r="A86" s="1205"/>
      <c r="B86" s="1206"/>
      <c r="C86" s="1205"/>
      <c r="D86" s="1205"/>
      <c r="E86" s="1209"/>
      <c r="F86" s="1206" t="s">
        <v>586</v>
      </c>
      <c r="G86" s="1195">
        <f t="shared" si="28"/>
        <v>60</v>
      </c>
      <c r="H86" s="1195">
        <v>0</v>
      </c>
      <c r="I86" s="1195">
        <v>60</v>
      </c>
      <c r="J86" s="1195">
        <v>4.16</v>
      </c>
      <c r="K86" s="1195">
        <f t="shared" si="29"/>
        <v>3.7440000000000002</v>
      </c>
      <c r="L86" s="1195">
        <v>0.1</v>
      </c>
      <c r="M86" s="1195"/>
      <c r="N86" s="1183">
        <f t="shared" si="30"/>
        <v>24.96</v>
      </c>
      <c r="O86" s="1195"/>
      <c r="P86" s="1183">
        <f t="shared" si="31"/>
        <v>585062.40000000002</v>
      </c>
      <c r="Q86" s="1183">
        <f t="shared" si="32"/>
        <v>585062.40000000002</v>
      </c>
    </row>
    <row r="87" spans="1:17" s="1264" customFormat="1" ht="15.75" x14ac:dyDescent="0.25">
      <c r="A87" s="1262"/>
      <c r="B87" s="1206" t="s">
        <v>496</v>
      </c>
      <c r="C87" s="1262"/>
      <c r="D87" s="1262"/>
      <c r="E87" s="1263"/>
      <c r="F87" s="1265"/>
      <c r="G87" s="1262">
        <f>SUM(G88:G91)</f>
        <v>1170</v>
      </c>
      <c r="H87" s="1262">
        <f t="shared" ref="H87:Q87" si="33">SUM(H88:H91)</f>
        <v>95</v>
      </c>
      <c r="I87" s="1262">
        <f t="shared" si="33"/>
        <v>1075</v>
      </c>
      <c r="J87" s="1262">
        <f t="shared" si="33"/>
        <v>16.64</v>
      </c>
      <c r="K87" s="1262">
        <f t="shared" si="33"/>
        <v>11.232000000000001</v>
      </c>
      <c r="L87" s="1262">
        <f t="shared" si="33"/>
        <v>1.3000000000000003</v>
      </c>
      <c r="M87" s="1262">
        <f t="shared" si="33"/>
        <v>0</v>
      </c>
      <c r="N87" s="1262">
        <f t="shared" si="33"/>
        <v>842.40000000000009</v>
      </c>
      <c r="O87" s="1262">
        <f t="shared" si="33"/>
        <v>0</v>
      </c>
      <c r="P87" s="1262">
        <f t="shared" si="33"/>
        <v>19745856</v>
      </c>
      <c r="Q87" s="1262">
        <f t="shared" si="33"/>
        <v>19745856</v>
      </c>
    </row>
    <row r="88" spans="1:17" ht="15.75" x14ac:dyDescent="0.25">
      <c r="A88" s="1205"/>
      <c r="C88" s="1205"/>
      <c r="D88" s="1205"/>
      <c r="E88" s="1209"/>
      <c r="F88" s="1206" t="s">
        <v>504</v>
      </c>
      <c r="G88" s="1195">
        <f t="shared" si="28"/>
        <v>120</v>
      </c>
      <c r="H88" s="1195">
        <v>0</v>
      </c>
      <c r="I88" s="1195">
        <v>120</v>
      </c>
      <c r="J88" s="1195">
        <v>4.16</v>
      </c>
      <c r="K88" s="1195">
        <f t="shared" si="29"/>
        <v>3.7440000000000002</v>
      </c>
      <c r="L88" s="1195">
        <v>0.1</v>
      </c>
      <c r="M88" s="1195"/>
      <c r="N88" s="1183">
        <f t="shared" si="30"/>
        <v>49.92</v>
      </c>
      <c r="O88" s="1195"/>
      <c r="P88" s="1183">
        <f t="shared" si="31"/>
        <v>1170124.8</v>
      </c>
      <c r="Q88" s="1183">
        <f t="shared" si="32"/>
        <v>1170124.8</v>
      </c>
    </row>
    <row r="89" spans="1:17" ht="15.75" x14ac:dyDescent="0.25">
      <c r="A89" s="1205"/>
      <c r="B89" s="1206"/>
      <c r="C89" s="1205"/>
      <c r="D89" s="1205"/>
      <c r="E89" s="1209"/>
      <c r="F89" s="1206" t="s">
        <v>504</v>
      </c>
      <c r="G89" s="1195">
        <f t="shared" si="28"/>
        <v>95</v>
      </c>
      <c r="H89" s="1195">
        <v>95</v>
      </c>
      <c r="I89" s="1195">
        <v>0</v>
      </c>
      <c r="J89" s="1195">
        <v>4.16</v>
      </c>
      <c r="K89" s="1195">
        <f t="shared" si="29"/>
        <v>0</v>
      </c>
      <c r="L89" s="1195">
        <v>1</v>
      </c>
      <c r="M89" s="1195"/>
      <c r="N89" s="1183">
        <f>L89*J89*H89</f>
        <v>395.2</v>
      </c>
      <c r="O89" s="1195"/>
      <c r="P89" s="1183">
        <f t="shared" si="31"/>
        <v>9263488</v>
      </c>
      <c r="Q89" s="1183">
        <f t="shared" si="32"/>
        <v>9263488</v>
      </c>
    </row>
    <row r="90" spans="1:17" ht="15.75" x14ac:dyDescent="0.25">
      <c r="A90" s="1205"/>
      <c r="B90" s="1206"/>
      <c r="C90" s="1205"/>
      <c r="D90" s="1205"/>
      <c r="E90" s="1209"/>
      <c r="F90" s="1206" t="s">
        <v>497</v>
      </c>
      <c r="G90" s="1195">
        <f t="shared" si="28"/>
        <v>75</v>
      </c>
      <c r="H90" s="1195">
        <v>0</v>
      </c>
      <c r="I90" s="1195">
        <v>75</v>
      </c>
      <c r="J90" s="1195">
        <v>4.16</v>
      </c>
      <c r="K90" s="1195">
        <f t="shared" si="29"/>
        <v>3.7440000000000002</v>
      </c>
      <c r="L90" s="1195">
        <v>0.1</v>
      </c>
      <c r="M90" s="1195"/>
      <c r="N90" s="1183">
        <f t="shared" si="30"/>
        <v>31.200000000000003</v>
      </c>
      <c r="O90" s="1195"/>
      <c r="P90" s="1183">
        <f t="shared" si="31"/>
        <v>731328.00000000012</v>
      </c>
      <c r="Q90" s="1183">
        <f t="shared" si="32"/>
        <v>731328.00000000012</v>
      </c>
    </row>
    <row r="91" spans="1:17" ht="15.75" x14ac:dyDescent="0.25">
      <c r="A91" s="1205"/>
      <c r="B91" s="1206" t="s">
        <v>503</v>
      </c>
      <c r="C91" s="1205"/>
      <c r="D91" s="1205"/>
      <c r="E91" s="1209"/>
      <c r="F91" s="1206" t="s">
        <v>504</v>
      </c>
      <c r="G91" s="1195">
        <f t="shared" si="28"/>
        <v>880</v>
      </c>
      <c r="H91" s="1195">
        <v>0</v>
      </c>
      <c r="I91" s="1195">
        <v>880</v>
      </c>
      <c r="J91" s="1195">
        <v>4.16</v>
      </c>
      <c r="K91" s="1195">
        <f t="shared" si="29"/>
        <v>3.7440000000000002</v>
      </c>
      <c r="L91" s="1195">
        <v>0.1</v>
      </c>
      <c r="M91" s="1195"/>
      <c r="N91" s="1183">
        <f t="shared" si="30"/>
        <v>366.08000000000004</v>
      </c>
      <c r="O91" s="1195"/>
      <c r="P91" s="1183">
        <f t="shared" si="31"/>
        <v>8580915.2000000011</v>
      </c>
      <c r="Q91" s="1183">
        <f t="shared" si="32"/>
        <v>8580915.2000000011</v>
      </c>
    </row>
    <row r="92" spans="1:17" s="1264" customFormat="1" ht="15.75" x14ac:dyDescent="0.25">
      <c r="A92" s="1262"/>
      <c r="B92" s="1206" t="s">
        <v>498</v>
      </c>
      <c r="C92" s="1262"/>
      <c r="D92" s="1262"/>
      <c r="E92" s="1263"/>
      <c r="F92" s="1265"/>
      <c r="G92" s="1262">
        <f>SUM(G93:G95)</f>
        <v>235.5</v>
      </c>
      <c r="H92" s="1262">
        <f t="shared" ref="H92:Q92" si="34">SUM(H93:H95)</f>
        <v>10</v>
      </c>
      <c r="I92" s="1262">
        <f t="shared" si="34"/>
        <v>225.5</v>
      </c>
      <c r="J92" s="1262">
        <f t="shared" si="34"/>
        <v>12.48</v>
      </c>
      <c r="K92" s="1262">
        <f t="shared" si="34"/>
        <v>7.4880000000000004</v>
      </c>
      <c r="L92" s="1262">
        <f t="shared" si="34"/>
        <v>1.2000000000000002</v>
      </c>
      <c r="M92" s="1262">
        <f t="shared" si="34"/>
        <v>0</v>
      </c>
      <c r="N92" s="1262">
        <f t="shared" si="34"/>
        <v>135.40800000000002</v>
      </c>
      <c r="O92" s="1262">
        <f t="shared" si="34"/>
        <v>0</v>
      </c>
      <c r="P92" s="1262">
        <f t="shared" si="34"/>
        <v>3173963.5200000005</v>
      </c>
      <c r="Q92" s="1262">
        <f t="shared" si="34"/>
        <v>3173963.5200000005</v>
      </c>
    </row>
    <row r="93" spans="1:17" ht="15.75" x14ac:dyDescent="0.25">
      <c r="A93" s="1205"/>
      <c r="C93" s="1205"/>
      <c r="D93" s="1205"/>
      <c r="E93" s="1209"/>
      <c r="F93" s="1206" t="s">
        <v>504</v>
      </c>
      <c r="G93" s="1195">
        <f t="shared" si="28"/>
        <v>147.5</v>
      </c>
      <c r="H93" s="1195">
        <v>0</v>
      </c>
      <c r="I93" s="1195">
        <v>147.5</v>
      </c>
      <c r="J93" s="1195">
        <v>4.16</v>
      </c>
      <c r="K93" s="1195">
        <f t="shared" si="29"/>
        <v>3.7440000000000002</v>
      </c>
      <c r="L93" s="1195">
        <v>0.1</v>
      </c>
      <c r="M93" s="1195"/>
      <c r="N93" s="1183">
        <f t="shared" si="30"/>
        <v>61.360000000000007</v>
      </c>
      <c r="O93" s="1195"/>
      <c r="P93" s="1183">
        <f t="shared" si="31"/>
        <v>1438278.4000000001</v>
      </c>
      <c r="Q93" s="1183">
        <f t="shared" si="32"/>
        <v>1438278.4000000001</v>
      </c>
    </row>
    <row r="94" spans="1:17" ht="15.75" x14ac:dyDescent="0.25">
      <c r="A94" s="1205"/>
      <c r="B94" s="1206"/>
      <c r="C94" s="1205"/>
      <c r="D94" s="1205"/>
      <c r="E94" s="1209"/>
      <c r="F94" s="1206" t="s">
        <v>504</v>
      </c>
      <c r="G94" s="1195">
        <f t="shared" si="28"/>
        <v>10</v>
      </c>
      <c r="H94" s="1195">
        <v>10</v>
      </c>
      <c r="I94" s="1195">
        <v>0</v>
      </c>
      <c r="J94" s="1195">
        <v>4.16</v>
      </c>
      <c r="K94" s="1195">
        <f t="shared" si="29"/>
        <v>0</v>
      </c>
      <c r="L94" s="1195">
        <v>1</v>
      </c>
      <c r="M94" s="1195"/>
      <c r="N94" s="1183">
        <f>L94*J94*H94</f>
        <v>41.6</v>
      </c>
      <c r="O94" s="1195"/>
      <c r="P94" s="1183">
        <f t="shared" si="31"/>
        <v>975104</v>
      </c>
      <c r="Q94" s="1183">
        <f>SUM(O94:P94)</f>
        <v>975104</v>
      </c>
    </row>
    <row r="95" spans="1:17" ht="15.75" x14ac:dyDescent="0.25">
      <c r="A95" s="1205"/>
      <c r="B95" s="1206"/>
      <c r="C95" s="1205"/>
      <c r="D95" s="1205"/>
      <c r="E95" s="1209"/>
      <c r="F95" s="1206" t="s">
        <v>967</v>
      </c>
      <c r="G95" s="1195">
        <f t="shared" si="28"/>
        <v>78</v>
      </c>
      <c r="H95" s="1195">
        <v>0</v>
      </c>
      <c r="I95" s="1195">
        <v>78</v>
      </c>
      <c r="J95" s="1195">
        <v>4.16</v>
      </c>
      <c r="K95" s="1195">
        <f t="shared" si="29"/>
        <v>3.7440000000000002</v>
      </c>
      <c r="L95" s="1195">
        <v>0.1</v>
      </c>
      <c r="M95" s="1195"/>
      <c r="N95" s="1183">
        <f>L95*J95*I95</f>
        <v>32.448</v>
      </c>
      <c r="O95" s="1195"/>
      <c r="P95" s="1183">
        <f t="shared" si="31"/>
        <v>760581.12000000011</v>
      </c>
      <c r="Q95" s="1183">
        <f>SUM(O95:P95)</f>
        <v>760581.12000000011</v>
      </c>
    </row>
    <row r="96" spans="1:17" s="1264" customFormat="1" ht="15.75" x14ac:dyDescent="0.25">
      <c r="A96" s="1262"/>
      <c r="B96" s="1206" t="s">
        <v>500</v>
      </c>
      <c r="C96" s="1262"/>
      <c r="D96" s="1262"/>
      <c r="E96" s="1263"/>
      <c r="F96" s="1265"/>
      <c r="G96" s="1262">
        <f>SUM(G97:G100)</f>
        <v>398.86</v>
      </c>
      <c r="H96" s="1262">
        <f t="shared" ref="H96:Q96" si="35">SUM(H97:H100)</f>
        <v>2.86</v>
      </c>
      <c r="I96" s="1262">
        <f t="shared" si="35"/>
        <v>396</v>
      </c>
      <c r="J96" s="1262">
        <f t="shared" si="35"/>
        <v>16.64</v>
      </c>
      <c r="K96" s="1262">
        <f t="shared" si="35"/>
        <v>11.232000000000001</v>
      </c>
      <c r="L96" s="1262">
        <f t="shared" si="35"/>
        <v>1.3000000000000003</v>
      </c>
      <c r="M96" s="1262">
        <f t="shared" si="35"/>
        <v>0</v>
      </c>
      <c r="N96" s="1262">
        <f t="shared" si="35"/>
        <v>176.6336</v>
      </c>
      <c r="O96" s="1262">
        <f t="shared" si="35"/>
        <v>0</v>
      </c>
      <c r="P96" s="1262">
        <f t="shared" si="35"/>
        <v>4140291.5839999998</v>
      </c>
      <c r="Q96" s="1262">
        <f t="shared" si="35"/>
        <v>4140291.5839999998</v>
      </c>
    </row>
    <row r="97" spans="1:17" ht="15.75" x14ac:dyDescent="0.25">
      <c r="A97" s="1205"/>
      <c r="C97" s="1205"/>
      <c r="D97" s="1205"/>
      <c r="E97" s="1209"/>
      <c r="F97" s="1206" t="s">
        <v>513</v>
      </c>
      <c r="G97" s="1195">
        <f t="shared" si="28"/>
        <v>50</v>
      </c>
      <c r="H97" s="1195">
        <v>0</v>
      </c>
      <c r="I97" s="1195">
        <v>50</v>
      </c>
      <c r="J97" s="1195">
        <v>4.16</v>
      </c>
      <c r="K97" s="1195">
        <f t="shared" si="29"/>
        <v>3.7440000000000002</v>
      </c>
      <c r="L97" s="1195">
        <v>0.1</v>
      </c>
      <c r="M97" s="1195"/>
      <c r="N97" s="1183">
        <f t="shared" si="30"/>
        <v>20.8</v>
      </c>
      <c r="O97" s="1195"/>
      <c r="P97" s="1183">
        <f t="shared" si="31"/>
        <v>487552</v>
      </c>
      <c r="Q97" s="1183">
        <f t="shared" si="32"/>
        <v>487552</v>
      </c>
    </row>
    <row r="98" spans="1:17" ht="15.75" x14ac:dyDescent="0.25">
      <c r="A98" s="1205"/>
      <c r="B98" s="1206"/>
      <c r="C98" s="1205"/>
      <c r="D98" s="1205"/>
      <c r="E98" s="1209"/>
      <c r="F98" s="1206" t="s">
        <v>504</v>
      </c>
      <c r="G98" s="1195">
        <f t="shared" si="28"/>
        <v>2.86</v>
      </c>
      <c r="H98" s="1195">
        <v>2.86</v>
      </c>
      <c r="I98" s="1195">
        <v>0</v>
      </c>
      <c r="J98" s="1195">
        <v>4.16</v>
      </c>
      <c r="K98" s="1195">
        <f t="shared" si="29"/>
        <v>0</v>
      </c>
      <c r="L98" s="1195">
        <v>1</v>
      </c>
      <c r="M98" s="1195"/>
      <c r="N98" s="1183">
        <f>L98*J98*H98</f>
        <v>11.897600000000001</v>
      </c>
      <c r="O98" s="1195"/>
      <c r="P98" s="1183">
        <f t="shared" si="31"/>
        <v>278879.74400000001</v>
      </c>
      <c r="Q98" s="1183">
        <f>SUM(O98:P98)</f>
        <v>278879.74400000001</v>
      </c>
    </row>
    <row r="99" spans="1:17" ht="15.75" x14ac:dyDescent="0.25">
      <c r="A99" s="1205"/>
      <c r="B99" s="1206" t="s">
        <v>642</v>
      </c>
      <c r="C99" s="1205"/>
      <c r="D99" s="1205"/>
      <c r="E99" s="1209"/>
      <c r="F99" s="1206" t="s">
        <v>586</v>
      </c>
      <c r="G99" s="1195">
        <f t="shared" si="28"/>
        <v>150</v>
      </c>
      <c r="H99" s="1195">
        <v>0</v>
      </c>
      <c r="I99" s="1195">
        <v>150</v>
      </c>
      <c r="J99" s="1195">
        <v>4.16</v>
      </c>
      <c r="K99" s="1195">
        <f t="shared" si="29"/>
        <v>3.7440000000000002</v>
      </c>
      <c r="L99" s="1195">
        <v>0.1</v>
      </c>
      <c r="M99" s="1195"/>
      <c r="N99" s="1183">
        <f t="shared" si="30"/>
        <v>62.400000000000006</v>
      </c>
      <c r="O99" s="1195"/>
      <c r="P99" s="1183">
        <f t="shared" si="31"/>
        <v>1462656.0000000002</v>
      </c>
      <c r="Q99" s="1183">
        <f t="shared" si="32"/>
        <v>1462656.0000000002</v>
      </c>
    </row>
    <row r="100" spans="1:17" ht="15.75" x14ac:dyDescent="0.25">
      <c r="A100" s="1205"/>
      <c r="B100" s="1206" t="s">
        <v>494</v>
      </c>
      <c r="C100" s="1205"/>
      <c r="D100" s="1205"/>
      <c r="E100" s="1209"/>
      <c r="F100" s="1206" t="s">
        <v>586</v>
      </c>
      <c r="G100" s="1195">
        <f t="shared" si="28"/>
        <v>196</v>
      </c>
      <c r="H100" s="1195">
        <v>0</v>
      </c>
      <c r="I100" s="1195">
        <v>196</v>
      </c>
      <c r="J100" s="1195">
        <v>4.16</v>
      </c>
      <c r="K100" s="1195">
        <f t="shared" si="29"/>
        <v>3.7440000000000002</v>
      </c>
      <c r="L100" s="1195">
        <v>0.1</v>
      </c>
      <c r="M100" s="1195"/>
      <c r="N100" s="1183">
        <f t="shared" si="30"/>
        <v>81.536000000000001</v>
      </c>
      <c r="O100" s="1195"/>
      <c r="P100" s="1183">
        <f t="shared" si="31"/>
        <v>1911203.8400000001</v>
      </c>
      <c r="Q100" s="1183">
        <f t="shared" si="32"/>
        <v>1911203.8400000001</v>
      </c>
    </row>
    <row r="101" spans="1:17" s="1264" customFormat="1" ht="15.75" x14ac:dyDescent="0.25">
      <c r="A101" s="1262"/>
      <c r="B101" s="1206" t="s">
        <v>502</v>
      </c>
      <c r="C101" s="1262"/>
      <c r="D101" s="1262"/>
      <c r="E101" s="1263"/>
      <c r="F101" s="1265"/>
      <c r="G101" s="1262">
        <f>SUM(G102:G105)</f>
        <v>2152</v>
      </c>
      <c r="H101" s="1262">
        <f t="shared" ref="H101:Q101" si="36">SUM(H102:H105)</f>
        <v>85</v>
      </c>
      <c r="I101" s="1262">
        <f t="shared" si="36"/>
        <v>2067</v>
      </c>
      <c r="J101" s="1262">
        <f t="shared" si="36"/>
        <v>16.64</v>
      </c>
      <c r="K101" s="1262">
        <f t="shared" si="36"/>
        <v>11.232000000000001</v>
      </c>
      <c r="L101" s="1262">
        <f t="shared" si="36"/>
        <v>1.3000000000000003</v>
      </c>
      <c r="M101" s="1262">
        <f t="shared" si="36"/>
        <v>0</v>
      </c>
      <c r="N101" s="1262">
        <f t="shared" si="36"/>
        <v>1213.472</v>
      </c>
      <c r="O101" s="1262">
        <f t="shared" si="36"/>
        <v>0</v>
      </c>
      <c r="P101" s="1262">
        <f t="shared" si="36"/>
        <v>28443783.680000003</v>
      </c>
      <c r="Q101" s="1262">
        <f t="shared" si="36"/>
        <v>28443783.680000003</v>
      </c>
    </row>
    <row r="102" spans="1:17" ht="15.75" x14ac:dyDescent="0.25">
      <c r="A102" s="1205"/>
      <c r="C102" s="1205"/>
      <c r="D102" s="1205"/>
      <c r="E102" s="1209"/>
      <c r="F102" s="1206" t="s">
        <v>513</v>
      </c>
      <c r="G102" s="1195">
        <f t="shared" si="28"/>
        <v>1459</v>
      </c>
      <c r="H102" s="1195">
        <v>0</v>
      </c>
      <c r="I102" s="1195">
        <v>1459</v>
      </c>
      <c r="J102" s="1195">
        <v>4.16</v>
      </c>
      <c r="K102" s="1195">
        <f t="shared" si="29"/>
        <v>3.7440000000000002</v>
      </c>
      <c r="L102" s="1195">
        <v>0.1</v>
      </c>
      <c r="M102" s="1195"/>
      <c r="N102" s="1183">
        <f t="shared" si="30"/>
        <v>606.94400000000007</v>
      </c>
      <c r="O102" s="1195"/>
      <c r="P102" s="1183">
        <f t="shared" si="31"/>
        <v>14226767.360000001</v>
      </c>
      <c r="Q102" s="1183">
        <f t="shared" si="32"/>
        <v>14226767.360000001</v>
      </c>
    </row>
    <row r="103" spans="1:17" ht="15.75" x14ac:dyDescent="0.25">
      <c r="A103" s="1205"/>
      <c r="B103" s="1206"/>
      <c r="C103" s="1205"/>
      <c r="D103" s="1205"/>
      <c r="E103" s="1209"/>
      <c r="F103" s="1206" t="s">
        <v>504</v>
      </c>
      <c r="G103" s="1195">
        <f t="shared" si="28"/>
        <v>85</v>
      </c>
      <c r="H103" s="1195">
        <v>85</v>
      </c>
      <c r="I103" s="1195">
        <v>0</v>
      </c>
      <c r="J103" s="1195">
        <v>4.16</v>
      </c>
      <c r="K103" s="1195">
        <f t="shared" si="29"/>
        <v>0</v>
      </c>
      <c r="L103" s="1195">
        <v>1</v>
      </c>
      <c r="M103" s="1195"/>
      <c r="N103" s="1183">
        <f>L103*J103*H103</f>
        <v>353.6</v>
      </c>
      <c r="O103" s="1195"/>
      <c r="P103" s="1183">
        <f t="shared" si="31"/>
        <v>8288384.0000000019</v>
      </c>
      <c r="Q103" s="1183">
        <f t="shared" si="32"/>
        <v>8288384.0000000019</v>
      </c>
    </row>
    <row r="104" spans="1:17" ht="15.75" x14ac:dyDescent="0.25">
      <c r="A104" s="1205"/>
      <c r="B104" s="1206"/>
      <c r="C104" s="1205"/>
      <c r="D104" s="1205"/>
      <c r="E104" s="1209"/>
      <c r="F104" s="1206" t="s">
        <v>504</v>
      </c>
      <c r="G104" s="1195">
        <f t="shared" si="28"/>
        <v>508</v>
      </c>
      <c r="H104" s="1195">
        <v>0</v>
      </c>
      <c r="I104" s="1195">
        <v>508</v>
      </c>
      <c r="J104" s="1195">
        <v>4.16</v>
      </c>
      <c r="K104" s="1195">
        <f t="shared" si="29"/>
        <v>3.7440000000000002</v>
      </c>
      <c r="L104" s="1195">
        <v>0.1</v>
      </c>
      <c r="M104" s="1195"/>
      <c r="N104" s="1183">
        <f>L104*J104*I104</f>
        <v>211.32800000000003</v>
      </c>
      <c r="O104" s="1195"/>
      <c r="P104" s="1183">
        <f t="shared" si="31"/>
        <v>4953528.3200000012</v>
      </c>
      <c r="Q104" s="1183">
        <f>SUM(O104:P104)</f>
        <v>4953528.3200000012</v>
      </c>
    </row>
    <row r="105" spans="1:17" ht="15.75" x14ac:dyDescent="0.25">
      <c r="A105" s="1205"/>
      <c r="B105" s="1206"/>
      <c r="C105" s="1205"/>
      <c r="D105" s="1205"/>
      <c r="E105" s="1209"/>
      <c r="F105" s="1206" t="s">
        <v>481</v>
      </c>
      <c r="G105" s="1195">
        <f t="shared" si="28"/>
        <v>100</v>
      </c>
      <c r="H105" s="1195">
        <v>0</v>
      </c>
      <c r="I105" s="1195">
        <v>100</v>
      </c>
      <c r="J105" s="1195">
        <v>4.16</v>
      </c>
      <c r="K105" s="1195">
        <f t="shared" si="29"/>
        <v>3.7440000000000002</v>
      </c>
      <c r="L105" s="1195">
        <v>0.1</v>
      </c>
      <c r="M105" s="1195"/>
      <c r="N105" s="1183">
        <f t="shared" si="30"/>
        <v>41.6</v>
      </c>
      <c r="O105" s="1195"/>
      <c r="P105" s="1183">
        <f t="shared" si="31"/>
        <v>975104</v>
      </c>
      <c r="Q105" s="1183">
        <f t="shared" si="32"/>
        <v>975104</v>
      </c>
    </row>
    <row r="106" spans="1:17" ht="15.75" x14ac:dyDescent="0.25">
      <c r="A106" s="1205"/>
      <c r="B106" s="1206"/>
      <c r="C106" s="1205"/>
      <c r="D106" s="1205"/>
      <c r="E106" s="1209"/>
      <c r="F106" s="1206"/>
      <c r="G106" s="1195"/>
      <c r="H106" s="1195"/>
      <c r="I106" s="1195"/>
      <c r="J106" s="1195"/>
      <c r="K106" s="1195"/>
      <c r="L106" s="1195"/>
      <c r="M106" s="1195"/>
      <c r="N106" s="1183"/>
      <c r="O106" s="1195"/>
      <c r="P106" s="1183"/>
      <c r="Q106" s="1183"/>
    </row>
    <row r="107" spans="1:17" ht="15.75" x14ac:dyDescent="0.25">
      <c r="A107" s="1202"/>
      <c r="B107" s="1203" t="s">
        <v>507</v>
      </c>
      <c r="C107" s="1202"/>
      <c r="D107" s="1202"/>
      <c r="E107" s="1204">
        <f>E108</f>
        <v>0</v>
      </c>
      <c r="F107" s="1202"/>
      <c r="G107" s="1204">
        <f>SUM(G108:G140)</f>
        <v>14753.240000000002</v>
      </c>
      <c r="H107" s="1204">
        <f>SUM(H108:H140)</f>
        <v>373</v>
      </c>
      <c r="I107" s="1204">
        <f>SUM(I108:I140)</f>
        <v>14380.240000000002</v>
      </c>
      <c r="J107" s="1204"/>
      <c r="K107" s="1212"/>
      <c r="L107" s="1213"/>
      <c r="M107" s="1213"/>
      <c r="N107" s="1204">
        <f>SUM(N108:N140)</f>
        <v>5866.773119999998</v>
      </c>
      <c r="O107" s="1213"/>
      <c r="P107" s="1204">
        <f>SUM(P108:P140)</f>
        <v>137517161.93279999</v>
      </c>
      <c r="Q107" s="1204">
        <f>SUM(Q108:Q140)</f>
        <v>137517161.93279999</v>
      </c>
    </row>
    <row r="108" spans="1:17" ht="15.75" x14ac:dyDescent="0.25">
      <c r="A108" s="1195"/>
      <c r="B108" s="1206" t="s">
        <v>516</v>
      </c>
      <c r="C108" s="1206"/>
      <c r="D108" s="1195"/>
      <c r="E108" s="1207"/>
      <c r="F108" s="1206" t="s">
        <v>586</v>
      </c>
      <c r="G108" s="1195">
        <f t="shared" ref="G108:G140" si="37">H108+I108</f>
        <v>971</v>
      </c>
      <c r="H108" s="1195">
        <v>0</v>
      </c>
      <c r="I108" s="1195">
        <v>971</v>
      </c>
      <c r="J108" s="1195">
        <v>4.16</v>
      </c>
      <c r="K108" s="1195">
        <f t="shared" ref="K108:K140" si="38">J108-(J108*L108)</f>
        <v>3.7440000000000002</v>
      </c>
      <c r="L108" s="1195">
        <v>0.1</v>
      </c>
      <c r="M108" s="1195"/>
      <c r="N108" s="1183">
        <f t="shared" ref="N108:N139" si="39">L108*J108*I108</f>
        <v>403.93600000000004</v>
      </c>
      <c r="O108" s="1195"/>
      <c r="P108" s="1183">
        <f t="shared" ref="P108:P140" si="40">N108*23.44*1000</f>
        <v>9468259.8399999999</v>
      </c>
      <c r="Q108" s="1183">
        <f t="shared" si="32"/>
        <v>9468259.8399999999</v>
      </c>
    </row>
    <row r="109" spans="1:17" s="1264" customFormat="1" ht="15.75" x14ac:dyDescent="0.25">
      <c r="A109" s="1262"/>
      <c r="B109" s="1206" t="s">
        <v>654</v>
      </c>
      <c r="C109" s="1265"/>
      <c r="D109" s="1262"/>
      <c r="E109" s="1266"/>
      <c r="F109" s="1265"/>
      <c r="G109" s="1262">
        <f>SUM(G110:G115)</f>
        <v>1328</v>
      </c>
      <c r="H109" s="1262">
        <f t="shared" ref="H109:Q109" si="41">SUM(H110:H115)</f>
        <v>65</v>
      </c>
      <c r="I109" s="1262">
        <f t="shared" si="41"/>
        <v>1263</v>
      </c>
      <c r="J109" s="1262">
        <f t="shared" si="41"/>
        <v>24.96</v>
      </c>
      <c r="K109" s="1262">
        <f t="shared" si="41"/>
        <v>11.232000000000001</v>
      </c>
      <c r="L109" s="1262">
        <f t="shared" si="41"/>
        <v>3.3000000000000003</v>
      </c>
      <c r="M109" s="1262">
        <f t="shared" si="41"/>
        <v>0</v>
      </c>
      <c r="N109" s="1262">
        <f t="shared" si="41"/>
        <v>795.80799999999999</v>
      </c>
      <c r="O109" s="1262">
        <f t="shared" si="41"/>
        <v>0</v>
      </c>
      <c r="P109" s="1262">
        <f t="shared" si="41"/>
        <v>18653739.520000003</v>
      </c>
      <c r="Q109" s="1262">
        <f t="shared" si="41"/>
        <v>18653739.520000003</v>
      </c>
    </row>
    <row r="110" spans="1:17" ht="15.75" x14ac:dyDescent="0.25">
      <c r="A110" s="1195"/>
      <c r="C110" s="1206"/>
      <c r="D110" s="1195"/>
      <c r="E110" s="1207"/>
      <c r="F110" s="1206" t="s">
        <v>504</v>
      </c>
      <c r="G110" s="1195">
        <f t="shared" si="37"/>
        <v>450</v>
      </c>
      <c r="H110" s="1195">
        <v>0</v>
      </c>
      <c r="I110" s="1195">
        <v>450</v>
      </c>
      <c r="J110" s="1195">
        <v>4.16</v>
      </c>
      <c r="K110" s="1195">
        <f t="shared" si="38"/>
        <v>3.7440000000000002</v>
      </c>
      <c r="L110" s="1195">
        <v>0.1</v>
      </c>
      <c r="M110" s="1195"/>
      <c r="N110" s="1183">
        <f t="shared" si="39"/>
        <v>187.20000000000002</v>
      </c>
      <c r="O110" s="1195"/>
      <c r="P110" s="1183">
        <f t="shared" si="40"/>
        <v>4387968.0000000009</v>
      </c>
      <c r="Q110" s="1183">
        <f t="shared" si="32"/>
        <v>4387968.0000000009</v>
      </c>
    </row>
    <row r="111" spans="1:17" ht="15.75" x14ac:dyDescent="0.25">
      <c r="A111" s="1195"/>
      <c r="B111" s="1206"/>
      <c r="C111" s="1206"/>
      <c r="D111" s="1195"/>
      <c r="E111" s="1207"/>
      <c r="F111" s="1206" t="s">
        <v>504</v>
      </c>
      <c r="G111" s="1195">
        <f t="shared" si="37"/>
        <v>45</v>
      </c>
      <c r="H111" s="1195">
        <v>45</v>
      </c>
      <c r="I111" s="1195">
        <v>0</v>
      </c>
      <c r="J111" s="1195">
        <v>4.16</v>
      </c>
      <c r="K111" s="1195">
        <f t="shared" si="38"/>
        <v>0</v>
      </c>
      <c r="L111" s="1195">
        <v>1</v>
      </c>
      <c r="M111" s="1195"/>
      <c r="N111" s="1183">
        <f>L111*J111*H111</f>
        <v>187.20000000000002</v>
      </c>
      <c r="O111" s="1195"/>
      <c r="P111" s="1183">
        <f t="shared" si="40"/>
        <v>4387968.0000000009</v>
      </c>
      <c r="Q111" s="1183">
        <f t="shared" si="32"/>
        <v>4387968.0000000009</v>
      </c>
    </row>
    <row r="112" spans="1:17" ht="15.75" x14ac:dyDescent="0.25">
      <c r="A112" s="1195"/>
      <c r="B112" s="1206"/>
      <c r="C112" s="1206"/>
      <c r="D112" s="1195"/>
      <c r="E112" s="1207"/>
      <c r="F112" s="1206" t="s">
        <v>474</v>
      </c>
      <c r="G112" s="1195">
        <f t="shared" si="37"/>
        <v>468</v>
      </c>
      <c r="H112" s="1195">
        <v>0</v>
      </c>
      <c r="I112" s="1195">
        <v>468</v>
      </c>
      <c r="J112" s="1195">
        <v>4.16</v>
      </c>
      <c r="K112" s="1195">
        <f t="shared" si="38"/>
        <v>3.7440000000000002</v>
      </c>
      <c r="L112" s="1195">
        <v>0.1</v>
      </c>
      <c r="M112" s="1195"/>
      <c r="N112" s="1183">
        <f t="shared" si="39"/>
        <v>194.68800000000002</v>
      </c>
      <c r="O112" s="1195"/>
      <c r="P112" s="1183">
        <f t="shared" si="40"/>
        <v>4563486.7200000007</v>
      </c>
      <c r="Q112" s="1183">
        <f t="shared" si="32"/>
        <v>4563486.7200000007</v>
      </c>
    </row>
    <row r="113" spans="1:17" ht="15.75" x14ac:dyDescent="0.25">
      <c r="A113" s="1195"/>
      <c r="B113" s="1206"/>
      <c r="C113" s="1206"/>
      <c r="D113" s="1195"/>
      <c r="E113" s="1207"/>
      <c r="F113" s="1206" t="s">
        <v>474</v>
      </c>
      <c r="G113" s="1195">
        <f t="shared" si="37"/>
        <v>15</v>
      </c>
      <c r="H113" s="1195">
        <v>15</v>
      </c>
      <c r="I113" s="1195">
        <v>0</v>
      </c>
      <c r="J113" s="1195">
        <v>4.16</v>
      </c>
      <c r="K113" s="1195">
        <f t="shared" si="38"/>
        <v>0</v>
      </c>
      <c r="L113" s="1195">
        <v>1</v>
      </c>
      <c r="M113" s="1195"/>
      <c r="N113" s="1183">
        <f>L113*J113*H113</f>
        <v>62.400000000000006</v>
      </c>
      <c r="O113" s="1195"/>
      <c r="P113" s="1183">
        <f t="shared" si="40"/>
        <v>1462656.0000000002</v>
      </c>
      <c r="Q113" s="1183">
        <f t="shared" si="32"/>
        <v>1462656.0000000002</v>
      </c>
    </row>
    <row r="114" spans="1:17" ht="15.75" x14ac:dyDescent="0.25">
      <c r="A114" s="1195"/>
      <c r="B114" s="1206"/>
      <c r="C114" s="1206"/>
      <c r="D114" s="1195"/>
      <c r="E114" s="1207"/>
      <c r="F114" s="1206" t="s">
        <v>501</v>
      </c>
      <c r="G114" s="1195">
        <f t="shared" si="37"/>
        <v>345</v>
      </c>
      <c r="H114" s="1195">
        <v>0</v>
      </c>
      <c r="I114" s="1195">
        <v>345</v>
      </c>
      <c r="J114" s="1195">
        <v>4.16</v>
      </c>
      <c r="K114" s="1195">
        <f t="shared" si="38"/>
        <v>3.7440000000000002</v>
      </c>
      <c r="L114" s="1195">
        <v>0.1</v>
      </c>
      <c r="M114" s="1195"/>
      <c r="N114" s="1183">
        <f>L114*J114*I114</f>
        <v>143.52000000000001</v>
      </c>
      <c r="O114" s="1195"/>
      <c r="P114" s="1183">
        <f t="shared" si="40"/>
        <v>3364108.8000000003</v>
      </c>
      <c r="Q114" s="1183">
        <f t="shared" si="32"/>
        <v>3364108.8000000003</v>
      </c>
    </row>
    <row r="115" spans="1:17" ht="15.75" x14ac:dyDescent="0.25">
      <c r="A115" s="1195"/>
      <c r="B115" s="1206"/>
      <c r="C115" s="1206"/>
      <c r="D115" s="1195"/>
      <c r="E115" s="1207"/>
      <c r="F115" s="1206" t="s">
        <v>501</v>
      </c>
      <c r="G115" s="1195">
        <f t="shared" si="37"/>
        <v>5</v>
      </c>
      <c r="H115" s="1195">
        <v>5</v>
      </c>
      <c r="I115" s="1195">
        <v>0</v>
      </c>
      <c r="J115" s="1195">
        <v>4.16</v>
      </c>
      <c r="K115" s="1195">
        <f t="shared" si="38"/>
        <v>0</v>
      </c>
      <c r="L115" s="1195">
        <v>1</v>
      </c>
      <c r="M115" s="1195"/>
      <c r="N115" s="1183">
        <f>L115*J115*H115</f>
        <v>20.8</v>
      </c>
      <c r="O115" s="1195"/>
      <c r="P115" s="1183">
        <f t="shared" si="40"/>
        <v>487552</v>
      </c>
      <c r="Q115" s="1183">
        <f t="shared" si="32"/>
        <v>487552</v>
      </c>
    </row>
    <row r="116" spans="1:17" s="1264" customFormat="1" ht="15.75" x14ac:dyDescent="0.25">
      <c r="A116" s="1262"/>
      <c r="B116" s="1206" t="s">
        <v>511</v>
      </c>
      <c r="C116" s="1265"/>
      <c r="D116" s="1262"/>
      <c r="E116" s="1266"/>
      <c r="F116" s="1265"/>
      <c r="G116" s="1262">
        <f>SUM(G117:G121)</f>
        <v>4067.42</v>
      </c>
      <c r="H116" s="1262">
        <f t="shared" ref="H116:Q116" si="42">SUM(H117:H121)</f>
        <v>5</v>
      </c>
      <c r="I116" s="1262">
        <f t="shared" si="42"/>
        <v>4062.42</v>
      </c>
      <c r="J116" s="1262">
        <f t="shared" si="42"/>
        <v>20.8</v>
      </c>
      <c r="K116" s="1262">
        <f t="shared" si="42"/>
        <v>11.648</v>
      </c>
      <c r="L116" s="1262">
        <f t="shared" si="42"/>
        <v>2.2000000000000002</v>
      </c>
      <c r="M116" s="1262">
        <f t="shared" si="42"/>
        <v>0</v>
      </c>
      <c r="N116" s="1262">
        <f t="shared" si="42"/>
        <v>877.22336000000018</v>
      </c>
      <c r="O116" s="1262">
        <f t="shared" si="42"/>
        <v>0</v>
      </c>
      <c r="P116" s="1262">
        <f t="shared" si="42"/>
        <v>20562115.558400001</v>
      </c>
      <c r="Q116" s="1262">
        <f t="shared" si="42"/>
        <v>20562115.558400001</v>
      </c>
    </row>
    <row r="117" spans="1:17" ht="15.75" x14ac:dyDescent="0.25">
      <c r="A117" s="1195"/>
      <c r="C117" s="1206"/>
      <c r="D117" s="1195"/>
      <c r="E117" s="1207"/>
      <c r="F117" s="1206" t="s">
        <v>504</v>
      </c>
      <c r="G117" s="1195">
        <f t="shared" si="37"/>
        <v>55</v>
      </c>
      <c r="H117" s="1195">
        <v>0</v>
      </c>
      <c r="I117" s="1195">
        <v>55</v>
      </c>
      <c r="J117" s="1195">
        <v>4.16</v>
      </c>
      <c r="K117" s="1195">
        <f t="shared" si="38"/>
        <v>3.7440000000000002</v>
      </c>
      <c r="L117" s="1195">
        <v>0.1</v>
      </c>
      <c r="M117" s="1195"/>
      <c r="N117" s="1183">
        <f t="shared" si="39"/>
        <v>22.880000000000003</v>
      </c>
      <c r="O117" s="1195"/>
      <c r="P117" s="1183">
        <f t="shared" si="40"/>
        <v>536307.20000000007</v>
      </c>
      <c r="Q117" s="1183">
        <f t="shared" si="32"/>
        <v>536307.20000000007</v>
      </c>
    </row>
    <row r="118" spans="1:17" ht="15.75" x14ac:dyDescent="0.25">
      <c r="A118" s="1195"/>
      <c r="B118" s="1206"/>
      <c r="C118" s="1206"/>
      <c r="D118" s="1195"/>
      <c r="E118" s="1207"/>
      <c r="F118" s="1206" t="s">
        <v>504</v>
      </c>
      <c r="G118" s="1195">
        <f t="shared" si="37"/>
        <v>2</v>
      </c>
      <c r="H118" s="1195">
        <v>2</v>
      </c>
      <c r="I118" s="1195">
        <v>0</v>
      </c>
      <c r="J118" s="1195">
        <v>4.16</v>
      </c>
      <c r="K118" s="1195">
        <f t="shared" si="38"/>
        <v>0</v>
      </c>
      <c r="L118" s="1195">
        <v>1</v>
      </c>
      <c r="M118" s="1195"/>
      <c r="N118" s="1183">
        <f>L118*J118*H118</f>
        <v>8.32</v>
      </c>
      <c r="O118" s="1195"/>
      <c r="P118" s="1183">
        <f t="shared" si="40"/>
        <v>195020.80000000002</v>
      </c>
      <c r="Q118" s="1183">
        <f t="shared" si="32"/>
        <v>195020.80000000002</v>
      </c>
    </row>
    <row r="119" spans="1:17" ht="15.75" x14ac:dyDescent="0.25">
      <c r="A119" s="1195"/>
      <c r="B119" s="1206"/>
      <c r="C119" s="1206"/>
      <c r="D119" s="1195"/>
      <c r="E119" s="1207"/>
      <c r="F119" s="1206" t="s">
        <v>586</v>
      </c>
      <c r="G119" s="1195">
        <f t="shared" si="37"/>
        <v>2506.56</v>
      </c>
      <c r="H119" s="1195">
        <v>0</v>
      </c>
      <c r="I119" s="1195">
        <v>2506.56</v>
      </c>
      <c r="J119" s="1195">
        <v>4.16</v>
      </c>
      <c r="K119" s="1195">
        <f t="shared" si="38"/>
        <v>3.952</v>
      </c>
      <c r="L119" s="1195">
        <v>0.05</v>
      </c>
      <c r="M119" s="1195"/>
      <c r="N119" s="1183">
        <f t="shared" si="39"/>
        <v>521.36448000000007</v>
      </c>
      <c r="O119" s="1195"/>
      <c r="P119" s="1183">
        <f t="shared" si="40"/>
        <v>12220783.411200002</v>
      </c>
      <c r="Q119" s="1183">
        <f t="shared" si="32"/>
        <v>12220783.411200002</v>
      </c>
    </row>
    <row r="120" spans="1:17" ht="15.75" x14ac:dyDescent="0.25">
      <c r="A120" s="1195"/>
      <c r="B120" s="1206"/>
      <c r="C120" s="1206"/>
      <c r="D120" s="1195"/>
      <c r="E120" s="1207"/>
      <c r="F120" s="1206" t="s">
        <v>586</v>
      </c>
      <c r="G120" s="1195">
        <f t="shared" si="37"/>
        <v>3</v>
      </c>
      <c r="H120" s="1195">
        <v>3</v>
      </c>
      <c r="I120" s="1195">
        <v>0</v>
      </c>
      <c r="J120" s="1195">
        <v>4.16</v>
      </c>
      <c r="K120" s="1195">
        <f t="shared" si="38"/>
        <v>0</v>
      </c>
      <c r="L120" s="1195">
        <v>1</v>
      </c>
      <c r="M120" s="1195"/>
      <c r="N120" s="1183">
        <f>L120*J120*H120</f>
        <v>12.48</v>
      </c>
      <c r="O120" s="1195"/>
      <c r="P120" s="1183">
        <f t="shared" si="40"/>
        <v>292531.20000000001</v>
      </c>
      <c r="Q120" s="1183">
        <f t="shared" si="32"/>
        <v>292531.20000000001</v>
      </c>
    </row>
    <row r="121" spans="1:17" ht="15.75" x14ac:dyDescent="0.25">
      <c r="A121" s="1195"/>
      <c r="B121" s="1206"/>
      <c r="C121" s="1206"/>
      <c r="D121" s="1195"/>
      <c r="E121" s="1207"/>
      <c r="F121" s="1206" t="s">
        <v>539</v>
      </c>
      <c r="G121" s="1195">
        <f t="shared" si="37"/>
        <v>1500.86</v>
      </c>
      <c r="H121" s="1195">
        <v>0</v>
      </c>
      <c r="I121" s="1195">
        <v>1500.86</v>
      </c>
      <c r="J121" s="1195">
        <v>4.16</v>
      </c>
      <c r="K121" s="1195">
        <f t="shared" si="38"/>
        <v>3.952</v>
      </c>
      <c r="L121" s="1195">
        <v>0.05</v>
      </c>
      <c r="M121" s="1195"/>
      <c r="N121" s="1183">
        <f t="shared" si="39"/>
        <v>312.17887999999999</v>
      </c>
      <c r="O121" s="1195"/>
      <c r="P121" s="1183">
        <f t="shared" si="40"/>
        <v>7317472.9472000003</v>
      </c>
      <c r="Q121" s="1183">
        <f t="shared" si="32"/>
        <v>7317472.9472000003</v>
      </c>
    </row>
    <row r="122" spans="1:17" s="1264" customFormat="1" ht="15.75" x14ac:dyDescent="0.25">
      <c r="A122" s="1262"/>
      <c r="B122" s="1206" t="s">
        <v>515</v>
      </c>
      <c r="C122" s="1265"/>
      <c r="D122" s="1262"/>
      <c r="E122" s="1266"/>
      <c r="F122" s="1265"/>
      <c r="G122" s="1262">
        <f>SUM(G123:G127)</f>
        <v>450</v>
      </c>
      <c r="H122" s="1262">
        <f t="shared" ref="H122:Q122" si="43">SUM(H123:H127)</f>
        <v>61.5</v>
      </c>
      <c r="I122" s="1262">
        <f t="shared" si="43"/>
        <v>388.5</v>
      </c>
      <c r="J122" s="1262">
        <f t="shared" si="43"/>
        <v>20.8</v>
      </c>
      <c r="K122" s="1262">
        <f t="shared" si="43"/>
        <v>11.232000000000001</v>
      </c>
      <c r="L122" s="1262">
        <f t="shared" si="43"/>
        <v>2.3000000000000003</v>
      </c>
      <c r="M122" s="1262">
        <f t="shared" si="43"/>
        <v>0</v>
      </c>
      <c r="N122" s="1262">
        <f t="shared" si="43"/>
        <v>417.45600000000002</v>
      </c>
      <c r="O122" s="1262">
        <f t="shared" si="43"/>
        <v>0</v>
      </c>
      <c r="P122" s="1262">
        <f t="shared" si="43"/>
        <v>9785168.6400000006</v>
      </c>
      <c r="Q122" s="1262">
        <f t="shared" si="43"/>
        <v>9785168.6400000006</v>
      </c>
    </row>
    <row r="123" spans="1:17" ht="15.75" x14ac:dyDescent="0.25">
      <c r="A123" s="1195"/>
      <c r="C123" s="1206"/>
      <c r="D123" s="1195"/>
      <c r="E123" s="1207"/>
      <c r="F123" s="1206" t="s">
        <v>504</v>
      </c>
      <c r="G123" s="1195">
        <f>H123+I123</f>
        <v>110</v>
      </c>
      <c r="H123" s="1195">
        <v>0</v>
      </c>
      <c r="I123" s="1195">
        <v>110</v>
      </c>
      <c r="J123" s="1195">
        <v>4.16</v>
      </c>
      <c r="K123" s="1195">
        <f t="shared" si="38"/>
        <v>3.7440000000000002</v>
      </c>
      <c r="L123" s="1195">
        <v>0.1</v>
      </c>
      <c r="M123" s="1195"/>
      <c r="N123" s="1183">
        <f t="shared" si="39"/>
        <v>45.760000000000005</v>
      </c>
      <c r="O123" s="1195"/>
      <c r="P123" s="1183">
        <f t="shared" si="40"/>
        <v>1072614.4000000001</v>
      </c>
      <c r="Q123" s="1183">
        <f t="shared" si="32"/>
        <v>1072614.4000000001</v>
      </c>
    </row>
    <row r="124" spans="1:17" ht="15.75" x14ac:dyDescent="0.25">
      <c r="A124" s="1195"/>
      <c r="B124" s="1206"/>
      <c r="C124" s="1206"/>
      <c r="D124" s="1195"/>
      <c r="E124" s="1207"/>
      <c r="F124" s="1206" t="s">
        <v>504</v>
      </c>
      <c r="G124" s="1195">
        <f>H124+I124</f>
        <v>40</v>
      </c>
      <c r="H124" s="1195">
        <v>40</v>
      </c>
      <c r="I124" s="1195">
        <v>0</v>
      </c>
      <c r="J124" s="1195">
        <v>4.16</v>
      </c>
      <c r="K124" s="1195">
        <f t="shared" si="38"/>
        <v>0</v>
      </c>
      <c r="L124" s="1195">
        <v>1</v>
      </c>
      <c r="M124" s="1195"/>
      <c r="N124" s="1183">
        <f>L124*J124*H124</f>
        <v>166.4</v>
      </c>
      <c r="O124" s="1195"/>
      <c r="P124" s="1183">
        <f t="shared" si="40"/>
        <v>3900416</v>
      </c>
      <c r="Q124" s="1183">
        <f t="shared" si="32"/>
        <v>3900416</v>
      </c>
    </row>
    <row r="125" spans="1:17" ht="15.75" x14ac:dyDescent="0.25">
      <c r="A125" s="1195"/>
      <c r="B125" s="1206"/>
      <c r="C125" s="1206"/>
      <c r="D125" s="1195"/>
      <c r="E125" s="1207"/>
      <c r="F125" s="1206" t="s">
        <v>968</v>
      </c>
      <c r="G125" s="1195">
        <f>H125+I125</f>
        <v>80</v>
      </c>
      <c r="H125" s="1195">
        <v>0</v>
      </c>
      <c r="I125" s="1195">
        <v>80</v>
      </c>
      <c r="J125" s="1195">
        <v>4.16</v>
      </c>
      <c r="K125" s="1195">
        <f t="shared" si="38"/>
        <v>3.7440000000000002</v>
      </c>
      <c r="L125" s="1195">
        <v>0.1</v>
      </c>
      <c r="M125" s="1195"/>
      <c r="N125" s="1183">
        <f t="shared" si="39"/>
        <v>33.28</v>
      </c>
      <c r="O125" s="1195"/>
      <c r="P125" s="1183">
        <f t="shared" si="40"/>
        <v>780083.20000000007</v>
      </c>
      <c r="Q125" s="1183">
        <f t="shared" si="32"/>
        <v>780083.20000000007</v>
      </c>
    </row>
    <row r="126" spans="1:17" ht="15.75" x14ac:dyDescent="0.25">
      <c r="A126" s="1195"/>
      <c r="B126" s="1206"/>
      <c r="C126" s="1206"/>
      <c r="D126" s="1195"/>
      <c r="E126" s="1207"/>
      <c r="F126" s="1206" t="s">
        <v>497</v>
      </c>
      <c r="G126" s="1195">
        <f>H126+I126</f>
        <v>198.5</v>
      </c>
      <c r="H126" s="1195">
        <v>0</v>
      </c>
      <c r="I126" s="1195">
        <v>198.5</v>
      </c>
      <c r="J126" s="1195">
        <v>4.16</v>
      </c>
      <c r="K126" s="1195">
        <f t="shared" si="38"/>
        <v>3.7440000000000002</v>
      </c>
      <c r="L126" s="1195">
        <v>0.1</v>
      </c>
      <c r="M126" s="1195"/>
      <c r="N126" s="1183">
        <f t="shared" si="39"/>
        <v>82.576000000000008</v>
      </c>
      <c r="O126" s="1195"/>
      <c r="P126" s="1183">
        <f t="shared" si="40"/>
        <v>1935581.4400000004</v>
      </c>
      <c r="Q126" s="1183">
        <f t="shared" si="32"/>
        <v>1935581.4400000004</v>
      </c>
    </row>
    <row r="127" spans="1:17" ht="15.75" x14ac:dyDescent="0.25">
      <c r="A127" s="1195"/>
      <c r="B127" s="1206"/>
      <c r="C127" s="1206"/>
      <c r="D127" s="1195"/>
      <c r="E127" s="1207"/>
      <c r="F127" s="1206" t="s">
        <v>497</v>
      </c>
      <c r="G127" s="1195">
        <f>H127+I127</f>
        <v>21.5</v>
      </c>
      <c r="H127" s="1195">
        <v>21.5</v>
      </c>
      <c r="I127" s="1195">
        <v>0</v>
      </c>
      <c r="J127" s="1195">
        <v>4.16</v>
      </c>
      <c r="K127" s="1195">
        <f t="shared" si="38"/>
        <v>0</v>
      </c>
      <c r="L127" s="1195">
        <v>1</v>
      </c>
      <c r="M127" s="1195"/>
      <c r="N127" s="1183">
        <f>L127*J127*H127</f>
        <v>89.44</v>
      </c>
      <c r="O127" s="1195"/>
      <c r="P127" s="1183">
        <f t="shared" si="40"/>
        <v>2096473.6000000003</v>
      </c>
      <c r="Q127" s="1183">
        <f t="shared" si="32"/>
        <v>2096473.6000000003</v>
      </c>
    </row>
    <row r="128" spans="1:17" s="1264" customFormat="1" ht="15.75" x14ac:dyDescent="0.25">
      <c r="A128" s="1262"/>
      <c r="B128" s="1206" t="s">
        <v>649</v>
      </c>
      <c r="C128" s="1265"/>
      <c r="D128" s="1262"/>
      <c r="E128" s="1266"/>
      <c r="F128" s="1265"/>
      <c r="G128" s="1262">
        <f>SUM(G129:G131)</f>
        <v>288</v>
      </c>
      <c r="H128" s="1262">
        <f t="shared" ref="H128:Q128" si="44">SUM(H129:H131)</f>
        <v>0</v>
      </c>
      <c r="I128" s="1262">
        <f t="shared" si="44"/>
        <v>288</v>
      </c>
      <c r="J128" s="1262">
        <f t="shared" si="44"/>
        <v>12.48</v>
      </c>
      <c r="K128" s="1262">
        <f t="shared" si="44"/>
        <v>11.232000000000001</v>
      </c>
      <c r="L128" s="1262">
        <f t="shared" si="44"/>
        <v>0.30000000000000004</v>
      </c>
      <c r="M128" s="1262">
        <f t="shared" si="44"/>
        <v>0</v>
      </c>
      <c r="N128" s="1262">
        <f t="shared" si="44"/>
        <v>119.80800000000002</v>
      </c>
      <c r="O128" s="1262">
        <f t="shared" si="44"/>
        <v>0</v>
      </c>
      <c r="P128" s="1262">
        <f t="shared" si="44"/>
        <v>2808299.5200000005</v>
      </c>
      <c r="Q128" s="1262">
        <f t="shared" si="44"/>
        <v>2808299.5200000005</v>
      </c>
    </row>
    <row r="129" spans="1:17" ht="15.75" x14ac:dyDescent="0.25">
      <c r="A129" s="1195"/>
      <c r="C129" s="1206"/>
      <c r="D129" s="1195"/>
      <c r="E129" s="1207"/>
      <c r="F129" s="1206" t="s">
        <v>474</v>
      </c>
      <c r="G129" s="1195">
        <f t="shared" si="37"/>
        <v>53</v>
      </c>
      <c r="H129" s="1195">
        <v>0</v>
      </c>
      <c r="I129" s="1195">
        <v>53</v>
      </c>
      <c r="J129" s="1195">
        <v>4.16</v>
      </c>
      <c r="K129" s="1195">
        <f t="shared" si="38"/>
        <v>3.7440000000000002</v>
      </c>
      <c r="L129" s="1195">
        <v>0.1</v>
      </c>
      <c r="M129" s="1195"/>
      <c r="N129" s="1183">
        <f t="shared" si="39"/>
        <v>22.048000000000002</v>
      </c>
      <c r="O129" s="1195"/>
      <c r="P129" s="1183">
        <f t="shared" si="40"/>
        <v>516805.12000000011</v>
      </c>
      <c r="Q129" s="1183">
        <f t="shared" si="32"/>
        <v>516805.12000000011</v>
      </c>
    </row>
    <row r="130" spans="1:17" ht="15.75" x14ac:dyDescent="0.25">
      <c r="A130" s="1195"/>
      <c r="B130" s="1206"/>
      <c r="C130" s="1206"/>
      <c r="D130" s="1195"/>
      <c r="E130" s="1207"/>
      <c r="F130" s="1206" t="s">
        <v>586</v>
      </c>
      <c r="G130" s="1195">
        <f t="shared" si="37"/>
        <v>215</v>
      </c>
      <c r="H130" s="1195">
        <v>0</v>
      </c>
      <c r="I130" s="1195">
        <f>94+121</f>
        <v>215</v>
      </c>
      <c r="J130" s="1195">
        <v>4.16</v>
      </c>
      <c r="K130" s="1195">
        <f t="shared" si="38"/>
        <v>3.7440000000000002</v>
      </c>
      <c r="L130" s="1195">
        <v>0.1</v>
      </c>
      <c r="M130" s="1195"/>
      <c r="N130" s="1183">
        <f t="shared" si="39"/>
        <v>89.440000000000012</v>
      </c>
      <c r="O130" s="1195"/>
      <c r="P130" s="1183">
        <f t="shared" si="40"/>
        <v>2096473.6000000003</v>
      </c>
      <c r="Q130" s="1183">
        <f t="shared" si="32"/>
        <v>2096473.6000000003</v>
      </c>
    </row>
    <row r="131" spans="1:17" ht="15.75" x14ac:dyDescent="0.25">
      <c r="A131" s="1195"/>
      <c r="B131" s="1206" t="s">
        <v>969</v>
      </c>
      <c r="C131" s="1206"/>
      <c r="D131" s="1195"/>
      <c r="E131" s="1207"/>
      <c r="F131" s="1206" t="s">
        <v>586</v>
      </c>
      <c r="G131" s="1195">
        <f t="shared" si="37"/>
        <v>20</v>
      </c>
      <c r="H131" s="1195">
        <v>0</v>
      </c>
      <c r="I131" s="1195">
        <v>20</v>
      </c>
      <c r="J131" s="1195">
        <v>4.16</v>
      </c>
      <c r="K131" s="1195">
        <f t="shared" si="38"/>
        <v>3.7440000000000002</v>
      </c>
      <c r="L131" s="1195">
        <v>0.1</v>
      </c>
      <c r="M131" s="1195"/>
      <c r="N131" s="1183">
        <f t="shared" si="39"/>
        <v>8.32</v>
      </c>
      <c r="O131" s="1195"/>
      <c r="P131" s="1183">
        <f t="shared" si="40"/>
        <v>195020.80000000002</v>
      </c>
      <c r="Q131" s="1183">
        <f t="shared" si="32"/>
        <v>195020.80000000002</v>
      </c>
    </row>
    <row r="132" spans="1:17" s="1264" customFormat="1" ht="15.75" x14ac:dyDescent="0.25">
      <c r="A132" s="1262"/>
      <c r="B132" s="1206" t="s">
        <v>655</v>
      </c>
      <c r="C132" s="1265"/>
      <c r="D132" s="1262"/>
      <c r="E132" s="1266"/>
      <c r="F132" s="1265"/>
      <c r="G132" s="1262">
        <f>SUM(G133:G134)</f>
        <v>38.200000000000003</v>
      </c>
      <c r="H132" s="1262">
        <f t="shared" ref="H132:Q132" si="45">SUM(H133:H134)</f>
        <v>0</v>
      </c>
      <c r="I132" s="1262">
        <f t="shared" si="45"/>
        <v>38.200000000000003</v>
      </c>
      <c r="J132" s="1262">
        <f t="shared" si="45"/>
        <v>8.32</v>
      </c>
      <c r="K132" s="1262">
        <f t="shared" si="45"/>
        <v>7.4880000000000004</v>
      </c>
      <c r="L132" s="1262">
        <f t="shared" si="45"/>
        <v>0.2</v>
      </c>
      <c r="M132" s="1262">
        <f t="shared" si="45"/>
        <v>0</v>
      </c>
      <c r="N132" s="1262">
        <f t="shared" si="45"/>
        <v>15.891200000000001</v>
      </c>
      <c r="O132" s="1262">
        <f t="shared" si="45"/>
        <v>0</v>
      </c>
      <c r="P132" s="1262">
        <f t="shared" si="45"/>
        <v>372489.72800000006</v>
      </c>
      <c r="Q132" s="1262">
        <f t="shared" si="45"/>
        <v>372489.72800000006</v>
      </c>
    </row>
    <row r="133" spans="1:17" ht="15.75" x14ac:dyDescent="0.25">
      <c r="A133" s="1195"/>
      <c r="C133" s="1206"/>
      <c r="D133" s="1195"/>
      <c r="E133" s="1207"/>
      <c r="F133" s="1206" t="s">
        <v>586</v>
      </c>
      <c r="G133" s="1195">
        <f t="shared" si="37"/>
        <v>35.200000000000003</v>
      </c>
      <c r="H133" s="1195">
        <v>0</v>
      </c>
      <c r="I133" s="1195">
        <v>35.200000000000003</v>
      </c>
      <c r="J133" s="1195">
        <v>4.16</v>
      </c>
      <c r="K133" s="1195">
        <f t="shared" si="38"/>
        <v>3.7440000000000002</v>
      </c>
      <c r="L133" s="1195">
        <v>0.1</v>
      </c>
      <c r="M133" s="1195"/>
      <c r="N133" s="1183">
        <f t="shared" si="39"/>
        <v>14.643200000000002</v>
      </c>
      <c r="O133" s="1195"/>
      <c r="P133" s="1183">
        <f t="shared" si="40"/>
        <v>343236.60800000007</v>
      </c>
      <c r="Q133" s="1183">
        <f t="shared" si="32"/>
        <v>343236.60800000007</v>
      </c>
    </row>
    <row r="134" spans="1:17" ht="15.75" x14ac:dyDescent="0.25">
      <c r="A134" s="1195"/>
      <c r="B134" s="1206"/>
      <c r="C134" s="1206"/>
      <c r="D134" s="1195"/>
      <c r="E134" s="1207"/>
      <c r="F134" s="1206" t="s">
        <v>474</v>
      </c>
      <c r="G134" s="1195">
        <f t="shared" si="37"/>
        <v>3</v>
      </c>
      <c r="H134" s="1195">
        <v>0</v>
      </c>
      <c r="I134" s="1195">
        <v>3</v>
      </c>
      <c r="J134" s="1195">
        <v>4.16</v>
      </c>
      <c r="K134" s="1195">
        <f t="shared" si="38"/>
        <v>3.7440000000000002</v>
      </c>
      <c r="L134" s="1195">
        <v>0.1</v>
      </c>
      <c r="M134" s="1195"/>
      <c r="N134" s="1183">
        <f t="shared" si="39"/>
        <v>1.2480000000000002</v>
      </c>
      <c r="O134" s="1195"/>
      <c r="P134" s="1183">
        <f t="shared" si="40"/>
        <v>29253.120000000006</v>
      </c>
      <c r="Q134" s="1183">
        <f t="shared" si="32"/>
        <v>29253.120000000006</v>
      </c>
    </row>
    <row r="135" spans="1:17" s="1264" customFormat="1" ht="15.75" x14ac:dyDescent="0.25">
      <c r="A135" s="1262"/>
      <c r="B135" s="1206" t="s">
        <v>520</v>
      </c>
      <c r="C135" s="1265"/>
      <c r="D135" s="1262"/>
      <c r="E135" s="1266"/>
      <c r="F135" s="1265"/>
      <c r="G135" s="1262">
        <f>SUM(G136:G137)</f>
        <v>634.5</v>
      </c>
      <c r="H135" s="1262">
        <f t="shared" ref="H135:Q135" si="46">SUM(H136:H137)</f>
        <v>0</v>
      </c>
      <c r="I135" s="1262">
        <f t="shared" si="46"/>
        <v>634.5</v>
      </c>
      <c r="J135" s="1262">
        <f t="shared" si="46"/>
        <v>8.32</v>
      </c>
      <c r="K135" s="1262">
        <f t="shared" si="46"/>
        <v>7.4880000000000004</v>
      </c>
      <c r="L135" s="1262">
        <f t="shared" si="46"/>
        <v>0.2</v>
      </c>
      <c r="M135" s="1262">
        <f t="shared" si="46"/>
        <v>0</v>
      </c>
      <c r="N135" s="1262">
        <f t="shared" si="46"/>
        <v>263.952</v>
      </c>
      <c r="O135" s="1262">
        <f t="shared" si="46"/>
        <v>0</v>
      </c>
      <c r="P135" s="1262">
        <f t="shared" si="46"/>
        <v>6187034.8800000008</v>
      </c>
      <c r="Q135" s="1262">
        <f t="shared" si="46"/>
        <v>6187034.8800000008</v>
      </c>
    </row>
    <row r="136" spans="1:17" ht="15.75" x14ac:dyDescent="0.25">
      <c r="A136" s="1195"/>
      <c r="C136" s="1206"/>
      <c r="D136" s="1195"/>
      <c r="E136" s="1207"/>
      <c r="F136" s="1206" t="s">
        <v>586</v>
      </c>
      <c r="G136" s="1195">
        <f t="shared" si="37"/>
        <v>478.5</v>
      </c>
      <c r="H136" s="1195">
        <v>0</v>
      </c>
      <c r="I136" s="1195">
        <f>100+17+74.5+131+156</f>
        <v>478.5</v>
      </c>
      <c r="J136" s="1195">
        <v>4.16</v>
      </c>
      <c r="K136" s="1195">
        <f t="shared" si="38"/>
        <v>3.7440000000000002</v>
      </c>
      <c r="L136" s="1195">
        <v>0.1</v>
      </c>
      <c r="M136" s="1195"/>
      <c r="N136" s="1183">
        <f t="shared" si="39"/>
        <v>199.05600000000001</v>
      </c>
      <c r="O136" s="1195"/>
      <c r="P136" s="1183">
        <f t="shared" si="40"/>
        <v>4665872.6400000006</v>
      </c>
      <c r="Q136" s="1183">
        <f t="shared" si="32"/>
        <v>4665872.6400000006</v>
      </c>
    </row>
    <row r="137" spans="1:17" ht="15.75" x14ac:dyDescent="0.25">
      <c r="A137" s="1195"/>
      <c r="B137" s="1206"/>
      <c r="C137" s="1206"/>
      <c r="D137" s="1195"/>
      <c r="E137" s="1207"/>
      <c r="F137" s="1206" t="s">
        <v>474</v>
      </c>
      <c r="G137" s="1195">
        <f t="shared" si="37"/>
        <v>156</v>
      </c>
      <c r="H137" s="1195">
        <v>0</v>
      </c>
      <c r="I137" s="1195">
        <v>156</v>
      </c>
      <c r="J137" s="1195">
        <v>4.16</v>
      </c>
      <c r="K137" s="1195">
        <f t="shared" si="38"/>
        <v>3.7440000000000002</v>
      </c>
      <c r="L137" s="1195">
        <v>0.1</v>
      </c>
      <c r="M137" s="1195"/>
      <c r="N137" s="1183">
        <f t="shared" si="39"/>
        <v>64.896000000000001</v>
      </c>
      <c r="O137" s="1195"/>
      <c r="P137" s="1183">
        <f t="shared" si="40"/>
        <v>1521162.2400000002</v>
      </c>
      <c r="Q137" s="1183">
        <f t="shared" si="32"/>
        <v>1521162.2400000002</v>
      </c>
    </row>
    <row r="138" spans="1:17" s="1264" customFormat="1" ht="15.75" x14ac:dyDescent="0.25">
      <c r="A138" s="1262"/>
      <c r="B138" s="1206" t="s">
        <v>519</v>
      </c>
      <c r="C138" s="1265"/>
      <c r="D138" s="1262"/>
      <c r="E138" s="1266"/>
      <c r="F138" s="1265"/>
      <c r="G138" s="1262">
        <f>SUM(G139:G140)</f>
        <v>85</v>
      </c>
      <c r="H138" s="1262">
        <f t="shared" ref="H138:Q138" si="47">SUM(H139:H140)</f>
        <v>55</v>
      </c>
      <c r="I138" s="1262">
        <f t="shared" si="47"/>
        <v>30</v>
      </c>
      <c r="J138" s="1262">
        <f t="shared" si="47"/>
        <v>8.32</v>
      </c>
      <c r="K138" s="1262">
        <f t="shared" si="47"/>
        <v>3.7440000000000002</v>
      </c>
      <c r="L138" s="1262">
        <f t="shared" si="47"/>
        <v>1.1000000000000001</v>
      </c>
      <c r="M138" s="1262">
        <f t="shared" si="47"/>
        <v>0</v>
      </c>
      <c r="N138" s="1262">
        <f t="shared" si="47"/>
        <v>241.28</v>
      </c>
      <c r="O138" s="1262">
        <f t="shared" si="47"/>
        <v>0</v>
      </c>
      <c r="P138" s="1262">
        <f t="shared" si="47"/>
        <v>5655603.2000000002</v>
      </c>
      <c r="Q138" s="1262">
        <f t="shared" si="47"/>
        <v>5655603.2000000002</v>
      </c>
    </row>
    <row r="139" spans="1:17" ht="15.75" x14ac:dyDescent="0.25">
      <c r="A139" s="1195"/>
      <c r="C139" s="1206"/>
      <c r="D139" s="1195"/>
      <c r="E139" s="1207"/>
      <c r="F139" s="1206" t="s">
        <v>586</v>
      </c>
      <c r="G139" s="1195">
        <f t="shared" si="37"/>
        <v>30</v>
      </c>
      <c r="H139" s="1195">
        <v>0</v>
      </c>
      <c r="I139" s="1195">
        <v>30</v>
      </c>
      <c r="J139" s="1195">
        <v>4.16</v>
      </c>
      <c r="K139" s="1195">
        <f t="shared" si="38"/>
        <v>3.7440000000000002</v>
      </c>
      <c r="L139" s="1195">
        <v>0.1</v>
      </c>
      <c r="M139" s="1195"/>
      <c r="N139" s="1183">
        <f t="shared" si="39"/>
        <v>12.48</v>
      </c>
      <c r="O139" s="1195"/>
      <c r="P139" s="1183">
        <f t="shared" si="40"/>
        <v>292531.20000000001</v>
      </c>
      <c r="Q139" s="1183">
        <f t="shared" si="32"/>
        <v>292531.20000000001</v>
      </c>
    </row>
    <row r="140" spans="1:17" ht="15.75" x14ac:dyDescent="0.25">
      <c r="A140" s="1195"/>
      <c r="B140" s="1206"/>
      <c r="C140" s="1206"/>
      <c r="D140" s="1195"/>
      <c r="E140" s="1207"/>
      <c r="F140" s="1206" t="s">
        <v>586</v>
      </c>
      <c r="G140" s="1195">
        <f t="shared" si="37"/>
        <v>55</v>
      </c>
      <c r="H140" s="1195">
        <v>55</v>
      </c>
      <c r="I140" s="1195"/>
      <c r="J140" s="1195">
        <v>4.16</v>
      </c>
      <c r="K140" s="1195">
        <f t="shared" si="38"/>
        <v>0</v>
      </c>
      <c r="L140" s="1195">
        <v>1</v>
      </c>
      <c r="M140" s="1195"/>
      <c r="N140" s="1183">
        <f>L140*J140*H140</f>
        <v>228.8</v>
      </c>
      <c r="O140" s="1195"/>
      <c r="P140" s="1183">
        <f t="shared" si="40"/>
        <v>5363072</v>
      </c>
      <c r="Q140" s="1183">
        <f t="shared" si="32"/>
        <v>5363072</v>
      </c>
    </row>
    <row r="141" spans="1:17" ht="15.75" x14ac:dyDescent="0.25">
      <c r="A141" s="1195"/>
      <c r="B141" s="1206"/>
      <c r="C141" s="1206"/>
      <c r="D141" s="1195"/>
      <c r="E141" s="1207"/>
      <c r="F141" s="1206"/>
      <c r="G141" s="1195"/>
      <c r="H141" s="1195"/>
      <c r="I141" s="1195"/>
      <c r="J141" s="1195"/>
      <c r="K141" s="1195"/>
      <c r="L141" s="1195"/>
      <c r="M141" s="1195"/>
      <c r="N141" s="1183"/>
      <c r="O141" s="1195"/>
      <c r="P141" s="1183"/>
      <c r="Q141" s="1183"/>
    </row>
    <row r="142" spans="1:17" ht="15.75" x14ac:dyDescent="0.25">
      <c r="A142" s="1199"/>
      <c r="B142" s="1214" t="s">
        <v>210</v>
      </c>
      <c r="C142" s="1215"/>
      <c r="D142" s="1216"/>
      <c r="E142" s="1216"/>
      <c r="F142" s="1215"/>
      <c r="G142" s="1217">
        <f>G143+G149</f>
        <v>2681</v>
      </c>
      <c r="H142" s="1217">
        <f>H143+H149</f>
        <v>0</v>
      </c>
      <c r="I142" s="1217">
        <f>I143+I149</f>
        <v>2681</v>
      </c>
      <c r="J142" s="1218"/>
      <c r="K142" s="1218"/>
      <c r="L142" s="1218"/>
      <c r="M142" s="1219"/>
      <c r="N142" s="1217">
        <f>N143+N149</f>
        <v>1214.4930000000002</v>
      </c>
      <c r="O142" s="1220"/>
      <c r="P142" s="1217">
        <f>P143+P149</f>
        <v>25467918.210000001</v>
      </c>
      <c r="Q142" s="1217">
        <f>Q143+Q149</f>
        <v>25467918.210000001</v>
      </c>
    </row>
    <row r="143" spans="1:17" ht="15.75" x14ac:dyDescent="0.25">
      <c r="A143" s="1202"/>
      <c r="B143" s="1203" t="s">
        <v>471</v>
      </c>
      <c r="C143" s="1221"/>
      <c r="D143" s="1222"/>
      <c r="E143" s="1222"/>
      <c r="F143" s="1221"/>
      <c r="G143" s="1223">
        <f>SUM(G144:G148)</f>
        <v>541</v>
      </c>
      <c r="H143" s="1223">
        <f>SUM(H144:H148)</f>
        <v>0</v>
      </c>
      <c r="I143" s="1223">
        <f>SUM(I144:I148)</f>
        <v>541</v>
      </c>
      <c r="J143" s="1224"/>
      <c r="K143" s="1224"/>
      <c r="L143" s="1224"/>
      <c r="M143" s="1225"/>
      <c r="N143" s="1223">
        <f>SUM(N144:N148)</f>
        <v>245.07300000000004</v>
      </c>
      <c r="O143" s="1226"/>
      <c r="P143" s="1223">
        <f>SUM(P144:P148)</f>
        <v>5139180.8100000005</v>
      </c>
      <c r="Q143" s="1223">
        <f>SUM(Q144:Q148)</f>
        <v>5139180.8100000005</v>
      </c>
    </row>
    <row r="144" spans="1:17" ht="15.75" x14ac:dyDescent="0.25">
      <c r="A144" s="1195"/>
      <c r="B144" s="1227" t="s">
        <v>596</v>
      </c>
      <c r="C144" s="1206"/>
      <c r="D144" s="1228"/>
      <c r="E144" s="1228"/>
      <c r="F144" s="466" t="s">
        <v>539</v>
      </c>
      <c r="G144" s="1229">
        <f>SUM(H144:I144)</f>
        <v>156</v>
      </c>
      <c r="H144" s="1229"/>
      <c r="I144" s="1229">
        <v>156</v>
      </c>
      <c r="J144" s="1230">
        <v>4.53</v>
      </c>
      <c r="K144" s="1195">
        <f>J144-(J144*L144)</f>
        <v>4.077</v>
      </c>
      <c r="L144" s="1230">
        <v>0.1</v>
      </c>
      <c r="M144" s="1194"/>
      <c r="N144" s="1231">
        <f>G144*J144*L144</f>
        <v>70.668000000000006</v>
      </c>
      <c r="O144" s="1194"/>
      <c r="P144" s="1183">
        <f>N144*20.97*1000</f>
        <v>1481907.96</v>
      </c>
      <c r="Q144" s="1183">
        <f>SUM(O144:P144)</f>
        <v>1481907.96</v>
      </c>
    </row>
    <row r="145" spans="1:17" ht="15.75" x14ac:dyDescent="0.25">
      <c r="A145" s="1195"/>
      <c r="B145" s="1227" t="s">
        <v>597</v>
      </c>
      <c r="C145" s="1206"/>
      <c r="D145" s="1228"/>
      <c r="E145" s="1228"/>
      <c r="F145" s="466" t="s">
        <v>970</v>
      </c>
      <c r="G145" s="1229">
        <f>SUM(H145:I145)</f>
        <v>135</v>
      </c>
      <c r="H145" s="1229"/>
      <c r="I145" s="1229">
        <v>135</v>
      </c>
      <c r="J145" s="1230">
        <v>4.53</v>
      </c>
      <c r="K145" s="1195">
        <f>J145-(J145*L145)</f>
        <v>4.077</v>
      </c>
      <c r="L145" s="1230">
        <v>0.1</v>
      </c>
      <c r="M145" s="1194"/>
      <c r="N145" s="1231">
        <f>G145*J145*L145</f>
        <v>61.155000000000008</v>
      </c>
      <c r="O145" s="1194"/>
      <c r="P145" s="1183">
        <f>N145*20.97*1000</f>
        <v>1282420.3500000001</v>
      </c>
      <c r="Q145" s="1183">
        <f>SUM(O145:P145)</f>
        <v>1282420.3500000001</v>
      </c>
    </row>
    <row r="146" spans="1:17" s="1264" customFormat="1" ht="15.75" x14ac:dyDescent="0.25">
      <c r="A146" s="1262"/>
      <c r="B146" s="1227" t="s">
        <v>595</v>
      </c>
      <c r="C146" s="1265"/>
      <c r="D146" s="1269"/>
      <c r="E146" s="1269"/>
      <c r="F146" s="518"/>
      <c r="G146" s="1270">
        <f>SUM(G147:G148)</f>
        <v>125</v>
      </c>
      <c r="H146" s="1270">
        <f t="shared" ref="H146:Q146" si="48">SUM(H147:H148)</f>
        <v>0</v>
      </c>
      <c r="I146" s="1270">
        <f t="shared" si="48"/>
        <v>125</v>
      </c>
      <c r="J146" s="1270">
        <f t="shared" si="48"/>
        <v>9.06</v>
      </c>
      <c r="K146" s="1270">
        <f t="shared" si="48"/>
        <v>8.1539999999999999</v>
      </c>
      <c r="L146" s="1270">
        <f t="shared" si="48"/>
        <v>0.2</v>
      </c>
      <c r="M146" s="1270">
        <f t="shared" si="48"/>
        <v>0</v>
      </c>
      <c r="N146" s="1270">
        <f t="shared" si="48"/>
        <v>56.625000000000007</v>
      </c>
      <c r="O146" s="1270">
        <f t="shared" si="48"/>
        <v>0</v>
      </c>
      <c r="P146" s="1270">
        <f t="shared" si="48"/>
        <v>1187426.25</v>
      </c>
      <c r="Q146" s="1270">
        <f t="shared" si="48"/>
        <v>1187426.25</v>
      </c>
    </row>
    <row r="147" spans="1:17" ht="15.75" x14ac:dyDescent="0.25">
      <c r="A147" s="1195"/>
      <c r="C147" s="1206"/>
      <c r="D147" s="1228"/>
      <c r="E147" s="1228"/>
      <c r="F147" s="466" t="s">
        <v>586</v>
      </c>
      <c r="G147" s="1229">
        <f>SUM(H147:I147)</f>
        <v>34</v>
      </c>
      <c r="H147" s="1229"/>
      <c r="I147" s="1229">
        <v>34</v>
      </c>
      <c r="J147" s="1230">
        <v>4.53</v>
      </c>
      <c r="K147" s="1195">
        <f>J147-(J147*L147)</f>
        <v>4.077</v>
      </c>
      <c r="L147" s="1230">
        <v>0.1</v>
      </c>
      <c r="M147" s="1194"/>
      <c r="N147" s="1231">
        <f>G147*J147*L147</f>
        <v>15.402000000000001</v>
      </c>
      <c r="O147" s="1194"/>
      <c r="P147" s="1183">
        <f>N147*20.97*1000</f>
        <v>322979.94</v>
      </c>
      <c r="Q147" s="1183">
        <f>SUM(O147:P147)</f>
        <v>322979.94</v>
      </c>
    </row>
    <row r="148" spans="1:17" ht="15.75" x14ac:dyDescent="0.25">
      <c r="A148" s="1195"/>
      <c r="B148" s="1227"/>
      <c r="C148" s="1206"/>
      <c r="D148" s="1228"/>
      <c r="E148" s="1228"/>
      <c r="F148" s="466" t="s">
        <v>474</v>
      </c>
      <c r="G148" s="1229">
        <f>SUM(H148:I148)</f>
        <v>91</v>
      </c>
      <c r="H148" s="1229"/>
      <c r="I148" s="1229">
        <v>91</v>
      </c>
      <c r="J148" s="1230">
        <v>4.53</v>
      </c>
      <c r="K148" s="1195">
        <f>J148-(J148*L148)</f>
        <v>4.077</v>
      </c>
      <c r="L148" s="1230">
        <v>0.1</v>
      </c>
      <c r="M148" s="1194"/>
      <c r="N148" s="1231">
        <f>G148*J148*L148</f>
        <v>41.223000000000006</v>
      </c>
      <c r="O148" s="1194"/>
      <c r="P148" s="1183">
        <f>N148*20.97*1000</f>
        <v>864446.31</v>
      </c>
      <c r="Q148" s="1183">
        <f>SUM(O148:P148)</f>
        <v>864446.31</v>
      </c>
    </row>
    <row r="149" spans="1:17" ht="15.75" x14ac:dyDescent="0.25">
      <c r="A149" s="1202"/>
      <c r="B149" s="1203" t="s">
        <v>475</v>
      </c>
      <c r="C149" s="1221"/>
      <c r="D149" s="1222"/>
      <c r="E149" s="1222"/>
      <c r="F149" s="1221"/>
      <c r="G149" s="1232">
        <f>SUM(G150:G161)</f>
        <v>2140</v>
      </c>
      <c r="H149" s="1232">
        <f>SUM(H150:H161)</f>
        <v>0</v>
      </c>
      <c r="I149" s="1232">
        <f>SUM(I150:I161)</f>
        <v>2140</v>
      </c>
      <c r="J149" s="1224"/>
      <c r="K149" s="1224"/>
      <c r="L149" s="1224"/>
      <c r="M149" s="1225"/>
      <c r="N149" s="1232">
        <f>SUM(N150:N161)</f>
        <v>969.42000000000019</v>
      </c>
      <c r="O149" s="1226"/>
      <c r="P149" s="1232">
        <f>SUM(P150:P161)</f>
        <v>20328737.399999999</v>
      </c>
      <c r="Q149" s="1232">
        <f>SUM(Q150:Q161)</f>
        <v>20328737.399999999</v>
      </c>
    </row>
    <row r="150" spans="1:17" ht="15.75" x14ac:dyDescent="0.25">
      <c r="A150" s="1195"/>
      <c r="B150" s="1227" t="s">
        <v>889</v>
      </c>
      <c r="C150" s="1206"/>
      <c r="D150" s="1228"/>
      <c r="E150" s="1228"/>
      <c r="F150" s="466" t="s">
        <v>586</v>
      </c>
      <c r="G150" s="1229">
        <f t="shared" ref="G150:G161" si="49">SUM(H150:I150)</f>
        <v>58</v>
      </c>
      <c r="H150" s="1229"/>
      <c r="I150" s="1229">
        <v>58</v>
      </c>
      <c r="J150" s="1230">
        <v>4.53</v>
      </c>
      <c r="K150" s="1195">
        <f t="shared" ref="K150:K161" si="50">J150-(J150*L150)</f>
        <v>4.077</v>
      </c>
      <c r="L150" s="1230">
        <v>0.1</v>
      </c>
      <c r="M150" s="1194"/>
      <c r="N150" s="1231">
        <f t="shared" ref="N150:N161" si="51">G150*J150*L150</f>
        <v>26.274000000000001</v>
      </c>
      <c r="O150" s="1194"/>
      <c r="P150" s="1183">
        <f t="shared" ref="P150:P161" si="52">N150*20.97*1000</f>
        <v>550965.78</v>
      </c>
      <c r="Q150" s="1183">
        <f t="shared" ref="Q150:Q161" si="53">SUM(O150:P150)</f>
        <v>550965.78</v>
      </c>
    </row>
    <row r="151" spans="1:17" ht="15.75" x14ac:dyDescent="0.25">
      <c r="A151" s="1195"/>
      <c r="B151" s="1227" t="s">
        <v>602</v>
      </c>
      <c r="C151" s="1206"/>
      <c r="D151" s="1228"/>
      <c r="E151" s="1228"/>
      <c r="F151" s="466" t="s">
        <v>586</v>
      </c>
      <c r="G151" s="1229">
        <f t="shared" si="49"/>
        <v>120</v>
      </c>
      <c r="H151" s="1229"/>
      <c r="I151" s="1229">
        <v>120</v>
      </c>
      <c r="J151" s="1230">
        <v>4.53</v>
      </c>
      <c r="K151" s="1195">
        <f t="shared" si="50"/>
        <v>4.077</v>
      </c>
      <c r="L151" s="1230">
        <v>0.1</v>
      </c>
      <c r="M151" s="1194"/>
      <c r="N151" s="1231">
        <f t="shared" si="51"/>
        <v>54.360000000000007</v>
      </c>
      <c r="O151" s="1194"/>
      <c r="P151" s="1183">
        <f t="shared" si="52"/>
        <v>1139929.2</v>
      </c>
      <c r="Q151" s="1183">
        <f t="shared" si="53"/>
        <v>1139929.2</v>
      </c>
    </row>
    <row r="152" spans="1:17" s="1264" customFormat="1" ht="15.75" x14ac:dyDescent="0.25">
      <c r="A152" s="1262"/>
      <c r="B152" s="1227" t="s">
        <v>599</v>
      </c>
      <c r="C152" s="1265"/>
      <c r="D152" s="1269"/>
      <c r="E152" s="1269"/>
      <c r="F152" s="518"/>
      <c r="G152" s="1270">
        <f>SUM(G153:G154)</f>
        <v>154</v>
      </c>
      <c r="H152" s="1270">
        <f t="shared" ref="H152:Q152" si="54">SUM(H153:H154)</f>
        <v>0</v>
      </c>
      <c r="I152" s="1270">
        <f t="shared" si="54"/>
        <v>154</v>
      </c>
      <c r="J152" s="1270">
        <f t="shared" si="54"/>
        <v>9.06</v>
      </c>
      <c r="K152" s="1270">
        <f t="shared" si="54"/>
        <v>8.1539999999999999</v>
      </c>
      <c r="L152" s="1270">
        <f t="shared" si="54"/>
        <v>0.2</v>
      </c>
      <c r="M152" s="1270">
        <f t="shared" si="54"/>
        <v>0</v>
      </c>
      <c r="N152" s="1270">
        <f t="shared" si="54"/>
        <v>69.762</v>
      </c>
      <c r="O152" s="1270">
        <f t="shared" si="54"/>
        <v>0</v>
      </c>
      <c r="P152" s="1270">
        <f t="shared" si="54"/>
        <v>1462909.1400000001</v>
      </c>
      <c r="Q152" s="1270">
        <f t="shared" si="54"/>
        <v>1462909.1400000001</v>
      </c>
    </row>
    <row r="153" spans="1:17" ht="15.75" x14ac:dyDescent="0.25">
      <c r="A153" s="1195"/>
      <c r="C153" s="1206"/>
      <c r="D153" s="1228"/>
      <c r="E153" s="1228"/>
      <c r="F153" s="466" t="s">
        <v>474</v>
      </c>
      <c r="G153" s="1229">
        <f t="shared" si="49"/>
        <v>110</v>
      </c>
      <c r="H153" s="1229"/>
      <c r="I153" s="1229">
        <v>110</v>
      </c>
      <c r="J153" s="1230">
        <v>4.53</v>
      </c>
      <c r="K153" s="1195">
        <f t="shared" si="50"/>
        <v>4.077</v>
      </c>
      <c r="L153" s="1230">
        <v>0.1</v>
      </c>
      <c r="M153" s="1194"/>
      <c r="N153" s="1231">
        <f t="shared" si="51"/>
        <v>49.830000000000005</v>
      </c>
      <c r="O153" s="1194"/>
      <c r="P153" s="1183">
        <f t="shared" si="52"/>
        <v>1044935.1000000001</v>
      </c>
      <c r="Q153" s="1183">
        <f t="shared" si="53"/>
        <v>1044935.1000000001</v>
      </c>
    </row>
    <row r="154" spans="1:17" ht="15.75" x14ac:dyDescent="0.25">
      <c r="A154" s="1195"/>
      <c r="B154" s="1206"/>
      <c r="C154" s="1206"/>
      <c r="D154" s="1195"/>
      <c r="E154" s="1207"/>
      <c r="F154" s="466" t="s">
        <v>586</v>
      </c>
      <c r="G154" s="1229">
        <f t="shared" si="49"/>
        <v>44</v>
      </c>
      <c r="H154" s="1229"/>
      <c r="I154" s="1229">
        <v>44</v>
      </c>
      <c r="J154" s="1230">
        <v>4.53</v>
      </c>
      <c r="K154" s="1195">
        <f t="shared" si="50"/>
        <v>4.077</v>
      </c>
      <c r="L154" s="1230">
        <v>0.1</v>
      </c>
      <c r="M154" s="1194"/>
      <c r="N154" s="1231">
        <f t="shared" si="51"/>
        <v>19.932000000000002</v>
      </c>
      <c r="O154" s="1194"/>
      <c r="P154" s="1183">
        <f t="shared" si="52"/>
        <v>417974.04</v>
      </c>
      <c r="Q154" s="1183">
        <f t="shared" si="53"/>
        <v>417974.04</v>
      </c>
    </row>
    <row r="155" spans="1:17" s="1264" customFormat="1" ht="15.75" x14ac:dyDescent="0.25">
      <c r="A155" s="1262"/>
      <c r="B155" s="1227" t="s">
        <v>604</v>
      </c>
      <c r="C155" s="1265"/>
      <c r="D155" s="1262"/>
      <c r="E155" s="1266"/>
      <c r="F155" s="518"/>
      <c r="G155" s="1270">
        <f>SUM(G156:G157)</f>
        <v>682</v>
      </c>
      <c r="H155" s="1270">
        <f t="shared" ref="H155:Q155" si="55">SUM(H156:H157)</f>
        <v>0</v>
      </c>
      <c r="I155" s="1270">
        <f t="shared" si="55"/>
        <v>682</v>
      </c>
      <c r="J155" s="1270">
        <f t="shared" si="55"/>
        <v>9.06</v>
      </c>
      <c r="K155" s="1270">
        <f t="shared" si="55"/>
        <v>8.1539999999999999</v>
      </c>
      <c r="L155" s="1270">
        <f t="shared" si="55"/>
        <v>0.2</v>
      </c>
      <c r="M155" s="1270">
        <f t="shared" si="55"/>
        <v>0</v>
      </c>
      <c r="N155" s="1270">
        <f t="shared" si="55"/>
        <v>308.94600000000003</v>
      </c>
      <c r="O155" s="1270">
        <f t="shared" si="55"/>
        <v>0</v>
      </c>
      <c r="P155" s="1270">
        <f t="shared" si="55"/>
        <v>6478597.6200000001</v>
      </c>
      <c r="Q155" s="1270">
        <f t="shared" si="55"/>
        <v>6478597.6200000001</v>
      </c>
    </row>
    <row r="156" spans="1:17" ht="15.75" x14ac:dyDescent="0.25">
      <c r="A156" s="1195"/>
      <c r="C156" s="1206"/>
      <c r="D156" s="1228"/>
      <c r="E156" s="1228"/>
      <c r="F156" s="466" t="s">
        <v>586</v>
      </c>
      <c r="G156" s="1229">
        <f t="shared" si="49"/>
        <v>605</v>
      </c>
      <c r="H156" s="1229"/>
      <c r="I156" s="1229">
        <v>605</v>
      </c>
      <c r="J156" s="1230">
        <v>4.53</v>
      </c>
      <c r="K156" s="1195">
        <f t="shared" si="50"/>
        <v>4.077</v>
      </c>
      <c r="L156" s="1230">
        <v>0.1</v>
      </c>
      <c r="M156" s="1194"/>
      <c r="N156" s="1231">
        <f t="shared" si="51"/>
        <v>274.065</v>
      </c>
      <c r="O156" s="1194"/>
      <c r="P156" s="1183">
        <f t="shared" si="52"/>
        <v>5747143.0499999998</v>
      </c>
      <c r="Q156" s="1183">
        <f t="shared" si="53"/>
        <v>5747143.0499999998</v>
      </c>
    </row>
    <row r="157" spans="1:17" ht="15.75" x14ac:dyDescent="0.25">
      <c r="A157" s="1195"/>
      <c r="B157" s="1206"/>
      <c r="C157" s="1206"/>
      <c r="D157" s="1195"/>
      <c r="E157" s="1207"/>
      <c r="F157" s="466" t="s">
        <v>474</v>
      </c>
      <c r="G157" s="1229">
        <f t="shared" si="49"/>
        <v>77</v>
      </c>
      <c r="H157" s="1229"/>
      <c r="I157" s="1229">
        <v>77</v>
      </c>
      <c r="J157" s="1230">
        <v>4.53</v>
      </c>
      <c r="K157" s="1195">
        <f t="shared" si="50"/>
        <v>4.077</v>
      </c>
      <c r="L157" s="1230">
        <v>0.1</v>
      </c>
      <c r="M157" s="1194"/>
      <c r="N157" s="1231">
        <f t="shared" si="51"/>
        <v>34.881</v>
      </c>
      <c r="O157" s="1194"/>
      <c r="P157" s="1183">
        <f t="shared" si="52"/>
        <v>731454.57</v>
      </c>
      <c r="Q157" s="1183">
        <f t="shared" si="53"/>
        <v>731454.57</v>
      </c>
    </row>
    <row r="158" spans="1:17" s="1264" customFormat="1" ht="15.75" x14ac:dyDescent="0.25">
      <c r="A158" s="1262"/>
      <c r="B158" s="1227" t="s">
        <v>607</v>
      </c>
      <c r="C158" s="1265"/>
      <c r="D158" s="1262"/>
      <c r="E158" s="1266"/>
      <c r="F158" s="518"/>
      <c r="G158" s="1270">
        <f>SUM(G159:G161)</f>
        <v>145</v>
      </c>
      <c r="H158" s="1270">
        <f t="shared" ref="H158:Q158" si="56">SUM(H159:H161)</f>
        <v>0</v>
      </c>
      <c r="I158" s="1270">
        <f t="shared" si="56"/>
        <v>145</v>
      </c>
      <c r="J158" s="1270">
        <f t="shared" si="56"/>
        <v>13.59</v>
      </c>
      <c r="K158" s="1270">
        <f t="shared" si="56"/>
        <v>12.231</v>
      </c>
      <c r="L158" s="1270">
        <f t="shared" si="56"/>
        <v>0.30000000000000004</v>
      </c>
      <c r="M158" s="1270">
        <f t="shared" si="56"/>
        <v>0</v>
      </c>
      <c r="N158" s="1270">
        <f t="shared" si="56"/>
        <v>65.685000000000002</v>
      </c>
      <c r="O158" s="1270">
        <f t="shared" si="56"/>
        <v>0</v>
      </c>
      <c r="P158" s="1270">
        <f t="shared" si="56"/>
        <v>1377414.45</v>
      </c>
      <c r="Q158" s="1270">
        <f t="shared" si="56"/>
        <v>1377414.45</v>
      </c>
    </row>
    <row r="159" spans="1:17" ht="15.75" x14ac:dyDescent="0.25">
      <c r="A159" s="1195"/>
      <c r="C159" s="1206"/>
      <c r="D159" s="1228"/>
      <c r="E159" s="1228"/>
      <c r="F159" s="466" t="s">
        <v>474</v>
      </c>
      <c r="G159" s="1229">
        <f t="shared" si="49"/>
        <v>10</v>
      </c>
      <c r="H159" s="1229"/>
      <c r="I159" s="1229">
        <v>10</v>
      </c>
      <c r="J159" s="1230">
        <v>4.53</v>
      </c>
      <c r="K159" s="1195">
        <f t="shared" si="50"/>
        <v>4.077</v>
      </c>
      <c r="L159" s="1230">
        <v>0.1</v>
      </c>
      <c r="M159" s="1194"/>
      <c r="N159" s="1231">
        <f t="shared" si="51"/>
        <v>4.53</v>
      </c>
      <c r="O159" s="1194"/>
      <c r="P159" s="1183">
        <f t="shared" si="52"/>
        <v>94994.1</v>
      </c>
      <c r="Q159" s="1183">
        <f t="shared" si="53"/>
        <v>94994.1</v>
      </c>
    </row>
    <row r="160" spans="1:17" ht="15.75" x14ac:dyDescent="0.25">
      <c r="A160" s="1195"/>
      <c r="B160" s="1227"/>
      <c r="C160" s="1206"/>
      <c r="D160" s="1228"/>
      <c r="E160" s="1228"/>
      <c r="F160" s="466" t="s">
        <v>586</v>
      </c>
      <c r="G160" s="1229">
        <f t="shared" si="49"/>
        <v>70</v>
      </c>
      <c r="H160" s="1229"/>
      <c r="I160" s="1229">
        <v>70</v>
      </c>
      <c r="J160" s="1230">
        <v>4.53</v>
      </c>
      <c r="K160" s="1195">
        <f t="shared" si="50"/>
        <v>4.077</v>
      </c>
      <c r="L160" s="1230">
        <v>0.1</v>
      </c>
      <c r="M160" s="1194"/>
      <c r="N160" s="1231">
        <f t="shared" si="51"/>
        <v>31.710000000000004</v>
      </c>
      <c r="O160" s="1194"/>
      <c r="P160" s="1183">
        <f t="shared" si="52"/>
        <v>664958.70000000007</v>
      </c>
      <c r="Q160" s="1183">
        <f t="shared" si="53"/>
        <v>664958.70000000007</v>
      </c>
    </row>
    <row r="161" spans="1:17" ht="15.75" x14ac:dyDescent="0.25">
      <c r="A161" s="1195"/>
      <c r="B161" s="1227" t="s">
        <v>570</v>
      </c>
      <c r="C161" s="1206"/>
      <c r="D161" s="1228"/>
      <c r="E161" s="1228"/>
      <c r="F161" s="466" t="s">
        <v>970</v>
      </c>
      <c r="G161" s="1229">
        <f t="shared" si="49"/>
        <v>65</v>
      </c>
      <c r="H161" s="1229"/>
      <c r="I161" s="1229">
        <v>65</v>
      </c>
      <c r="J161" s="1230">
        <v>4.53</v>
      </c>
      <c r="K161" s="1195">
        <f t="shared" si="50"/>
        <v>4.077</v>
      </c>
      <c r="L161" s="1230">
        <v>0.1</v>
      </c>
      <c r="M161" s="1194"/>
      <c r="N161" s="1231">
        <f t="shared" si="51"/>
        <v>29.445</v>
      </c>
      <c r="O161" s="1194"/>
      <c r="P161" s="1183">
        <f t="shared" si="52"/>
        <v>617461.64999999991</v>
      </c>
      <c r="Q161" s="1183">
        <f t="shared" si="53"/>
        <v>617461.64999999991</v>
      </c>
    </row>
    <row r="162" spans="1:17" ht="15.75" x14ac:dyDescent="0.25">
      <c r="A162" s="1195"/>
      <c r="B162" s="1206"/>
      <c r="C162" s="1206"/>
      <c r="D162" s="1195"/>
      <c r="E162" s="1207"/>
      <c r="F162" s="466"/>
      <c r="G162" s="1229"/>
      <c r="H162" s="1229"/>
      <c r="I162" s="1229"/>
      <c r="J162" s="1230"/>
      <c r="K162" s="1195"/>
      <c r="L162" s="1230"/>
      <c r="M162" s="1194"/>
      <c r="N162" s="1231"/>
      <c r="O162" s="1194"/>
      <c r="P162" s="1183"/>
      <c r="Q162" s="1183"/>
    </row>
    <row r="163" spans="1:17" ht="15.75" x14ac:dyDescent="0.25">
      <c r="A163" s="1199"/>
      <c r="B163" s="1200" t="s">
        <v>107</v>
      </c>
      <c r="C163" s="1199"/>
      <c r="D163" s="1201"/>
      <c r="E163" s="1201"/>
      <c r="F163" s="1201"/>
      <c r="G163" s="1201">
        <f>G164+G185</f>
        <v>2473.12</v>
      </c>
      <c r="H163" s="1201">
        <f>H164+H185</f>
        <v>9.6999999999999993</v>
      </c>
      <c r="I163" s="1201">
        <f>I164+I185</f>
        <v>2463.42</v>
      </c>
      <c r="J163" s="1201"/>
      <c r="K163" s="1201"/>
      <c r="L163" s="1201"/>
      <c r="M163" s="1201"/>
      <c r="N163" s="1201">
        <f>N164+N185</f>
        <v>1574.4595519999998</v>
      </c>
      <c r="O163" s="1201"/>
      <c r="P163" s="1201">
        <f>P164+P185</f>
        <v>37645420.65952</v>
      </c>
      <c r="Q163" s="1201">
        <f>Q164+Q185</f>
        <v>37645420.65952</v>
      </c>
    </row>
    <row r="164" spans="1:17" ht="15.75" x14ac:dyDescent="0.25">
      <c r="A164" s="1202"/>
      <c r="B164" s="1203" t="s">
        <v>471</v>
      </c>
      <c r="C164" s="1202"/>
      <c r="D164" s="1204"/>
      <c r="E164" s="1204"/>
      <c r="F164" s="1204"/>
      <c r="G164" s="1204">
        <f>SUM(G165:G184)</f>
        <v>990.42000000000007</v>
      </c>
      <c r="H164" s="1204">
        <f>SUM(H165:H184)</f>
        <v>0</v>
      </c>
      <c r="I164" s="1204">
        <f>SUM(I165:I184)</f>
        <v>990.42000000000007</v>
      </c>
      <c r="J164" s="1202"/>
      <c r="K164" s="1202"/>
      <c r="L164" s="1202"/>
      <c r="M164" s="1202"/>
      <c r="N164" s="1204">
        <f>SUM(N165:N184)</f>
        <v>494.10161599999992</v>
      </c>
      <c r="O164" s="1204"/>
      <c r="P164" s="1204">
        <f>SUM(P165:P184)</f>
        <v>12110430.60816</v>
      </c>
      <c r="Q164" s="1204">
        <f>SUM(Q165:Q184)</f>
        <v>12110430.60816</v>
      </c>
    </row>
    <row r="165" spans="1:17" ht="15.75" x14ac:dyDescent="0.25">
      <c r="A165" s="1195"/>
      <c r="B165" s="1206" t="s">
        <v>541</v>
      </c>
      <c r="C165" s="1206" t="s">
        <v>713</v>
      </c>
      <c r="D165" s="1195"/>
      <c r="E165" s="1195"/>
      <c r="F165" s="1206" t="s">
        <v>474</v>
      </c>
      <c r="G165" s="1183">
        <f>SUM(H165:I165)</f>
        <v>5</v>
      </c>
      <c r="H165" s="1195">
        <v>0</v>
      </c>
      <c r="I165" s="1195">
        <v>5</v>
      </c>
      <c r="J165" s="1205">
        <v>4.24</v>
      </c>
      <c r="K165" s="1195">
        <f t="shared" ref="K165:K184" si="57">J165-(J165*L165)</f>
        <v>4.1551999999999998</v>
      </c>
      <c r="L165" s="1195">
        <v>0.02</v>
      </c>
      <c r="M165" s="1195"/>
      <c r="N165" s="1183">
        <f>L165*J165*I165</f>
        <v>0.42399999999999999</v>
      </c>
      <c r="O165" s="1195"/>
      <c r="P165" s="1183">
        <f>N165*24.51*1000</f>
        <v>10392.240000000002</v>
      </c>
      <c r="Q165" s="1183">
        <f t="shared" ref="Q165:Q184" si="58">SUM(O165:P165)</f>
        <v>10392.240000000002</v>
      </c>
    </row>
    <row r="166" spans="1:17" s="1264" customFormat="1" ht="15.75" x14ac:dyDescent="0.25">
      <c r="A166" s="1262"/>
      <c r="B166" s="1206" t="s">
        <v>543</v>
      </c>
      <c r="C166" s="1265"/>
      <c r="D166" s="1262"/>
      <c r="E166" s="1262"/>
      <c r="F166" s="1265"/>
      <c r="G166" s="1267">
        <f>SUM(G167:G168)</f>
        <v>16</v>
      </c>
      <c r="H166" s="1267">
        <f t="shared" ref="H166:Q166" si="59">SUM(H167:H168)</f>
        <v>0</v>
      </c>
      <c r="I166" s="1267">
        <f t="shared" si="59"/>
        <v>16</v>
      </c>
      <c r="J166" s="1267">
        <f t="shared" si="59"/>
        <v>8.48</v>
      </c>
      <c r="K166" s="1267">
        <f t="shared" si="59"/>
        <v>7.6320000000000006</v>
      </c>
      <c r="L166" s="1267">
        <f t="shared" si="59"/>
        <v>0.2</v>
      </c>
      <c r="M166" s="1267">
        <f t="shared" si="59"/>
        <v>0</v>
      </c>
      <c r="N166" s="1267">
        <f t="shared" si="59"/>
        <v>3.6040000000000005</v>
      </c>
      <c r="O166" s="1267">
        <f t="shared" si="59"/>
        <v>0</v>
      </c>
      <c r="P166" s="1267">
        <f t="shared" si="59"/>
        <v>88334.040000000023</v>
      </c>
      <c r="Q166" s="1267">
        <f t="shared" si="59"/>
        <v>88334.040000000023</v>
      </c>
    </row>
    <row r="167" spans="1:17" ht="15.75" x14ac:dyDescent="0.25">
      <c r="A167" s="1195"/>
      <c r="C167" s="1206" t="s">
        <v>713</v>
      </c>
      <c r="D167" s="1195"/>
      <c r="E167" s="1195"/>
      <c r="F167" s="1206" t="s">
        <v>474</v>
      </c>
      <c r="G167" s="1183">
        <f t="shared" ref="G167:G184" si="60">SUM(H167:I167)</f>
        <v>0.5</v>
      </c>
      <c r="H167" s="1195">
        <v>0</v>
      </c>
      <c r="I167" s="1195">
        <v>0.5</v>
      </c>
      <c r="J167" s="1205">
        <v>4.24</v>
      </c>
      <c r="K167" s="1195">
        <f t="shared" si="57"/>
        <v>3.6040000000000001</v>
      </c>
      <c r="L167" s="1195">
        <v>0.15</v>
      </c>
      <c r="M167" s="1195"/>
      <c r="N167" s="1183">
        <f t="shared" ref="N167:N184" si="61">L167*J167*I167</f>
        <v>0.318</v>
      </c>
      <c r="O167" s="1195"/>
      <c r="P167" s="1183">
        <f t="shared" ref="P167:P191" si="62">N167*24.51*1000</f>
        <v>7794.1800000000012</v>
      </c>
      <c r="Q167" s="1183">
        <f t="shared" si="58"/>
        <v>7794.1800000000012</v>
      </c>
    </row>
    <row r="168" spans="1:17" ht="15.75" x14ac:dyDescent="0.25">
      <c r="A168" s="1195"/>
      <c r="B168" s="1206"/>
      <c r="C168" s="1206"/>
      <c r="D168" s="1195"/>
      <c r="E168" s="1195"/>
      <c r="F168" s="1206" t="s">
        <v>586</v>
      </c>
      <c r="G168" s="1183">
        <f t="shared" si="60"/>
        <v>15.5</v>
      </c>
      <c r="H168" s="1195">
        <v>0</v>
      </c>
      <c r="I168" s="1195">
        <v>15.5</v>
      </c>
      <c r="J168" s="1205">
        <v>4.24</v>
      </c>
      <c r="K168" s="1195">
        <f t="shared" si="57"/>
        <v>4.0280000000000005</v>
      </c>
      <c r="L168" s="1195">
        <v>0.05</v>
      </c>
      <c r="M168" s="1195"/>
      <c r="N168" s="1183">
        <f t="shared" si="61"/>
        <v>3.2860000000000005</v>
      </c>
      <c r="O168" s="1195"/>
      <c r="P168" s="1183">
        <f t="shared" si="62"/>
        <v>80539.860000000015</v>
      </c>
      <c r="Q168" s="1183">
        <f t="shared" si="58"/>
        <v>80539.860000000015</v>
      </c>
    </row>
    <row r="169" spans="1:17" s="1264" customFormat="1" ht="15.75" x14ac:dyDescent="0.25">
      <c r="A169" s="1262"/>
      <c r="B169" s="1206" t="s">
        <v>557</v>
      </c>
      <c r="C169" s="1265"/>
      <c r="D169" s="1262"/>
      <c r="E169" s="1262"/>
      <c r="F169" s="1265"/>
      <c r="G169" s="1267">
        <f>SUM(G170:G172)</f>
        <v>50.94</v>
      </c>
      <c r="H169" s="1267">
        <f t="shared" ref="H169:Q169" si="63">SUM(H170:H172)</f>
        <v>0</v>
      </c>
      <c r="I169" s="1267">
        <f t="shared" si="63"/>
        <v>50.94</v>
      </c>
      <c r="J169" s="1267">
        <f t="shared" si="63"/>
        <v>12.72</v>
      </c>
      <c r="K169" s="1267">
        <f t="shared" si="63"/>
        <v>11.829599999999999</v>
      </c>
      <c r="L169" s="1267">
        <f t="shared" si="63"/>
        <v>0.21</v>
      </c>
      <c r="M169" s="1267">
        <f t="shared" si="63"/>
        <v>0</v>
      </c>
      <c r="N169" s="1267">
        <f t="shared" si="63"/>
        <v>31.919568000000002</v>
      </c>
      <c r="O169" s="1267">
        <f t="shared" si="63"/>
        <v>0</v>
      </c>
      <c r="P169" s="1267">
        <f t="shared" si="63"/>
        <v>782348.61168000009</v>
      </c>
      <c r="Q169" s="1267">
        <f t="shared" si="63"/>
        <v>782348.61168000009</v>
      </c>
    </row>
    <row r="170" spans="1:17" ht="15.75" x14ac:dyDescent="0.25">
      <c r="A170" s="1195"/>
      <c r="C170" s="1206" t="s">
        <v>713</v>
      </c>
      <c r="D170" s="1195"/>
      <c r="E170" s="1195"/>
      <c r="F170" s="1206" t="s">
        <v>474</v>
      </c>
      <c r="G170" s="1183">
        <f t="shared" si="60"/>
        <v>0.84</v>
      </c>
      <c r="H170" s="1195">
        <v>0</v>
      </c>
      <c r="I170" s="1195">
        <v>0.84</v>
      </c>
      <c r="J170" s="1205">
        <v>4.24</v>
      </c>
      <c r="K170" s="1195">
        <f t="shared" si="57"/>
        <v>4.1128</v>
      </c>
      <c r="L170" s="1195">
        <v>0.03</v>
      </c>
      <c r="M170" s="1195"/>
      <c r="N170" s="1183">
        <f t="shared" si="61"/>
        <v>0.106848</v>
      </c>
      <c r="O170" s="1195"/>
      <c r="P170" s="1183">
        <f t="shared" si="62"/>
        <v>2618.8444799999997</v>
      </c>
      <c r="Q170" s="1183">
        <f t="shared" si="58"/>
        <v>2618.8444799999997</v>
      </c>
    </row>
    <row r="171" spans="1:17" ht="15.75" x14ac:dyDescent="0.25">
      <c r="A171" s="1195"/>
      <c r="B171" s="1206"/>
      <c r="C171" s="1206" t="s">
        <v>716</v>
      </c>
      <c r="D171" s="1195"/>
      <c r="E171" s="1195"/>
      <c r="F171" s="1206" t="s">
        <v>474</v>
      </c>
      <c r="G171" s="1183">
        <f t="shared" si="60"/>
        <v>0.1</v>
      </c>
      <c r="H171" s="1195">
        <v>0</v>
      </c>
      <c r="I171" s="1195">
        <v>0.1</v>
      </c>
      <c r="J171" s="1205">
        <v>4.24</v>
      </c>
      <c r="K171" s="1195">
        <f t="shared" si="57"/>
        <v>4.1128</v>
      </c>
      <c r="L171" s="1195">
        <v>0.03</v>
      </c>
      <c r="M171" s="1195"/>
      <c r="N171" s="1183">
        <f t="shared" si="61"/>
        <v>1.2720000000000002E-2</v>
      </c>
      <c r="O171" s="1195"/>
      <c r="P171" s="1183">
        <f t="shared" si="62"/>
        <v>311.76720000000006</v>
      </c>
      <c r="Q171" s="1183">
        <f t="shared" si="58"/>
        <v>311.76720000000006</v>
      </c>
    </row>
    <row r="172" spans="1:17" ht="15.75" x14ac:dyDescent="0.25">
      <c r="A172" s="1195"/>
      <c r="B172" s="1206"/>
      <c r="C172" s="1206"/>
      <c r="D172" s="1195"/>
      <c r="E172" s="1195"/>
      <c r="F172" s="1206" t="s">
        <v>586</v>
      </c>
      <c r="G172" s="1183">
        <f t="shared" si="60"/>
        <v>50</v>
      </c>
      <c r="H172" s="1195">
        <v>0</v>
      </c>
      <c r="I172" s="1195">
        <v>50</v>
      </c>
      <c r="J172" s="1205">
        <v>4.24</v>
      </c>
      <c r="K172" s="1195">
        <f t="shared" si="57"/>
        <v>3.6040000000000001</v>
      </c>
      <c r="L172" s="1195">
        <v>0.15</v>
      </c>
      <c r="M172" s="1195"/>
      <c r="N172" s="1183">
        <f t="shared" si="61"/>
        <v>31.8</v>
      </c>
      <c r="O172" s="1195"/>
      <c r="P172" s="1183">
        <f t="shared" si="62"/>
        <v>779418.00000000012</v>
      </c>
      <c r="Q172" s="1183">
        <f t="shared" si="58"/>
        <v>779418.00000000012</v>
      </c>
    </row>
    <row r="173" spans="1:17" ht="15.75" x14ac:dyDescent="0.25">
      <c r="A173" s="1195"/>
      <c r="B173" s="1206" t="s">
        <v>555</v>
      </c>
      <c r="C173" s="1206" t="s">
        <v>713</v>
      </c>
      <c r="D173" s="1195"/>
      <c r="E173" s="1195"/>
      <c r="F173" s="1206" t="s">
        <v>586</v>
      </c>
      <c r="G173" s="1183">
        <f>SUM(H173:I173)</f>
        <v>50</v>
      </c>
      <c r="H173" s="1195">
        <v>0</v>
      </c>
      <c r="I173" s="1195">
        <v>50</v>
      </c>
      <c r="J173" s="1205">
        <v>4.24</v>
      </c>
      <c r="K173" s="1195">
        <f t="shared" si="57"/>
        <v>3.6040000000000001</v>
      </c>
      <c r="L173" s="1195">
        <v>0.15</v>
      </c>
      <c r="M173" s="1195"/>
      <c r="N173" s="1183">
        <f t="shared" si="61"/>
        <v>31.8</v>
      </c>
      <c r="O173" s="1195"/>
      <c r="P173" s="1183">
        <f t="shared" si="62"/>
        <v>779418.00000000012</v>
      </c>
      <c r="Q173" s="1183">
        <f t="shared" si="58"/>
        <v>779418.00000000012</v>
      </c>
    </row>
    <row r="174" spans="1:17" ht="15.75" x14ac:dyDescent="0.25">
      <c r="A174" s="1195"/>
      <c r="B174" s="1206" t="s">
        <v>558</v>
      </c>
      <c r="C174" s="1206" t="s">
        <v>713</v>
      </c>
      <c r="D174" s="1195"/>
      <c r="E174" s="1195"/>
      <c r="F174" s="1206" t="s">
        <v>586</v>
      </c>
      <c r="G174" s="1183">
        <f>SUM(H174:I174)</f>
        <v>30</v>
      </c>
      <c r="H174" s="1195">
        <v>0</v>
      </c>
      <c r="I174" s="1195">
        <v>30</v>
      </c>
      <c r="J174" s="1205">
        <v>4.24</v>
      </c>
      <c r="K174" s="1195">
        <f t="shared" si="57"/>
        <v>3.6040000000000001</v>
      </c>
      <c r="L174" s="1195">
        <v>0.15</v>
      </c>
      <c r="M174" s="1195"/>
      <c r="N174" s="1183">
        <f t="shared" si="61"/>
        <v>19.080000000000002</v>
      </c>
      <c r="O174" s="1195"/>
      <c r="P174" s="1183">
        <f t="shared" si="62"/>
        <v>467650.80000000005</v>
      </c>
      <c r="Q174" s="1183">
        <f t="shared" si="58"/>
        <v>467650.80000000005</v>
      </c>
    </row>
    <row r="175" spans="1:17" ht="15.75" x14ac:dyDescent="0.25">
      <c r="A175" s="1195"/>
      <c r="B175" s="1206" t="s">
        <v>552</v>
      </c>
      <c r="C175" s="1206" t="s">
        <v>713</v>
      </c>
      <c r="D175" s="1195"/>
      <c r="E175" s="1195"/>
      <c r="F175" s="1206" t="s">
        <v>474</v>
      </c>
      <c r="G175" s="1183">
        <f t="shared" si="60"/>
        <v>43.5</v>
      </c>
      <c r="H175" s="1195">
        <v>0</v>
      </c>
      <c r="I175" s="1195">
        <v>43.5</v>
      </c>
      <c r="J175" s="1205">
        <v>4.24</v>
      </c>
      <c r="K175" s="1195">
        <f t="shared" si="57"/>
        <v>3.6040000000000001</v>
      </c>
      <c r="L175" s="1195">
        <v>0.15</v>
      </c>
      <c r="M175" s="1195"/>
      <c r="N175" s="1183">
        <f t="shared" si="61"/>
        <v>27.666</v>
      </c>
      <c r="O175" s="1195"/>
      <c r="P175" s="1183">
        <f t="shared" si="62"/>
        <v>678093.66</v>
      </c>
      <c r="Q175" s="1183">
        <f t="shared" si="58"/>
        <v>678093.66</v>
      </c>
    </row>
    <row r="176" spans="1:17" s="1264" customFormat="1" ht="15.75" x14ac:dyDescent="0.25">
      <c r="A176" s="1262"/>
      <c r="B176" s="1206" t="s">
        <v>550</v>
      </c>
      <c r="C176" s="1265"/>
      <c r="D176" s="1262"/>
      <c r="E176" s="1262"/>
      <c r="F176" s="1265"/>
      <c r="G176" s="1267">
        <f>SUM(G177:G178)</f>
        <v>30.27</v>
      </c>
      <c r="H176" s="1267">
        <f t="shared" ref="H176:Q176" si="64">SUM(H177:H178)</f>
        <v>0</v>
      </c>
      <c r="I176" s="1267">
        <f t="shared" si="64"/>
        <v>30.27</v>
      </c>
      <c r="J176" s="1267">
        <f t="shared" si="64"/>
        <v>8.48</v>
      </c>
      <c r="K176" s="1267">
        <f t="shared" si="64"/>
        <v>8.0560000000000009</v>
      </c>
      <c r="L176" s="1267">
        <f t="shared" si="64"/>
        <v>0.1</v>
      </c>
      <c r="M176" s="1267">
        <f t="shared" si="64"/>
        <v>0</v>
      </c>
      <c r="N176" s="1267">
        <f t="shared" si="64"/>
        <v>6.4172400000000014</v>
      </c>
      <c r="O176" s="1267">
        <f t="shared" si="64"/>
        <v>0</v>
      </c>
      <c r="P176" s="1267">
        <f t="shared" si="64"/>
        <v>157286.55240000004</v>
      </c>
      <c r="Q176" s="1267">
        <f t="shared" si="64"/>
        <v>157286.55240000004</v>
      </c>
    </row>
    <row r="177" spans="1:17" ht="15.75" x14ac:dyDescent="0.25">
      <c r="A177" s="1195"/>
      <c r="C177" s="1206" t="s">
        <v>713</v>
      </c>
      <c r="D177" s="1195"/>
      <c r="E177" s="1195"/>
      <c r="F177" s="1206" t="s">
        <v>474</v>
      </c>
      <c r="G177" s="1183">
        <f t="shared" si="60"/>
        <v>2.72</v>
      </c>
      <c r="H177" s="1195">
        <v>0</v>
      </c>
      <c r="I177" s="1195">
        <v>2.72</v>
      </c>
      <c r="J177" s="1205">
        <v>4.24</v>
      </c>
      <c r="K177" s="1195">
        <f t="shared" si="57"/>
        <v>4.0280000000000005</v>
      </c>
      <c r="L177" s="1195">
        <v>0.05</v>
      </c>
      <c r="M177" s="1195"/>
      <c r="N177" s="1183">
        <f t="shared" si="61"/>
        <v>0.57664000000000015</v>
      </c>
      <c r="O177" s="1195"/>
      <c r="P177" s="1183">
        <f t="shared" si="62"/>
        <v>14133.446400000004</v>
      </c>
      <c r="Q177" s="1183">
        <f t="shared" si="58"/>
        <v>14133.446400000004</v>
      </c>
    </row>
    <row r="178" spans="1:17" ht="15.75" x14ac:dyDescent="0.25">
      <c r="A178" s="1195"/>
      <c r="B178" s="1206"/>
      <c r="C178" s="1206"/>
      <c r="D178" s="1195"/>
      <c r="E178" s="1195"/>
      <c r="F178" s="1206" t="s">
        <v>504</v>
      </c>
      <c r="G178" s="1183">
        <f t="shared" si="60"/>
        <v>27.55</v>
      </c>
      <c r="H178" s="1195">
        <v>0</v>
      </c>
      <c r="I178" s="1195">
        <v>27.55</v>
      </c>
      <c r="J178" s="1205">
        <v>4.24</v>
      </c>
      <c r="K178" s="1195">
        <f t="shared" si="57"/>
        <v>4.0280000000000005</v>
      </c>
      <c r="L178" s="1195">
        <v>0.05</v>
      </c>
      <c r="M178" s="1195"/>
      <c r="N178" s="1183">
        <f t="shared" si="61"/>
        <v>5.8406000000000011</v>
      </c>
      <c r="O178" s="1195"/>
      <c r="P178" s="1183">
        <f t="shared" si="62"/>
        <v>143153.10600000003</v>
      </c>
      <c r="Q178" s="1183">
        <f t="shared" si="58"/>
        <v>143153.10600000003</v>
      </c>
    </row>
    <row r="179" spans="1:17" ht="15.75" x14ac:dyDescent="0.25">
      <c r="A179" s="1195"/>
      <c r="B179" s="1206" t="s">
        <v>971</v>
      </c>
      <c r="C179" s="1206" t="s">
        <v>713</v>
      </c>
      <c r="D179" s="1195"/>
      <c r="E179" s="1195"/>
      <c r="F179" s="1206" t="s">
        <v>972</v>
      </c>
      <c r="G179" s="1183">
        <f t="shared" si="60"/>
        <v>15</v>
      </c>
      <c r="H179" s="1195">
        <v>0</v>
      </c>
      <c r="I179" s="1195">
        <v>15</v>
      </c>
      <c r="J179" s="1205">
        <v>4.24</v>
      </c>
      <c r="K179" s="1195">
        <f t="shared" si="57"/>
        <v>3.6040000000000001</v>
      </c>
      <c r="L179" s="1195">
        <v>0.15</v>
      </c>
      <c r="M179" s="1195"/>
      <c r="N179" s="1183">
        <f t="shared" si="61"/>
        <v>9.5400000000000009</v>
      </c>
      <c r="O179" s="1183"/>
      <c r="P179" s="1183">
        <f t="shared" si="62"/>
        <v>233825.40000000002</v>
      </c>
      <c r="Q179" s="1183">
        <f t="shared" si="58"/>
        <v>233825.40000000002</v>
      </c>
    </row>
    <row r="180" spans="1:17" ht="15.75" x14ac:dyDescent="0.25">
      <c r="A180" s="1195"/>
      <c r="B180" s="1206" t="s">
        <v>472</v>
      </c>
      <c r="C180" s="1206" t="s">
        <v>713</v>
      </c>
      <c r="D180" s="1195"/>
      <c r="E180" s="1195"/>
      <c r="F180" s="1206" t="s">
        <v>586</v>
      </c>
      <c r="G180" s="1183">
        <f t="shared" si="60"/>
        <v>52</v>
      </c>
      <c r="H180" s="1195">
        <v>0</v>
      </c>
      <c r="I180" s="1195">
        <v>52</v>
      </c>
      <c r="J180" s="1205">
        <v>4.24</v>
      </c>
      <c r="K180" s="1195">
        <f t="shared" si="57"/>
        <v>3.6040000000000001</v>
      </c>
      <c r="L180" s="1195">
        <v>0.15</v>
      </c>
      <c r="M180" s="1195"/>
      <c r="N180" s="1183">
        <f t="shared" si="61"/>
        <v>33.072000000000003</v>
      </c>
      <c r="O180" s="1183"/>
      <c r="P180" s="1183">
        <f t="shared" si="62"/>
        <v>810594.7200000002</v>
      </c>
      <c r="Q180" s="1183">
        <f t="shared" si="58"/>
        <v>810594.7200000002</v>
      </c>
    </row>
    <row r="181" spans="1:17" ht="15.75" x14ac:dyDescent="0.25">
      <c r="A181" s="1195"/>
      <c r="B181" s="1206" t="s">
        <v>973</v>
      </c>
      <c r="C181" s="1206" t="s">
        <v>713</v>
      </c>
      <c r="D181" s="1195"/>
      <c r="E181" s="1195"/>
      <c r="F181" s="1206" t="s">
        <v>586</v>
      </c>
      <c r="G181" s="1183">
        <f t="shared" si="60"/>
        <v>320.5</v>
      </c>
      <c r="H181" s="1195">
        <v>0</v>
      </c>
      <c r="I181" s="1195">
        <v>320.5</v>
      </c>
      <c r="J181" s="1205">
        <v>4.24</v>
      </c>
      <c r="K181" s="1195">
        <f t="shared" si="57"/>
        <v>3.6040000000000001</v>
      </c>
      <c r="L181" s="1195">
        <v>0.15</v>
      </c>
      <c r="M181" s="1195"/>
      <c r="N181" s="1183">
        <f t="shared" si="61"/>
        <v>203.83799999999999</v>
      </c>
      <c r="O181" s="1183"/>
      <c r="P181" s="1183">
        <f t="shared" si="62"/>
        <v>4996069.38</v>
      </c>
      <c r="Q181" s="1183">
        <f t="shared" si="58"/>
        <v>4996069.38</v>
      </c>
    </row>
    <row r="182" spans="1:17" s="1264" customFormat="1" ht="15.75" x14ac:dyDescent="0.25">
      <c r="A182" s="1262"/>
      <c r="B182" s="1206" t="s">
        <v>974</v>
      </c>
      <c r="C182" s="1265"/>
      <c r="D182" s="1262"/>
      <c r="E182" s="1262"/>
      <c r="F182" s="1265"/>
      <c r="G182" s="1267">
        <f>SUM(G183:G184)</f>
        <v>140</v>
      </c>
      <c r="H182" s="1267">
        <f t="shared" ref="H182:Q182" si="65">SUM(H183:H184)</f>
        <v>0</v>
      </c>
      <c r="I182" s="1267">
        <f t="shared" si="65"/>
        <v>140</v>
      </c>
      <c r="J182" s="1267">
        <f t="shared" si="65"/>
        <v>8.48</v>
      </c>
      <c r="K182" s="1267">
        <f t="shared" si="65"/>
        <v>7.8440000000000012</v>
      </c>
      <c r="L182" s="1267">
        <f t="shared" si="65"/>
        <v>0.15000000000000002</v>
      </c>
      <c r="M182" s="1267">
        <f t="shared" si="65"/>
        <v>0</v>
      </c>
      <c r="N182" s="1267">
        <f t="shared" si="65"/>
        <v>42.400000000000006</v>
      </c>
      <c r="O182" s="1267">
        <f t="shared" si="65"/>
        <v>0</v>
      </c>
      <c r="P182" s="1267">
        <f t="shared" si="65"/>
        <v>1039224.0000000002</v>
      </c>
      <c r="Q182" s="1267">
        <f t="shared" si="65"/>
        <v>1039224.0000000002</v>
      </c>
    </row>
    <row r="183" spans="1:17" ht="15.75" x14ac:dyDescent="0.25">
      <c r="A183" s="1195"/>
      <c r="C183" s="1206" t="s">
        <v>713</v>
      </c>
      <c r="D183" s="1195"/>
      <c r="E183" s="1195"/>
      <c r="F183" s="1206" t="s">
        <v>504</v>
      </c>
      <c r="G183" s="1183">
        <f t="shared" si="60"/>
        <v>60</v>
      </c>
      <c r="H183" s="1195">
        <v>0</v>
      </c>
      <c r="I183" s="1195">
        <v>60</v>
      </c>
      <c r="J183" s="1205">
        <v>4.24</v>
      </c>
      <c r="K183" s="1195">
        <f t="shared" si="57"/>
        <v>3.8160000000000003</v>
      </c>
      <c r="L183" s="1195">
        <v>0.1</v>
      </c>
      <c r="M183" s="1195"/>
      <c r="N183" s="1183">
        <f t="shared" si="61"/>
        <v>25.44</v>
      </c>
      <c r="O183" s="1183"/>
      <c r="P183" s="1183">
        <f t="shared" si="62"/>
        <v>623534.40000000014</v>
      </c>
      <c r="Q183" s="1183">
        <f t="shared" si="58"/>
        <v>623534.40000000014</v>
      </c>
    </row>
    <row r="184" spans="1:17" ht="15.75" x14ac:dyDescent="0.25">
      <c r="A184" s="1195"/>
      <c r="B184" s="1206"/>
      <c r="C184" s="1206"/>
      <c r="D184" s="1195"/>
      <c r="E184" s="1195"/>
      <c r="F184" s="1206" t="s">
        <v>474</v>
      </c>
      <c r="G184" s="1183">
        <f t="shared" si="60"/>
        <v>80</v>
      </c>
      <c r="H184" s="1195">
        <v>0</v>
      </c>
      <c r="I184" s="1195">
        <v>80</v>
      </c>
      <c r="J184" s="1205">
        <v>4.24</v>
      </c>
      <c r="K184" s="1195">
        <f t="shared" si="57"/>
        <v>4.0280000000000005</v>
      </c>
      <c r="L184" s="1195">
        <v>0.05</v>
      </c>
      <c r="M184" s="1195"/>
      <c r="N184" s="1183">
        <f t="shared" si="61"/>
        <v>16.96</v>
      </c>
      <c r="O184" s="1195"/>
      <c r="P184" s="1183">
        <f t="shared" si="62"/>
        <v>415689.60000000003</v>
      </c>
      <c r="Q184" s="1183">
        <f t="shared" si="58"/>
        <v>415689.60000000003</v>
      </c>
    </row>
    <row r="185" spans="1:17" ht="15.75" x14ac:dyDescent="0.25">
      <c r="A185" s="1204"/>
      <c r="B185" s="1203" t="s">
        <v>475</v>
      </c>
      <c r="C185" s="1233"/>
      <c r="D185" s="1204"/>
      <c r="E185" s="1204"/>
      <c r="F185" s="1233"/>
      <c r="G185" s="1204">
        <f>SUM(G186:G204)</f>
        <v>1482.7</v>
      </c>
      <c r="H185" s="1204">
        <f>SUM(H186:H204)</f>
        <v>9.6999999999999993</v>
      </c>
      <c r="I185" s="1204">
        <f>SUM(I186:I204)</f>
        <v>1473</v>
      </c>
      <c r="J185" s="1202"/>
      <c r="K185" s="1202"/>
      <c r="L185" s="1204"/>
      <c r="M185" s="1204"/>
      <c r="N185" s="1204">
        <f>SUM(N186:N204)</f>
        <v>1080.3579359999999</v>
      </c>
      <c r="O185" s="1234"/>
      <c r="P185" s="1204">
        <f>SUM(P186:P204)</f>
        <v>25534990.051359996</v>
      </c>
      <c r="Q185" s="1204">
        <f>SUM(Q186:Q204)</f>
        <v>25534990.051359996</v>
      </c>
    </row>
    <row r="186" spans="1:17" ht="15.75" x14ac:dyDescent="0.25">
      <c r="A186" s="1235"/>
      <c r="B186" s="1236" t="s">
        <v>566</v>
      </c>
      <c r="C186" s="1206" t="s">
        <v>713</v>
      </c>
      <c r="D186" s="1235"/>
      <c r="E186" s="1195"/>
      <c r="F186" s="1206" t="s">
        <v>586</v>
      </c>
      <c r="G186" s="1183">
        <f t="shared" ref="G186:G204" si="66">SUM(H186:I186)</f>
        <v>765</v>
      </c>
      <c r="H186" s="1195">
        <v>0</v>
      </c>
      <c r="I186" s="1195">
        <f>490+275</f>
        <v>765</v>
      </c>
      <c r="J186" s="1205">
        <v>4.24</v>
      </c>
      <c r="K186" s="1195">
        <f t="shared" ref="K186:K204" si="67">J186-(J186*L186)</f>
        <v>3.8160000000000003</v>
      </c>
      <c r="L186" s="1195">
        <v>0.1</v>
      </c>
      <c r="M186" s="1235"/>
      <c r="N186" s="1183">
        <f>L186*J186*I186</f>
        <v>324.36</v>
      </c>
      <c r="O186" s="1182"/>
      <c r="P186" s="1183">
        <f t="shared" si="62"/>
        <v>7950063.6000000006</v>
      </c>
      <c r="Q186" s="1183">
        <f t="shared" ref="Q186:Q204" si="68">SUM(O186:P186)</f>
        <v>7950063.6000000006</v>
      </c>
    </row>
    <row r="187" spans="1:17" ht="15.75" x14ac:dyDescent="0.25">
      <c r="A187" s="1195"/>
      <c r="B187" s="1206" t="s">
        <v>559</v>
      </c>
      <c r="C187" s="1206" t="s">
        <v>713</v>
      </c>
      <c r="D187" s="1195"/>
      <c r="E187" s="1195"/>
      <c r="F187" s="1206" t="s">
        <v>474</v>
      </c>
      <c r="G187" s="1183">
        <f t="shared" si="66"/>
        <v>127</v>
      </c>
      <c r="H187" s="1195">
        <v>0</v>
      </c>
      <c r="I187" s="1195">
        <v>127</v>
      </c>
      <c r="J187" s="1205">
        <v>4.24</v>
      </c>
      <c r="K187" s="1195">
        <f t="shared" si="67"/>
        <v>4.1976000000000004</v>
      </c>
      <c r="L187" s="1195">
        <v>0.01</v>
      </c>
      <c r="M187" s="1195"/>
      <c r="N187" s="1183">
        <f>L187*J187*I187</f>
        <v>5.3848000000000003</v>
      </c>
      <c r="O187" s="1183"/>
      <c r="P187" s="1183">
        <f t="shared" si="62"/>
        <v>131981.44800000003</v>
      </c>
      <c r="Q187" s="1183">
        <f t="shared" si="68"/>
        <v>131981.44800000003</v>
      </c>
    </row>
    <row r="188" spans="1:17" s="1264" customFormat="1" ht="15.75" x14ac:dyDescent="0.25">
      <c r="A188" s="1262"/>
      <c r="B188" s="1206" t="s">
        <v>564</v>
      </c>
      <c r="C188" s="1265"/>
      <c r="D188" s="1262"/>
      <c r="E188" s="1262"/>
      <c r="F188" s="1265"/>
      <c r="G188" s="1267">
        <f>SUM(G189:G190)</f>
        <v>4.5</v>
      </c>
      <c r="H188" s="1267">
        <f t="shared" ref="H188:Q188" si="69">SUM(H189:H190)</f>
        <v>0</v>
      </c>
      <c r="I188" s="1267">
        <f t="shared" si="69"/>
        <v>4.5</v>
      </c>
      <c r="J188" s="1267">
        <f t="shared" si="69"/>
        <v>8.48</v>
      </c>
      <c r="K188" s="1267">
        <f t="shared" si="69"/>
        <v>5.2152000000000003</v>
      </c>
      <c r="L188" s="1267">
        <f t="shared" si="69"/>
        <v>0.77</v>
      </c>
      <c r="M188" s="1267">
        <f t="shared" si="69"/>
        <v>0</v>
      </c>
      <c r="N188" s="1267">
        <f t="shared" si="69"/>
        <v>8.7585680000000004</v>
      </c>
      <c r="O188" s="1267">
        <f t="shared" si="69"/>
        <v>0</v>
      </c>
      <c r="P188" s="1267">
        <f t="shared" si="69"/>
        <v>214672.50168000002</v>
      </c>
      <c r="Q188" s="1267">
        <f t="shared" si="69"/>
        <v>214672.50168000002</v>
      </c>
    </row>
    <row r="189" spans="1:17" ht="15.75" x14ac:dyDescent="0.25">
      <c r="A189" s="1195"/>
      <c r="C189" s="1206" t="s">
        <v>713</v>
      </c>
      <c r="D189" s="1195"/>
      <c r="E189" s="1195"/>
      <c r="F189" s="1206" t="s">
        <v>474</v>
      </c>
      <c r="G189" s="1183">
        <f t="shared" si="66"/>
        <v>0.28999999999999998</v>
      </c>
      <c r="H189" s="1195">
        <v>0</v>
      </c>
      <c r="I189" s="1195">
        <v>0.28999999999999998</v>
      </c>
      <c r="J189" s="1205">
        <v>4.24</v>
      </c>
      <c r="K189" s="1195">
        <f t="shared" si="67"/>
        <v>2.968</v>
      </c>
      <c r="L189" s="1195">
        <v>0.3</v>
      </c>
      <c r="M189" s="1195"/>
      <c r="N189" s="1183">
        <f>L189*J189*I189</f>
        <v>0.36887999999999999</v>
      </c>
      <c r="O189" s="1183"/>
      <c r="P189" s="1183">
        <f t="shared" si="62"/>
        <v>9041.2487999999994</v>
      </c>
      <c r="Q189" s="1183">
        <f t="shared" si="68"/>
        <v>9041.2487999999994</v>
      </c>
    </row>
    <row r="190" spans="1:17" ht="15.75" x14ac:dyDescent="0.25">
      <c r="A190" s="1195"/>
      <c r="B190" s="1206"/>
      <c r="C190" s="1206"/>
      <c r="D190" s="1195"/>
      <c r="E190" s="1195"/>
      <c r="F190" s="1206" t="s">
        <v>586</v>
      </c>
      <c r="G190" s="1183">
        <f t="shared" si="66"/>
        <v>4.21</v>
      </c>
      <c r="H190" s="1195">
        <v>0</v>
      </c>
      <c r="I190" s="1195">
        <v>4.21</v>
      </c>
      <c r="J190" s="1205">
        <v>4.24</v>
      </c>
      <c r="K190" s="1195">
        <f t="shared" si="67"/>
        <v>2.2472000000000003</v>
      </c>
      <c r="L190" s="1195">
        <v>0.47</v>
      </c>
      <c r="M190" s="1195"/>
      <c r="N190" s="1183">
        <f>L190*J190*I190</f>
        <v>8.3896879999999996</v>
      </c>
      <c r="O190" s="1183"/>
      <c r="P190" s="1183">
        <f t="shared" si="62"/>
        <v>205631.25288000001</v>
      </c>
      <c r="Q190" s="1183">
        <f t="shared" si="68"/>
        <v>205631.25288000001</v>
      </c>
    </row>
    <row r="191" spans="1:17" ht="15.75" x14ac:dyDescent="0.25">
      <c r="A191" s="1195"/>
      <c r="B191" s="1206" t="s">
        <v>576</v>
      </c>
      <c r="C191" s="1206"/>
      <c r="D191" s="1195"/>
      <c r="E191" s="1195"/>
      <c r="F191" s="1206" t="s">
        <v>586</v>
      </c>
      <c r="G191" s="1183">
        <f t="shared" si="66"/>
        <v>50</v>
      </c>
      <c r="H191" s="1195">
        <v>0</v>
      </c>
      <c r="I191" s="1195">
        <v>50</v>
      </c>
      <c r="J191" s="1205">
        <v>4.24</v>
      </c>
      <c r="K191" s="1195">
        <f t="shared" si="67"/>
        <v>2.968</v>
      </c>
      <c r="L191" s="1195">
        <v>0.3</v>
      </c>
      <c r="M191" s="1195"/>
      <c r="N191" s="1183">
        <f>L191*J191*I191</f>
        <v>63.6</v>
      </c>
      <c r="O191" s="1183"/>
      <c r="P191" s="1183">
        <f t="shared" si="62"/>
        <v>1558836.0000000002</v>
      </c>
      <c r="Q191" s="1183">
        <f t="shared" si="68"/>
        <v>1558836.0000000002</v>
      </c>
    </row>
    <row r="192" spans="1:17" ht="15.75" x14ac:dyDescent="0.25">
      <c r="A192" s="1195"/>
      <c r="B192" s="1206" t="s">
        <v>574</v>
      </c>
      <c r="C192" s="1206"/>
      <c r="D192" s="1195"/>
      <c r="E192" s="1195"/>
      <c r="F192" s="1206" t="s">
        <v>586</v>
      </c>
      <c r="G192" s="1183">
        <f t="shared" si="66"/>
        <v>1.7</v>
      </c>
      <c r="H192" s="1195">
        <v>1.7</v>
      </c>
      <c r="I192" s="1195"/>
      <c r="J192" s="1205">
        <v>4.24</v>
      </c>
      <c r="K192" s="1195">
        <f t="shared" si="67"/>
        <v>0</v>
      </c>
      <c r="L192" s="1195">
        <v>1</v>
      </c>
      <c r="M192" s="1195"/>
      <c r="N192" s="1183">
        <f>L192*J192*H192</f>
        <v>7.2080000000000002</v>
      </c>
      <c r="O192" s="1195"/>
      <c r="P192" s="1183">
        <f>N192*23.44*1000</f>
        <v>168955.52000000002</v>
      </c>
      <c r="Q192" s="1183">
        <f t="shared" si="68"/>
        <v>168955.52000000002</v>
      </c>
    </row>
    <row r="193" spans="1:17" s="1264" customFormat="1" ht="15.75" x14ac:dyDescent="0.25">
      <c r="A193" s="1262"/>
      <c r="B193" s="1206" t="s">
        <v>569</v>
      </c>
      <c r="C193" s="1265"/>
      <c r="D193" s="1262"/>
      <c r="E193" s="1262"/>
      <c r="F193" s="1265"/>
      <c r="G193" s="1267">
        <f>SUM(G194:G195)</f>
        <v>65.5</v>
      </c>
      <c r="H193" s="1267">
        <f t="shared" ref="H193:Q193" si="70">SUM(H194:H195)</f>
        <v>0</v>
      </c>
      <c r="I193" s="1267">
        <f t="shared" si="70"/>
        <v>65.5</v>
      </c>
      <c r="J193" s="1267">
        <f t="shared" si="70"/>
        <v>8.48</v>
      </c>
      <c r="K193" s="1267">
        <f t="shared" si="70"/>
        <v>5.9359999999999999</v>
      </c>
      <c r="L193" s="1267">
        <f t="shared" si="70"/>
        <v>0.6</v>
      </c>
      <c r="M193" s="1267">
        <f t="shared" si="70"/>
        <v>0</v>
      </c>
      <c r="N193" s="1267">
        <f t="shared" si="70"/>
        <v>83.316000000000003</v>
      </c>
      <c r="O193" s="1267">
        <f t="shared" si="70"/>
        <v>0</v>
      </c>
      <c r="P193" s="1267">
        <f t="shared" si="70"/>
        <v>2042075.1600000001</v>
      </c>
      <c r="Q193" s="1267">
        <f t="shared" si="70"/>
        <v>2042075.1600000001</v>
      </c>
    </row>
    <row r="194" spans="1:17" ht="15.75" x14ac:dyDescent="0.25">
      <c r="A194" s="1195"/>
      <c r="C194" s="1206"/>
      <c r="D194" s="1195"/>
      <c r="E194" s="1195"/>
      <c r="F194" s="1206" t="s">
        <v>586</v>
      </c>
      <c r="G194" s="1183">
        <f t="shared" si="66"/>
        <v>19.7</v>
      </c>
      <c r="H194" s="1195">
        <v>0</v>
      </c>
      <c r="I194" s="1195">
        <v>19.7</v>
      </c>
      <c r="J194" s="1205">
        <v>4.24</v>
      </c>
      <c r="K194" s="1195">
        <f t="shared" si="67"/>
        <v>2.968</v>
      </c>
      <c r="L194" s="1195">
        <v>0.3</v>
      </c>
      <c r="M194" s="1195"/>
      <c r="N194" s="1183">
        <f>L194*J194*I194</f>
        <v>25.058399999999999</v>
      </c>
      <c r="O194" s="1183"/>
      <c r="P194" s="1183">
        <f>N194*24.51*1000</f>
        <v>614181.38399999996</v>
      </c>
      <c r="Q194" s="1183">
        <f t="shared" si="68"/>
        <v>614181.38399999996</v>
      </c>
    </row>
    <row r="195" spans="1:17" ht="15.75" x14ac:dyDescent="0.25">
      <c r="A195" s="1195"/>
      <c r="B195" s="1206"/>
      <c r="C195" s="1206"/>
      <c r="D195" s="1195"/>
      <c r="E195" s="1195"/>
      <c r="F195" s="1206" t="s">
        <v>474</v>
      </c>
      <c r="G195" s="1183">
        <f t="shared" si="66"/>
        <v>45.8</v>
      </c>
      <c r="H195" s="1195">
        <v>0</v>
      </c>
      <c r="I195" s="1195">
        <v>45.8</v>
      </c>
      <c r="J195" s="1205">
        <v>4.24</v>
      </c>
      <c r="K195" s="1195">
        <f t="shared" si="67"/>
        <v>2.968</v>
      </c>
      <c r="L195" s="1195">
        <v>0.3</v>
      </c>
      <c r="M195" s="1195"/>
      <c r="N195" s="1183">
        <f>L195*J195*I195</f>
        <v>58.257599999999996</v>
      </c>
      <c r="O195" s="1183"/>
      <c r="P195" s="1183">
        <f>N195*24.51*1000</f>
        <v>1427893.7760000001</v>
      </c>
      <c r="Q195" s="1183">
        <f t="shared" si="68"/>
        <v>1427893.7760000001</v>
      </c>
    </row>
    <row r="196" spans="1:17" ht="15.75" x14ac:dyDescent="0.25">
      <c r="A196" s="1195"/>
      <c r="B196" s="1206" t="s">
        <v>561</v>
      </c>
      <c r="C196" s="1206"/>
      <c r="D196" s="1195"/>
      <c r="E196" s="1195"/>
      <c r="F196" s="1206" t="s">
        <v>586</v>
      </c>
      <c r="G196" s="1183">
        <f t="shared" si="66"/>
        <v>5</v>
      </c>
      <c r="H196" s="1195">
        <v>0</v>
      </c>
      <c r="I196" s="1195">
        <v>5</v>
      </c>
      <c r="J196" s="1205">
        <v>4.24</v>
      </c>
      <c r="K196" s="1195">
        <f t="shared" si="67"/>
        <v>2.968</v>
      </c>
      <c r="L196" s="1195">
        <v>0.3</v>
      </c>
      <c r="M196" s="1195"/>
      <c r="N196" s="1183">
        <f>L196*J196*I196</f>
        <v>6.36</v>
      </c>
      <c r="O196" s="1183"/>
      <c r="P196" s="1183">
        <f>N196*24.51*1000</f>
        <v>155883.60000000003</v>
      </c>
      <c r="Q196" s="1183">
        <f t="shared" si="68"/>
        <v>155883.60000000003</v>
      </c>
    </row>
    <row r="197" spans="1:17" s="1264" customFormat="1" ht="15.75" x14ac:dyDescent="0.25">
      <c r="A197" s="1262"/>
      <c r="B197" s="1206" t="s">
        <v>583</v>
      </c>
      <c r="C197" s="1265"/>
      <c r="D197" s="1262"/>
      <c r="E197" s="1262"/>
      <c r="F197" s="1265"/>
      <c r="G197" s="1267">
        <f>SUM(G198:G199)</f>
        <v>7</v>
      </c>
      <c r="H197" s="1267">
        <f t="shared" ref="H197:Q197" si="71">SUM(H198:H199)</f>
        <v>4</v>
      </c>
      <c r="I197" s="1267">
        <f t="shared" si="71"/>
        <v>3</v>
      </c>
      <c r="J197" s="1267">
        <f t="shared" si="71"/>
        <v>8.48</v>
      </c>
      <c r="K197" s="1267">
        <f t="shared" si="71"/>
        <v>2.968</v>
      </c>
      <c r="L197" s="1267">
        <f t="shared" si="71"/>
        <v>1.3</v>
      </c>
      <c r="M197" s="1267">
        <f t="shared" si="71"/>
        <v>0</v>
      </c>
      <c r="N197" s="1267">
        <f t="shared" si="71"/>
        <v>20.776</v>
      </c>
      <c r="O197" s="1267">
        <f t="shared" si="71"/>
        <v>0</v>
      </c>
      <c r="P197" s="1267">
        <f t="shared" si="71"/>
        <v>491072.56</v>
      </c>
      <c r="Q197" s="1267">
        <f t="shared" si="71"/>
        <v>491072.56</v>
      </c>
    </row>
    <row r="198" spans="1:17" ht="15.75" x14ac:dyDescent="0.25">
      <c r="A198" s="1195"/>
      <c r="C198" s="1206"/>
      <c r="D198" s="1195"/>
      <c r="E198" s="1195"/>
      <c r="F198" s="1206" t="s">
        <v>481</v>
      </c>
      <c r="G198" s="1183">
        <f t="shared" si="66"/>
        <v>4</v>
      </c>
      <c r="H198" s="1195">
        <v>4</v>
      </c>
      <c r="I198" s="1195"/>
      <c r="J198" s="1205">
        <v>4.24</v>
      </c>
      <c r="K198" s="1195">
        <f t="shared" si="67"/>
        <v>0</v>
      </c>
      <c r="L198" s="1195">
        <v>1</v>
      </c>
      <c r="M198" s="1195"/>
      <c r="N198" s="1183">
        <f>L198*J198*H198</f>
        <v>16.96</v>
      </c>
      <c r="O198" s="1195"/>
      <c r="P198" s="1183">
        <f>N198*23.44*1000</f>
        <v>397542.40000000002</v>
      </c>
      <c r="Q198" s="1183">
        <f t="shared" si="68"/>
        <v>397542.40000000002</v>
      </c>
    </row>
    <row r="199" spans="1:17" ht="15.75" x14ac:dyDescent="0.25">
      <c r="A199" s="1195"/>
      <c r="B199" s="1206"/>
      <c r="C199" s="1206"/>
      <c r="D199" s="1195"/>
      <c r="E199" s="1195"/>
      <c r="F199" s="1206" t="s">
        <v>586</v>
      </c>
      <c r="G199" s="1183">
        <f t="shared" si="66"/>
        <v>3</v>
      </c>
      <c r="H199" s="1195">
        <v>0</v>
      </c>
      <c r="I199" s="1195">
        <v>3</v>
      </c>
      <c r="J199" s="1205">
        <v>4.24</v>
      </c>
      <c r="K199" s="1195">
        <f t="shared" si="67"/>
        <v>2.968</v>
      </c>
      <c r="L199" s="1195">
        <v>0.3</v>
      </c>
      <c r="M199" s="1195"/>
      <c r="N199" s="1183">
        <f>L199*J199*I199</f>
        <v>3.8159999999999998</v>
      </c>
      <c r="O199" s="1183"/>
      <c r="P199" s="1183">
        <f>N199*24.51*1000</f>
        <v>93530.159999999989</v>
      </c>
      <c r="Q199" s="1183">
        <f t="shared" si="68"/>
        <v>93530.159999999989</v>
      </c>
    </row>
    <row r="200" spans="1:17" ht="15.75" x14ac:dyDescent="0.25">
      <c r="A200" s="1195"/>
      <c r="B200" s="1206" t="s">
        <v>975</v>
      </c>
      <c r="C200" s="1206"/>
      <c r="D200" s="1195"/>
      <c r="E200" s="1195"/>
      <c r="F200" s="1206" t="s">
        <v>586</v>
      </c>
      <c r="G200" s="1183">
        <f t="shared" si="66"/>
        <v>150</v>
      </c>
      <c r="H200" s="1195">
        <v>0</v>
      </c>
      <c r="I200" s="1195">
        <v>150</v>
      </c>
      <c r="J200" s="1205">
        <v>4.24</v>
      </c>
      <c r="K200" s="1195">
        <f t="shared" si="67"/>
        <v>3.18</v>
      </c>
      <c r="L200" s="1195">
        <v>0.25</v>
      </c>
      <c r="M200" s="1195"/>
      <c r="N200" s="1183">
        <f>L200*J200*I200</f>
        <v>159</v>
      </c>
      <c r="O200" s="1183"/>
      <c r="P200" s="1183">
        <f>N200*24.51*1000</f>
        <v>3897090</v>
      </c>
      <c r="Q200" s="1183">
        <f t="shared" si="68"/>
        <v>3897090</v>
      </c>
    </row>
    <row r="201" spans="1:17" s="1264" customFormat="1" ht="15.75" x14ac:dyDescent="0.25">
      <c r="A201" s="1262"/>
      <c r="B201" s="1206" t="s">
        <v>575</v>
      </c>
      <c r="C201" s="1265"/>
      <c r="D201" s="1262"/>
      <c r="E201" s="1262"/>
      <c r="F201" s="1265"/>
      <c r="G201" s="1267">
        <f>SUM(G202:G203)</f>
        <v>15</v>
      </c>
      <c r="H201" s="1267">
        <f t="shared" ref="H201:Q201" si="72">SUM(H202:H203)</f>
        <v>0</v>
      </c>
      <c r="I201" s="1267">
        <f t="shared" si="72"/>
        <v>15</v>
      </c>
      <c r="J201" s="1267">
        <f t="shared" si="72"/>
        <v>8.48</v>
      </c>
      <c r="K201" s="1267">
        <f t="shared" si="72"/>
        <v>6.1479999999999997</v>
      </c>
      <c r="L201" s="1267">
        <f t="shared" si="72"/>
        <v>0.55000000000000004</v>
      </c>
      <c r="M201" s="1267">
        <f t="shared" si="72"/>
        <v>0</v>
      </c>
      <c r="N201" s="1267">
        <f t="shared" si="72"/>
        <v>17.172000000000001</v>
      </c>
      <c r="O201" s="1267">
        <f t="shared" si="72"/>
        <v>0</v>
      </c>
      <c r="P201" s="1267">
        <f t="shared" si="72"/>
        <v>420885.72</v>
      </c>
      <c r="Q201" s="1267">
        <f t="shared" si="72"/>
        <v>420885.72</v>
      </c>
    </row>
    <row r="202" spans="1:17" ht="15.75" x14ac:dyDescent="0.25">
      <c r="A202" s="1195"/>
      <c r="C202" s="1206"/>
      <c r="D202" s="1195"/>
      <c r="E202" s="1195"/>
      <c r="F202" s="1206" t="s">
        <v>586</v>
      </c>
      <c r="G202" s="1183">
        <f t="shared" si="66"/>
        <v>9</v>
      </c>
      <c r="H202" s="1195">
        <v>0</v>
      </c>
      <c r="I202" s="1195">
        <v>9</v>
      </c>
      <c r="J202" s="1205">
        <v>4.24</v>
      </c>
      <c r="K202" s="1195">
        <f t="shared" si="67"/>
        <v>3.18</v>
      </c>
      <c r="L202" s="1195">
        <v>0.25</v>
      </c>
      <c r="M202" s="1195"/>
      <c r="N202" s="1183">
        <f>L202*J202*I202</f>
        <v>9.5400000000000009</v>
      </c>
      <c r="O202" s="1183"/>
      <c r="P202" s="1183">
        <f>N202*24.51*1000</f>
        <v>233825.40000000002</v>
      </c>
      <c r="Q202" s="1183">
        <f t="shared" si="68"/>
        <v>233825.40000000002</v>
      </c>
    </row>
    <row r="203" spans="1:17" ht="15.75" x14ac:dyDescent="0.25">
      <c r="A203" s="1195"/>
      <c r="B203" s="1206"/>
      <c r="C203" s="1206"/>
      <c r="D203" s="1195"/>
      <c r="E203" s="1195"/>
      <c r="F203" s="1206" t="s">
        <v>474</v>
      </c>
      <c r="G203" s="1183">
        <f t="shared" si="66"/>
        <v>6</v>
      </c>
      <c r="H203" s="1195">
        <v>0</v>
      </c>
      <c r="I203" s="1195">
        <v>6</v>
      </c>
      <c r="J203" s="1205">
        <v>4.24</v>
      </c>
      <c r="K203" s="1195">
        <f t="shared" si="67"/>
        <v>2.968</v>
      </c>
      <c r="L203" s="1195">
        <v>0.3</v>
      </c>
      <c r="M203" s="1195"/>
      <c r="N203" s="1183">
        <f>L203*J203*I203</f>
        <v>7.6319999999999997</v>
      </c>
      <c r="O203" s="1183"/>
      <c r="P203" s="1183">
        <f>N203*24.51*1000</f>
        <v>187060.31999999998</v>
      </c>
      <c r="Q203" s="1183">
        <f t="shared" si="68"/>
        <v>187060.31999999998</v>
      </c>
    </row>
    <row r="204" spans="1:17" ht="15.75" x14ac:dyDescent="0.25">
      <c r="A204" s="1195"/>
      <c r="B204" s="1227" t="s">
        <v>565</v>
      </c>
      <c r="C204" s="1206"/>
      <c r="D204" s="1228"/>
      <c r="E204" s="1228"/>
      <c r="F204" s="466" t="s">
        <v>504</v>
      </c>
      <c r="G204" s="1229">
        <f t="shared" si="66"/>
        <v>200</v>
      </c>
      <c r="H204" s="1229"/>
      <c r="I204" s="1229">
        <v>200</v>
      </c>
      <c r="J204" s="1230">
        <v>4.24</v>
      </c>
      <c r="K204" s="1195">
        <f t="shared" si="67"/>
        <v>2.968</v>
      </c>
      <c r="L204" s="1230">
        <v>0.3</v>
      </c>
      <c r="M204" s="1194"/>
      <c r="N204" s="1231">
        <f>G204*J204*L204</f>
        <v>254.39999999999998</v>
      </c>
      <c r="O204" s="1194"/>
      <c r="P204" s="1183">
        <f>N204*20.97*1000</f>
        <v>5334767.9999999991</v>
      </c>
      <c r="Q204" s="1183">
        <f t="shared" si="68"/>
        <v>5334767.9999999991</v>
      </c>
    </row>
    <row r="205" spans="1:17" ht="15.75" x14ac:dyDescent="0.25">
      <c r="A205" s="1195"/>
      <c r="B205" s="1206"/>
      <c r="C205" s="1206"/>
      <c r="D205" s="1195"/>
      <c r="E205" s="1195"/>
      <c r="F205" s="1206"/>
      <c r="G205" s="1183"/>
      <c r="H205" s="1195"/>
      <c r="I205" s="1195"/>
      <c r="J205" s="1205"/>
      <c r="K205" s="1195"/>
      <c r="L205" s="1195"/>
      <c r="M205" s="1195"/>
      <c r="N205" s="1183"/>
      <c r="O205" s="1183"/>
      <c r="P205" s="1183"/>
      <c r="Q205" s="1183"/>
    </row>
    <row r="206" spans="1:17" ht="15.75" x14ac:dyDescent="0.25">
      <c r="A206" s="1201"/>
      <c r="B206" s="1200" t="s">
        <v>36</v>
      </c>
      <c r="C206" s="1201"/>
      <c r="D206" s="1201"/>
      <c r="E206" s="1201"/>
      <c r="F206" s="1201"/>
      <c r="G206" s="1201">
        <f>G207+G238</f>
        <v>25135.3</v>
      </c>
      <c r="H206" s="1201">
        <f>H207+H238</f>
        <v>0</v>
      </c>
      <c r="I206" s="1201">
        <f>I207+I238</f>
        <v>25135.3</v>
      </c>
      <c r="J206" s="1201"/>
      <c r="K206" s="1201"/>
      <c r="L206" s="1201"/>
      <c r="M206" s="1201"/>
      <c r="N206" s="1201">
        <f>N207+N238</f>
        <v>24768.275700000002</v>
      </c>
      <c r="O206" s="1201"/>
      <c r="P206" s="1201"/>
      <c r="Q206" s="1201">
        <f>Q207+Q238</f>
        <v>582054478.95000005</v>
      </c>
    </row>
    <row r="207" spans="1:17" ht="15.75" x14ac:dyDescent="0.25">
      <c r="A207" s="1204"/>
      <c r="B207" s="1203" t="s">
        <v>471</v>
      </c>
      <c r="C207" s="1204"/>
      <c r="D207" s="1204"/>
      <c r="E207" s="1204"/>
      <c r="F207" s="1204"/>
      <c r="G207" s="1204">
        <f>SUM(G208:G237)</f>
        <v>11841.5</v>
      </c>
      <c r="H207" s="1204">
        <f>SUM(H208:H222)</f>
        <v>0</v>
      </c>
      <c r="I207" s="1204">
        <f>SUM(I208:I237)</f>
        <v>11841.5</v>
      </c>
      <c r="J207" s="1204"/>
      <c r="K207" s="1204"/>
      <c r="L207" s="1204"/>
      <c r="M207" s="1204"/>
      <c r="N207" s="1204">
        <f>SUM(N208:N235)</f>
        <v>7858.7135000000017</v>
      </c>
      <c r="O207" s="1204"/>
      <c r="P207" s="1204"/>
      <c r="Q207" s="1204">
        <f>SUM(Q208:Q235)</f>
        <v>184679767.25</v>
      </c>
    </row>
    <row r="208" spans="1:17" ht="15.75" x14ac:dyDescent="0.25">
      <c r="A208" s="1195"/>
      <c r="B208" s="1206" t="s">
        <v>712</v>
      </c>
      <c r="C208" s="1206" t="s">
        <v>713</v>
      </c>
      <c r="D208" s="1195"/>
      <c r="E208" s="1207"/>
      <c r="F208" s="1206" t="s">
        <v>504</v>
      </c>
      <c r="G208" s="1195">
        <f t="shared" ref="G208:G237" si="73">H208+I208</f>
        <v>1.5</v>
      </c>
      <c r="H208" s="1195">
        <v>0</v>
      </c>
      <c r="I208" s="1195">
        <v>1.5</v>
      </c>
      <c r="J208" s="1195">
        <v>4.79</v>
      </c>
      <c r="K208" s="1195">
        <f>J208-(J208*L208)</f>
        <v>4.3109999999999999</v>
      </c>
      <c r="L208" s="1195">
        <v>0.1</v>
      </c>
      <c r="M208" s="1195"/>
      <c r="N208" s="1183">
        <f>L208*J208*I208</f>
        <v>0.71850000000000003</v>
      </c>
      <c r="O208" s="1195"/>
      <c r="P208" s="1183">
        <f>N208*23.5*1000</f>
        <v>16884.75</v>
      </c>
      <c r="Q208" s="1183">
        <f t="shared" ref="Q208:Q223" si="74">SUM(O208:P208)</f>
        <v>16884.75</v>
      </c>
    </row>
    <row r="209" spans="1:17" s="1264" customFormat="1" ht="15.75" x14ac:dyDescent="0.25">
      <c r="A209" s="1262"/>
      <c r="B209" s="1206" t="s">
        <v>827</v>
      </c>
      <c r="C209" s="1265"/>
      <c r="D209" s="1262"/>
      <c r="E209" s="1266"/>
      <c r="F209" s="1265"/>
      <c r="G209" s="1262">
        <f>SUM(G210:G212)</f>
        <v>1965</v>
      </c>
      <c r="H209" s="1262">
        <f t="shared" ref="H209:Q209" si="75">SUM(H210:H212)</f>
        <v>0</v>
      </c>
      <c r="I209" s="1262">
        <f t="shared" si="75"/>
        <v>1965</v>
      </c>
      <c r="J209" s="1262">
        <f t="shared" si="75"/>
        <v>14.370000000000001</v>
      </c>
      <c r="K209" s="1262">
        <f t="shared" si="75"/>
        <v>11.7355</v>
      </c>
      <c r="L209" s="1262">
        <f t="shared" si="75"/>
        <v>0.55000000000000004</v>
      </c>
      <c r="M209" s="1262">
        <f t="shared" si="75"/>
        <v>0</v>
      </c>
      <c r="N209" s="1262">
        <f t="shared" si="75"/>
        <v>1522.741</v>
      </c>
      <c r="O209" s="1262">
        <f t="shared" si="75"/>
        <v>0</v>
      </c>
      <c r="P209" s="1262">
        <f t="shared" si="75"/>
        <v>35784413.5</v>
      </c>
      <c r="Q209" s="1262">
        <f t="shared" si="75"/>
        <v>35784413.5</v>
      </c>
    </row>
    <row r="210" spans="1:17" ht="15.75" x14ac:dyDescent="0.25">
      <c r="A210" s="1195"/>
      <c r="C210" s="1206" t="s">
        <v>713</v>
      </c>
      <c r="D210" s="1195"/>
      <c r="E210" s="1207"/>
      <c r="F210" s="1206" t="s">
        <v>504</v>
      </c>
      <c r="G210" s="1195">
        <f t="shared" si="73"/>
        <v>806</v>
      </c>
      <c r="H210" s="1195">
        <v>0</v>
      </c>
      <c r="I210" s="1195">
        <v>806</v>
      </c>
      <c r="J210" s="1195">
        <v>4.79</v>
      </c>
      <c r="K210" s="1195">
        <f t="shared" ref="K210:K237" si="76">J210-(J210*L210)</f>
        <v>3.3529999999999998</v>
      </c>
      <c r="L210" s="1195">
        <v>0.3</v>
      </c>
      <c r="M210" s="1195"/>
      <c r="N210" s="1183">
        <f t="shared" ref="N210:N237" si="77">L210*J210*I210</f>
        <v>1158.222</v>
      </c>
      <c r="O210" s="1195"/>
      <c r="P210" s="1183">
        <f t="shared" ref="P210:P237" si="78">N210*23.5*1000</f>
        <v>27218217</v>
      </c>
      <c r="Q210" s="1183">
        <f t="shared" si="74"/>
        <v>27218217</v>
      </c>
    </row>
    <row r="211" spans="1:17" ht="15.75" x14ac:dyDescent="0.25">
      <c r="A211" s="1195"/>
      <c r="B211" s="1206"/>
      <c r="C211" s="1206" t="s">
        <v>713</v>
      </c>
      <c r="D211" s="1195"/>
      <c r="E211" s="1207"/>
      <c r="F211" s="1206" t="s">
        <v>485</v>
      </c>
      <c r="G211" s="1195">
        <f t="shared" si="73"/>
        <v>1038</v>
      </c>
      <c r="H211" s="1195">
        <v>0</v>
      </c>
      <c r="I211" s="1195">
        <v>1038</v>
      </c>
      <c r="J211" s="1195">
        <v>4.79</v>
      </c>
      <c r="K211" s="1195">
        <f t="shared" si="76"/>
        <v>4.5505000000000004</v>
      </c>
      <c r="L211" s="1195">
        <v>0.05</v>
      </c>
      <c r="M211" s="1195"/>
      <c r="N211" s="1183">
        <f t="shared" si="77"/>
        <v>248.60100000000003</v>
      </c>
      <c r="O211" s="1195"/>
      <c r="P211" s="1183">
        <f t="shared" si="78"/>
        <v>5842123.5000000009</v>
      </c>
      <c r="Q211" s="1183">
        <f t="shared" si="74"/>
        <v>5842123.5000000009</v>
      </c>
    </row>
    <row r="212" spans="1:17" ht="15.75" x14ac:dyDescent="0.25">
      <c r="A212" s="1195"/>
      <c r="B212" s="1206"/>
      <c r="C212" s="1206" t="s">
        <v>713</v>
      </c>
      <c r="D212" s="1195"/>
      <c r="E212" s="1207"/>
      <c r="F212" s="1206" t="s">
        <v>474</v>
      </c>
      <c r="G212" s="1195">
        <f t="shared" si="73"/>
        <v>121</v>
      </c>
      <c r="H212" s="1195">
        <v>0</v>
      </c>
      <c r="I212" s="1195">
        <v>121</v>
      </c>
      <c r="J212" s="1195">
        <v>4.79</v>
      </c>
      <c r="K212" s="1195">
        <f t="shared" si="76"/>
        <v>3.8319999999999999</v>
      </c>
      <c r="L212" s="1195">
        <v>0.2</v>
      </c>
      <c r="M212" s="1195"/>
      <c r="N212" s="1183">
        <f t="shared" si="77"/>
        <v>115.91800000000001</v>
      </c>
      <c r="O212" s="1195"/>
      <c r="P212" s="1183">
        <f t="shared" si="78"/>
        <v>2724073.0000000005</v>
      </c>
      <c r="Q212" s="1183">
        <f t="shared" si="74"/>
        <v>2724073.0000000005</v>
      </c>
    </row>
    <row r="213" spans="1:17" s="1264" customFormat="1" ht="15.75" x14ac:dyDescent="0.25">
      <c r="A213" s="1262"/>
      <c r="B213" s="1206" t="s">
        <v>720</v>
      </c>
      <c r="C213" s="1265"/>
      <c r="D213" s="1262"/>
      <c r="E213" s="1266"/>
      <c r="F213" s="1265"/>
      <c r="G213" s="1262">
        <f>SUM(G214:G217)</f>
        <v>131</v>
      </c>
      <c r="H213" s="1262">
        <f t="shared" ref="H213:Q213" si="79">SUM(H214:H217)</f>
        <v>0</v>
      </c>
      <c r="I213" s="1262">
        <f t="shared" si="79"/>
        <v>131</v>
      </c>
      <c r="J213" s="1262">
        <f t="shared" si="79"/>
        <v>19.16</v>
      </c>
      <c r="K213" s="1262">
        <f t="shared" si="79"/>
        <v>17.0045</v>
      </c>
      <c r="L213" s="1262">
        <f t="shared" si="79"/>
        <v>0.45</v>
      </c>
      <c r="M213" s="1262">
        <f t="shared" si="79"/>
        <v>0</v>
      </c>
      <c r="N213" s="1262">
        <f t="shared" si="79"/>
        <v>90.052000000000007</v>
      </c>
      <c r="O213" s="1262">
        <f t="shared" si="79"/>
        <v>0</v>
      </c>
      <c r="P213" s="1262">
        <f t="shared" si="79"/>
        <v>2116222</v>
      </c>
      <c r="Q213" s="1262">
        <f t="shared" si="79"/>
        <v>2116222</v>
      </c>
    </row>
    <row r="214" spans="1:17" ht="15.75" x14ac:dyDescent="0.25">
      <c r="A214" s="1195"/>
      <c r="C214" s="1206" t="s">
        <v>713</v>
      </c>
      <c r="D214" s="1195"/>
      <c r="E214" s="1207"/>
      <c r="F214" s="1206" t="s">
        <v>620</v>
      </c>
      <c r="G214" s="1195">
        <f t="shared" si="73"/>
        <v>50</v>
      </c>
      <c r="H214" s="1195">
        <v>0</v>
      </c>
      <c r="I214" s="1195">
        <v>50</v>
      </c>
      <c r="J214" s="1195">
        <v>4.79</v>
      </c>
      <c r="K214" s="1195">
        <f t="shared" si="76"/>
        <v>4.3109999999999999</v>
      </c>
      <c r="L214" s="1195">
        <v>0.1</v>
      </c>
      <c r="M214" s="1195"/>
      <c r="N214" s="1183">
        <f t="shared" si="77"/>
        <v>23.950000000000003</v>
      </c>
      <c r="O214" s="1195"/>
      <c r="P214" s="1183">
        <f t="shared" si="78"/>
        <v>562825</v>
      </c>
      <c r="Q214" s="1183">
        <f t="shared" si="74"/>
        <v>562825</v>
      </c>
    </row>
    <row r="215" spans="1:17" ht="15.75" x14ac:dyDescent="0.25">
      <c r="A215" s="1195"/>
      <c r="B215" s="1206"/>
      <c r="C215" s="1206" t="s">
        <v>713</v>
      </c>
      <c r="D215" s="1195"/>
      <c r="E215" s="1207"/>
      <c r="F215" s="1206" t="s">
        <v>474</v>
      </c>
      <c r="G215" s="1195">
        <f t="shared" si="73"/>
        <v>6</v>
      </c>
      <c r="H215" s="1195">
        <v>0</v>
      </c>
      <c r="I215" s="1195">
        <v>6</v>
      </c>
      <c r="J215" s="1195">
        <v>4.79</v>
      </c>
      <c r="K215" s="1195">
        <f t="shared" si="76"/>
        <v>4.5505000000000004</v>
      </c>
      <c r="L215" s="1195">
        <v>0.05</v>
      </c>
      <c r="M215" s="1195"/>
      <c r="N215" s="1183">
        <f t="shared" si="77"/>
        <v>1.4370000000000001</v>
      </c>
      <c r="O215" s="1195"/>
      <c r="P215" s="1183">
        <f t="shared" si="78"/>
        <v>33769.5</v>
      </c>
      <c r="Q215" s="1183">
        <f t="shared" si="74"/>
        <v>33769.5</v>
      </c>
    </row>
    <row r="216" spans="1:17" ht="15.75" x14ac:dyDescent="0.25">
      <c r="A216" s="1195"/>
      <c r="B216" s="1206"/>
      <c r="C216" s="1206" t="s">
        <v>713</v>
      </c>
      <c r="D216" s="1195"/>
      <c r="E216" s="1207"/>
      <c r="F216" s="1206" t="s">
        <v>504</v>
      </c>
      <c r="G216" s="1195">
        <f t="shared" si="73"/>
        <v>15</v>
      </c>
      <c r="H216" s="1195">
        <v>0</v>
      </c>
      <c r="I216" s="1195">
        <v>15</v>
      </c>
      <c r="J216" s="1195">
        <v>4.79</v>
      </c>
      <c r="K216" s="1195">
        <f t="shared" si="76"/>
        <v>4.3109999999999999</v>
      </c>
      <c r="L216" s="1195">
        <v>0.1</v>
      </c>
      <c r="M216" s="1195"/>
      <c r="N216" s="1183">
        <f t="shared" si="77"/>
        <v>7.1850000000000005</v>
      </c>
      <c r="O216" s="1195"/>
      <c r="P216" s="1183">
        <f t="shared" si="78"/>
        <v>168847.50000000003</v>
      </c>
      <c r="Q216" s="1183">
        <f t="shared" si="74"/>
        <v>168847.50000000003</v>
      </c>
    </row>
    <row r="217" spans="1:17" ht="15.75" x14ac:dyDescent="0.25">
      <c r="A217" s="1195"/>
      <c r="B217" s="1206"/>
      <c r="C217" s="1206"/>
      <c r="D217" s="1195"/>
      <c r="E217" s="1207"/>
      <c r="F217" s="1206" t="s">
        <v>485</v>
      </c>
      <c r="G217" s="1195">
        <f t="shared" si="73"/>
        <v>60</v>
      </c>
      <c r="H217" s="1195">
        <v>0</v>
      </c>
      <c r="I217" s="1195">
        <v>60</v>
      </c>
      <c r="J217" s="1195">
        <v>4.79</v>
      </c>
      <c r="K217" s="1195">
        <f t="shared" si="76"/>
        <v>3.8319999999999999</v>
      </c>
      <c r="L217" s="1195">
        <v>0.2</v>
      </c>
      <c r="M217" s="1195"/>
      <c r="N217" s="1183">
        <f t="shared" si="77"/>
        <v>57.480000000000004</v>
      </c>
      <c r="O217" s="1195"/>
      <c r="P217" s="1183">
        <f t="shared" si="78"/>
        <v>1350780.0000000002</v>
      </c>
      <c r="Q217" s="1183">
        <f t="shared" si="74"/>
        <v>1350780.0000000002</v>
      </c>
    </row>
    <row r="218" spans="1:17" s="1264" customFormat="1" ht="15.75" x14ac:dyDescent="0.25">
      <c r="A218" s="1262"/>
      <c r="B218" s="1206" t="s">
        <v>719</v>
      </c>
      <c r="C218" s="1265"/>
      <c r="D218" s="1262"/>
      <c r="E218" s="1266"/>
      <c r="F218" s="1265"/>
      <c r="G218" s="1262">
        <f>SUM(G219:G220)</f>
        <v>80</v>
      </c>
      <c r="H218" s="1262">
        <f t="shared" ref="H218:Q218" si="80">SUM(H219:H220)</f>
        <v>0</v>
      </c>
      <c r="I218" s="1262">
        <f t="shared" si="80"/>
        <v>80</v>
      </c>
      <c r="J218" s="1262">
        <f t="shared" si="80"/>
        <v>9.58</v>
      </c>
      <c r="K218" s="1262">
        <f t="shared" si="80"/>
        <v>8.8614999999999995</v>
      </c>
      <c r="L218" s="1262">
        <f t="shared" si="80"/>
        <v>0.15000000000000002</v>
      </c>
      <c r="M218" s="1262">
        <f t="shared" si="80"/>
        <v>0</v>
      </c>
      <c r="N218" s="1262">
        <f t="shared" si="80"/>
        <v>31.135000000000005</v>
      </c>
      <c r="O218" s="1262">
        <f t="shared" si="80"/>
        <v>0</v>
      </c>
      <c r="P218" s="1262">
        <f t="shared" si="80"/>
        <v>731672.5</v>
      </c>
      <c r="Q218" s="1262">
        <f t="shared" si="80"/>
        <v>731672.5</v>
      </c>
    </row>
    <row r="219" spans="1:17" ht="15.75" x14ac:dyDescent="0.25">
      <c r="A219" s="1195"/>
      <c r="C219" s="1206" t="s">
        <v>713</v>
      </c>
      <c r="D219" s="1195"/>
      <c r="E219" s="1207"/>
      <c r="F219" s="1206" t="s">
        <v>504</v>
      </c>
      <c r="G219" s="1195">
        <f t="shared" si="73"/>
        <v>50</v>
      </c>
      <c r="H219" s="1195">
        <v>0</v>
      </c>
      <c r="I219" s="1195">
        <v>50</v>
      </c>
      <c r="J219" s="1195">
        <v>4.79</v>
      </c>
      <c r="K219" s="1195">
        <f t="shared" si="76"/>
        <v>4.3109999999999999</v>
      </c>
      <c r="L219" s="1195">
        <v>0.1</v>
      </c>
      <c r="M219" s="1195"/>
      <c r="N219" s="1183">
        <f t="shared" si="77"/>
        <v>23.950000000000003</v>
      </c>
      <c r="O219" s="1195"/>
      <c r="P219" s="1183">
        <f t="shared" si="78"/>
        <v>562825</v>
      </c>
      <c r="Q219" s="1183">
        <f t="shared" si="74"/>
        <v>562825</v>
      </c>
    </row>
    <row r="220" spans="1:17" ht="15.75" x14ac:dyDescent="0.25">
      <c r="A220" s="1195"/>
      <c r="B220" s="1206"/>
      <c r="C220" s="1206" t="s">
        <v>713</v>
      </c>
      <c r="D220" s="1195"/>
      <c r="E220" s="1207"/>
      <c r="F220" s="1206" t="s">
        <v>485</v>
      </c>
      <c r="G220" s="1195">
        <f t="shared" si="73"/>
        <v>30</v>
      </c>
      <c r="H220" s="1195">
        <v>0</v>
      </c>
      <c r="I220" s="1195">
        <v>30</v>
      </c>
      <c r="J220" s="1195">
        <v>4.79</v>
      </c>
      <c r="K220" s="1195">
        <f t="shared" si="76"/>
        <v>4.5505000000000004</v>
      </c>
      <c r="L220" s="1195">
        <v>0.05</v>
      </c>
      <c r="M220" s="1195"/>
      <c r="N220" s="1183">
        <f t="shared" si="77"/>
        <v>7.1850000000000005</v>
      </c>
      <c r="O220" s="1195"/>
      <c r="P220" s="1183">
        <f t="shared" si="78"/>
        <v>168847.50000000003</v>
      </c>
      <c r="Q220" s="1183">
        <f t="shared" si="74"/>
        <v>168847.50000000003</v>
      </c>
    </row>
    <row r="221" spans="1:17" s="1264" customFormat="1" ht="15.75" x14ac:dyDescent="0.25">
      <c r="A221" s="1262"/>
      <c r="B221" s="1206" t="s">
        <v>718</v>
      </c>
      <c r="C221" s="1265"/>
      <c r="D221" s="1262"/>
      <c r="E221" s="1266"/>
      <c r="F221" s="1265"/>
      <c r="G221" s="1262">
        <f>SUM(G222:G223)</f>
        <v>329</v>
      </c>
      <c r="H221" s="1262">
        <f t="shared" ref="H221:Q221" si="81">SUM(H222:H223)</f>
        <v>0</v>
      </c>
      <c r="I221" s="1262">
        <f t="shared" si="81"/>
        <v>329</v>
      </c>
      <c r="J221" s="1262">
        <f t="shared" si="81"/>
        <v>9.58</v>
      </c>
      <c r="K221" s="1262">
        <f t="shared" si="81"/>
        <v>7.1849999999999996</v>
      </c>
      <c r="L221" s="1262">
        <f t="shared" si="81"/>
        <v>0.5</v>
      </c>
      <c r="M221" s="1262">
        <f t="shared" si="81"/>
        <v>0</v>
      </c>
      <c r="N221" s="1262">
        <f t="shared" si="81"/>
        <v>419.60400000000004</v>
      </c>
      <c r="O221" s="1262">
        <f t="shared" si="81"/>
        <v>0</v>
      </c>
      <c r="P221" s="1262">
        <f t="shared" si="81"/>
        <v>9860694</v>
      </c>
      <c r="Q221" s="1262">
        <f t="shared" si="81"/>
        <v>9860694</v>
      </c>
    </row>
    <row r="222" spans="1:17" ht="15.75" x14ac:dyDescent="0.25">
      <c r="A222" s="1195"/>
      <c r="C222" s="1206" t="s">
        <v>713</v>
      </c>
      <c r="D222" s="1195"/>
      <c r="E222" s="1207"/>
      <c r="F222" s="1206" t="s">
        <v>504</v>
      </c>
      <c r="G222" s="1195">
        <f t="shared" si="73"/>
        <v>218</v>
      </c>
      <c r="H222" s="1195">
        <v>0</v>
      </c>
      <c r="I222" s="1195">
        <v>218</v>
      </c>
      <c r="J222" s="1195">
        <v>4.79</v>
      </c>
      <c r="K222" s="1195">
        <f t="shared" si="76"/>
        <v>3.3529999999999998</v>
      </c>
      <c r="L222" s="1195">
        <v>0.3</v>
      </c>
      <c r="M222" s="1195"/>
      <c r="N222" s="1183">
        <f t="shared" si="77"/>
        <v>313.26600000000002</v>
      </c>
      <c r="O222" s="1195"/>
      <c r="P222" s="1183">
        <f t="shared" si="78"/>
        <v>7361751</v>
      </c>
      <c r="Q222" s="1183">
        <f t="shared" si="74"/>
        <v>7361751</v>
      </c>
    </row>
    <row r="223" spans="1:17" ht="15.75" x14ac:dyDescent="0.25">
      <c r="A223" s="1195"/>
      <c r="B223" s="1206"/>
      <c r="C223" s="1206"/>
      <c r="D223" s="1195"/>
      <c r="E223" s="1207"/>
      <c r="F223" s="1206" t="s">
        <v>485</v>
      </c>
      <c r="G223" s="1195">
        <f t="shared" si="73"/>
        <v>111</v>
      </c>
      <c r="H223" s="1195">
        <v>0</v>
      </c>
      <c r="I223" s="1195">
        <v>111</v>
      </c>
      <c r="J223" s="1195">
        <v>4.79</v>
      </c>
      <c r="K223" s="1195">
        <f t="shared" si="76"/>
        <v>3.8319999999999999</v>
      </c>
      <c r="L223" s="1195">
        <v>0.2</v>
      </c>
      <c r="M223" s="1195"/>
      <c r="N223" s="1183">
        <f t="shared" si="77"/>
        <v>106.33800000000001</v>
      </c>
      <c r="O223" s="1195"/>
      <c r="P223" s="1183">
        <f t="shared" si="78"/>
        <v>2498943</v>
      </c>
      <c r="Q223" s="1183">
        <f t="shared" si="74"/>
        <v>2498943</v>
      </c>
    </row>
    <row r="224" spans="1:17" s="1264" customFormat="1" ht="15.75" x14ac:dyDescent="0.25">
      <c r="A224" s="1262"/>
      <c r="B224" s="1206" t="s">
        <v>723</v>
      </c>
      <c r="C224" s="1265"/>
      <c r="D224" s="1262"/>
      <c r="E224" s="1266"/>
      <c r="F224" s="1265"/>
      <c r="G224" s="1262">
        <f>SUM(G225:G229)</f>
        <v>1622</v>
      </c>
      <c r="H224" s="1262">
        <f t="shared" ref="H224:Q224" si="82">SUM(H225:H229)</f>
        <v>0</v>
      </c>
      <c r="I224" s="1262">
        <f t="shared" si="82"/>
        <v>1622</v>
      </c>
      <c r="J224" s="1262">
        <f t="shared" si="82"/>
        <v>23.95</v>
      </c>
      <c r="K224" s="1262">
        <f t="shared" si="82"/>
        <v>20.357500000000002</v>
      </c>
      <c r="L224" s="1262">
        <f t="shared" si="82"/>
        <v>0.75</v>
      </c>
      <c r="M224" s="1262">
        <f t="shared" si="82"/>
        <v>0</v>
      </c>
      <c r="N224" s="1262">
        <f t="shared" si="82"/>
        <v>893.09550000000024</v>
      </c>
      <c r="O224" s="1262">
        <f t="shared" si="82"/>
        <v>0</v>
      </c>
      <c r="P224" s="1262">
        <f t="shared" si="82"/>
        <v>20987744.25</v>
      </c>
      <c r="Q224" s="1262">
        <f t="shared" si="82"/>
        <v>20987744.25</v>
      </c>
    </row>
    <row r="225" spans="1:17" ht="15.75" x14ac:dyDescent="0.25">
      <c r="A225" s="1195"/>
      <c r="C225" s="1206" t="s">
        <v>713</v>
      </c>
      <c r="D225" s="1195"/>
      <c r="E225" s="1207"/>
      <c r="F225" s="1206" t="s">
        <v>504</v>
      </c>
      <c r="G225" s="1195">
        <f t="shared" si="73"/>
        <v>1353</v>
      </c>
      <c r="H225" s="1195">
        <v>0</v>
      </c>
      <c r="I225" s="1195">
        <v>1353</v>
      </c>
      <c r="J225" s="1195">
        <v>4.79</v>
      </c>
      <c r="K225" s="1195">
        <f t="shared" si="76"/>
        <v>4.3109999999999999</v>
      </c>
      <c r="L225" s="1195">
        <v>0.1</v>
      </c>
      <c r="M225" s="1195"/>
      <c r="N225" s="1183">
        <f t="shared" si="77"/>
        <v>648.0870000000001</v>
      </c>
      <c r="O225" s="1195"/>
      <c r="P225" s="1183">
        <f t="shared" si="78"/>
        <v>15230044.500000002</v>
      </c>
      <c r="Q225" s="1183">
        <f t="shared" ref="Q225:Q235" si="83">SUM(O225:P225)</f>
        <v>15230044.500000002</v>
      </c>
    </row>
    <row r="226" spans="1:17" ht="15.75" x14ac:dyDescent="0.25">
      <c r="A226" s="1195"/>
      <c r="B226" s="1206"/>
      <c r="C226" s="1206"/>
      <c r="D226" s="1195"/>
      <c r="E226" s="1207"/>
      <c r="F226" s="1206" t="s">
        <v>474</v>
      </c>
      <c r="G226" s="1195">
        <f t="shared" si="73"/>
        <v>55</v>
      </c>
      <c r="H226" s="1195">
        <v>0</v>
      </c>
      <c r="I226" s="1195">
        <v>55</v>
      </c>
      <c r="J226" s="1195">
        <v>4.79</v>
      </c>
      <c r="K226" s="1195">
        <f t="shared" si="76"/>
        <v>4.5505000000000004</v>
      </c>
      <c r="L226" s="1195">
        <v>0.05</v>
      </c>
      <c r="M226" s="1195"/>
      <c r="N226" s="1183">
        <f t="shared" si="77"/>
        <v>13.172500000000001</v>
      </c>
      <c r="O226" s="1195"/>
      <c r="P226" s="1183">
        <f t="shared" si="78"/>
        <v>309553.75000000006</v>
      </c>
      <c r="Q226" s="1183">
        <f t="shared" si="83"/>
        <v>309553.75000000006</v>
      </c>
    </row>
    <row r="227" spans="1:17" ht="15.75" x14ac:dyDescent="0.25">
      <c r="A227" s="1195"/>
      <c r="B227" s="1206"/>
      <c r="C227" s="1206"/>
      <c r="D227" s="1195"/>
      <c r="E227" s="1207"/>
      <c r="F227" s="1206" t="s">
        <v>730</v>
      </c>
      <c r="G227" s="1195">
        <f t="shared" si="73"/>
        <v>60</v>
      </c>
      <c r="H227" s="1195">
        <v>0</v>
      </c>
      <c r="I227" s="1195">
        <v>60</v>
      </c>
      <c r="J227" s="1195">
        <v>4.79</v>
      </c>
      <c r="K227" s="1195">
        <f t="shared" si="76"/>
        <v>3.3529999999999998</v>
      </c>
      <c r="L227" s="1195">
        <v>0.3</v>
      </c>
      <c r="M227" s="1195"/>
      <c r="N227" s="1183">
        <f t="shared" si="77"/>
        <v>86.22</v>
      </c>
      <c r="O227" s="1195"/>
      <c r="P227" s="1183">
        <f t="shared" si="78"/>
        <v>2026170</v>
      </c>
      <c r="Q227" s="1183">
        <f t="shared" si="83"/>
        <v>2026170</v>
      </c>
    </row>
    <row r="228" spans="1:17" ht="15.75" x14ac:dyDescent="0.25">
      <c r="A228" s="1195"/>
      <c r="B228" s="1206"/>
      <c r="C228" s="1206"/>
      <c r="D228" s="1195"/>
      <c r="E228" s="1207"/>
      <c r="F228" s="1206" t="s">
        <v>620</v>
      </c>
      <c r="G228" s="1195">
        <f t="shared" si="73"/>
        <v>4</v>
      </c>
      <c r="H228" s="1195">
        <v>0</v>
      </c>
      <c r="I228" s="1195">
        <v>4</v>
      </c>
      <c r="J228" s="1195">
        <v>4.79</v>
      </c>
      <c r="K228" s="1195">
        <f t="shared" si="76"/>
        <v>4.3109999999999999</v>
      </c>
      <c r="L228" s="1195">
        <v>0.1</v>
      </c>
      <c r="M228" s="1195"/>
      <c r="N228" s="1183">
        <f t="shared" si="77"/>
        <v>1.9160000000000001</v>
      </c>
      <c r="O228" s="1195"/>
      <c r="P228" s="1183">
        <f t="shared" si="78"/>
        <v>45026</v>
      </c>
      <c r="Q228" s="1183">
        <f t="shared" si="83"/>
        <v>45026</v>
      </c>
    </row>
    <row r="229" spans="1:17" ht="15.75" x14ac:dyDescent="0.25">
      <c r="A229" s="1195"/>
      <c r="B229" s="1206"/>
      <c r="C229" s="1206"/>
      <c r="D229" s="1195"/>
      <c r="E229" s="1207"/>
      <c r="F229" s="1206" t="s">
        <v>485</v>
      </c>
      <c r="G229" s="1195">
        <f t="shared" si="73"/>
        <v>150</v>
      </c>
      <c r="H229" s="1195">
        <v>0</v>
      </c>
      <c r="I229" s="1195">
        <v>150</v>
      </c>
      <c r="J229" s="1195">
        <v>4.79</v>
      </c>
      <c r="K229" s="1195">
        <f t="shared" si="76"/>
        <v>3.8319999999999999</v>
      </c>
      <c r="L229" s="1195">
        <v>0.2</v>
      </c>
      <c r="M229" s="1195"/>
      <c r="N229" s="1183">
        <f t="shared" si="77"/>
        <v>143.70000000000002</v>
      </c>
      <c r="O229" s="1195"/>
      <c r="P229" s="1183">
        <f t="shared" si="78"/>
        <v>3376950.0000000005</v>
      </c>
      <c r="Q229" s="1183">
        <f t="shared" si="83"/>
        <v>3376950.0000000005</v>
      </c>
    </row>
    <row r="230" spans="1:17" s="1264" customFormat="1" ht="15.75" x14ac:dyDescent="0.25">
      <c r="A230" s="1262"/>
      <c r="B230" s="1206" t="s">
        <v>570</v>
      </c>
      <c r="C230" s="1265"/>
      <c r="D230" s="1262"/>
      <c r="E230" s="1266"/>
      <c r="F230" s="1265"/>
      <c r="G230" s="1262">
        <f>SUM(G231:G232)</f>
        <v>504</v>
      </c>
      <c r="H230" s="1262">
        <f t="shared" ref="H230:Q230" si="84">SUM(H231:H232)</f>
        <v>0</v>
      </c>
      <c r="I230" s="1262">
        <f t="shared" si="84"/>
        <v>504</v>
      </c>
      <c r="J230" s="1262">
        <f t="shared" si="84"/>
        <v>9.58</v>
      </c>
      <c r="K230" s="1262">
        <f t="shared" si="84"/>
        <v>8.1430000000000007</v>
      </c>
      <c r="L230" s="1262">
        <f t="shared" si="84"/>
        <v>0.30000000000000004</v>
      </c>
      <c r="M230" s="1262">
        <f t="shared" si="84"/>
        <v>0</v>
      </c>
      <c r="N230" s="1262">
        <f t="shared" si="84"/>
        <v>354.93900000000002</v>
      </c>
      <c r="O230" s="1262">
        <f t="shared" si="84"/>
        <v>0</v>
      </c>
      <c r="P230" s="1262">
        <f t="shared" si="84"/>
        <v>8341066.5</v>
      </c>
      <c r="Q230" s="1262">
        <f t="shared" si="84"/>
        <v>8341066.5</v>
      </c>
    </row>
    <row r="231" spans="1:17" ht="15.75" x14ac:dyDescent="0.25">
      <c r="A231" s="1195"/>
      <c r="C231" s="1206" t="s">
        <v>713</v>
      </c>
      <c r="D231" s="1195"/>
      <c r="E231" s="1207"/>
      <c r="F231" s="1206" t="s">
        <v>504</v>
      </c>
      <c r="G231" s="1195">
        <f t="shared" si="73"/>
        <v>267</v>
      </c>
      <c r="H231" s="1195">
        <v>0</v>
      </c>
      <c r="I231" s="1195">
        <v>267</v>
      </c>
      <c r="J231" s="1195">
        <v>4.79</v>
      </c>
      <c r="K231" s="1195">
        <f t="shared" si="76"/>
        <v>4.3109999999999999</v>
      </c>
      <c r="L231" s="1195">
        <v>0.1</v>
      </c>
      <c r="M231" s="1195"/>
      <c r="N231" s="1183">
        <f t="shared" si="77"/>
        <v>127.89300000000001</v>
      </c>
      <c r="O231" s="1195"/>
      <c r="P231" s="1183">
        <f t="shared" si="78"/>
        <v>3005485.5</v>
      </c>
      <c r="Q231" s="1183">
        <f t="shared" si="83"/>
        <v>3005485.5</v>
      </c>
    </row>
    <row r="232" spans="1:17" ht="15.75" x14ac:dyDescent="0.25">
      <c r="A232" s="1195"/>
      <c r="B232" s="1206"/>
      <c r="C232" s="1206"/>
      <c r="D232" s="1195"/>
      <c r="E232" s="1207"/>
      <c r="F232" s="1206" t="s">
        <v>485</v>
      </c>
      <c r="G232" s="1195">
        <f t="shared" si="73"/>
        <v>237</v>
      </c>
      <c r="H232" s="1195">
        <v>0</v>
      </c>
      <c r="I232" s="1195">
        <v>237</v>
      </c>
      <c r="J232" s="1195">
        <v>4.79</v>
      </c>
      <c r="K232" s="1195">
        <f t="shared" si="76"/>
        <v>3.8319999999999999</v>
      </c>
      <c r="L232" s="1195">
        <v>0.2</v>
      </c>
      <c r="M232" s="1195"/>
      <c r="N232" s="1183">
        <f t="shared" si="77"/>
        <v>227.04600000000002</v>
      </c>
      <c r="O232" s="1195"/>
      <c r="P232" s="1183">
        <f t="shared" si="78"/>
        <v>5335581</v>
      </c>
      <c r="Q232" s="1183">
        <f t="shared" si="83"/>
        <v>5335581</v>
      </c>
    </row>
    <row r="233" spans="1:17" ht="15.75" x14ac:dyDescent="0.25">
      <c r="A233" s="1195"/>
      <c r="B233" s="1206" t="s">
        <v>976</v>
      </c>
      <c r="C233" s="1206" t="s">
        <v>713</v>
      </c>
      <c r="D233" s="1195"/>
      <c r="E233" s="1207"/>
      <c r="F233" s="1206" t="s">
        <v>504</v>
      </c>
      <c r="G233" s="1195">
        <f t="shared" si="73"/>
        <v>608</v>
      </c>
      <c r="H233" s="1195">
        <v>0</v>
      </c>
      <c r="I233" s="1195">
        <v>608</v>
      </c>
      <c r="J233" s="1195">
        <v>4.79</v>
      </c>
      <c r="K233" s="1195">
        <f t="shared" si="76"/>
        <v>4.3109999999999999</v>
      </c>
      <c r="L233" s="1195">
        <v>0.1</v>
      </c>
      <c r="M233" s="1195"/>
      <c r="N233" s="1183">
        <f t="shared" si="77"/>
        <v>291.23200000000003</v>
      </c>
      <c r="O233" s="1195"/>
      <c r="P233" s="1183">
        <f t="shared" si="78"/>
        <v>6843952</v>
      </c>
      <c r="Q233" s="1183">
        <f t="shared" si="83"/>
        <v>6843952</v>
      </c>
    </row>
    <row r="234" spans="1:17" s="1264" customFormat="1" ht="15.75" x14ac:dyDescent="0.25">
      <c r="A234" s="1262"/>
      <c r="B234" s="1206" t="s">
        <v>729</v>
      </c>
      <c r="C234" s="1265"/>
      <c r="D234" s="1262"/>
      <c r="E234" s="1266"/>
      <c r="F234" s="1265"/>
      <c r="G234" s="1262">
        <f>SUM(G235:G237)</f>
        <v>985</v>
      </c>
      <c r="H234" s="1262">
        <f t="shared" ref="H234:Q234" si="85">SUM(H235:H237)</f>
        <v>0</v>
      </c>
      <c r="I234" s="1262">
        <f t="shared" si="85"/>
        <v>985</v>
      </c>
      <c r="J234" s="1262">
        <f t="shared" si="85"/>
        <v>14.370000000000001</v>
      </c>
      <c r="K234" s="1262">
        <f t="shared" si="85"/>
        <v>11.975000000000001</v>
      </c>
      <c r="L234" s="1262">
        <f t="shared" si="85"/>
        <v>0.5</v>
      </c>
      <c r="M234" s="1262">
        <f t="shared" si="85"/>
        <v>0</v>
      </c>
      <c r="N234" s="1262">
        <f t="shared" si="85"/>
        <v>503.90800000000007</v>
      </c>
      <c r="O234" s="1262">
        <f t="shared" si="85"/>
        <v>0</v>
      </c>
      <c r="P234" s="1262">
        <f t="shared" si="85"/>
        <v>11841838</v>
      </c>
      <c r="Q234" s="1262">
        <f t="shared" si="85"/>
        <v>11841838</v>
      </c>
    </row>
    <row r="235" spans="1:17" ht="15.75" x14ac:dyDescent="0.25">
      <c r="A235" s="1195"/>
      <c r="C235" s="1206" t="s">
        <v>713</v>
      </c>
      <c r="D235" s="1195"/>
      <c r="E235" s="1207"/>
      <c r="F235" s="1206" t="s">
        <v>504</v>
      </c>
      <c r="G235" s="1195">
        <f t="shared" si="73"/>
        <v>918</v>
      </c>
      <c r="H235" s="1195">
        <v>0</v>
      </c>
      <c r="I235" s="1195">
        <v>918</v>
      </c>
      <c r="J235" s="1195">
        <v>4.79</v>
      </c>
      <c r="K235" s="1195">
        <f t="shared" si="76"/>
        <v>4.3109999999999999</v>
      </c>
      <c r="L235" s="1195">
        <v>0.1</v>
      </c>
      <c r="M235" s="1195"/>
      <c r="N235" s="1183">
        <f t="shared" si="77"/>
        <v>439.72200000000004</v>
      </c>
      <c r="O235" s="1195"/>
      <c r="P235" s="1183">
        <f t="shared" si="78"/>
        <v>10333467</v>
      </c>
      <c r="Q235" s="1183">
        <f t="shared" si="83"/>
        <v>10333467</v>
      </c>
    </row>
    <row r="236" spans="1:17" ht="15.75" x14ac:dyDescent="0.25">
      <c r="A236" s="1195"/>
      <c r="B236" s="1206"/>
      <c r="C236" s="1206"/>
      <c r="D236" s="1195"/>
      <c r="E236" s="1207"/>
      <c r="F236" s="1206" t="s">
        <v>497</v>
      </c>
      <c r="G236" s="1195">
        <f t="shared" si="73"/>
        <v>37</v>
      </c>
      <c r="H236" s="1195">
        <v>0</v>
      </c>
      <c r="I236" s="1195">
        <v>37</v>
      </c>
      <c r="J236" s="1195">
        <v>4.79</v>
      </c>
      <c r="K236" s="1195">
        <f t="shared" si="76"/>
        <v>3.8319999999999999</v>
      </c>
      <c r="L236" s="1195">
        <v>0.2</v>
      </c>
      <c r="M236" s="1195"/>
      <c r="N236" s="1183">
        <f t="shared" si="77"/>
        <v>35.446000000000005</v>
      </c>
      <c r="O236" s="1195"/>
      <c r="P236" s="1183">
        <f t="shared" si="78"/>
        <v>832981.00000000012</v>
      </c>
      <c r="Q236" s="1183">
        <f>SUM(O236:P236)</f>
        <v>832981.00000000012</v>
      </c>
    </row>
    <row r="237" spans="1:17" ht="15.75" x14ac:dyDescent="0.25">
      <c r="A237" s="1195"/>
      <c r="B237" s="1206"/>
      <c r="C237" s="1206"/>
      <c r="D237" s="1195"/>
      <c r="E237" s="1207"/>
      <c r="F237" s="1206" t="s">
        <v>910</v>
      </c>
      <c r="G237" s="1195">
        <f t="shared" si="73"/>
        <v>30</v>
      </c>
      <c r="H237" s="1195">
        <v>0</v>
      </c>
      <c r="I237" s="1195">
        <v>30</v>
      </c>
      <c r="J237" s="1195">
        <v>4.79</v>
      </c>
      <c r="K237" s="1195">
        <f t="shared" si="76"/>
        <v>3.8319999999999999</v>
      </c>
      <c r="L237" s="1195">
        <v>0.2</v>
      </c>
      <c r="M237" s="1195"/>
      <c r="N237" s="1183">
        <f t="shared" si="77"/>
        <v>28.740000000000002</v>
      </c>
      <c r="O237" s="1195"/>
      <c r="P237" s="1183">
        <f t="shared" si="78"/>
        <v>675390.00000000012</v>
      </c>
      <c r="Q237" s="1183">
        <f>SUM(O237:P237)</f>
        <v>675390.00000000012</v>
      </c>
    </row>
    <row r="238" spans="1:17" ht="15.75" x14ac:dyDescent="0.25">
      <c r="A238" s="1204"/>
      <c r="B238" s="1203" t="s">
        <v>475</v>
      </c>
      <c r="C238" s="1233"/>
      <c r="D238" s="1204"/>
      <c r="E238" s="1204"/>
      <c r="F238" s="1233"/>
      <c r="G238" s="1204">
        <f>SUM(G239:G262)</f>
        <v>13293.8</v>
      </c>
      <c r="H238" s="1204">
        <f>SUM(H255:H262)</f>
        <v>0</v>
      </c>
      <c r="I238" s="1204">
        <f>SUM(I239:I262)</f>
        <v>13293.8</v>
      </c>
      <c r="J238" s="1204"/>
      <c r="K238" s="1204"/>
      <c r="L238" s="1204"/>
      <c r="M238" s="1204"/>
      <c r="N238" s="1204">
        <f>SUM(N239:N262)</f>
        <v>16909.5622</v>
      </c>
      <c r="O238" s="1204"/>
      <c r="P238" s="1204"/>
      <c r="Q238" s="1204">
        <f>SUM(Q239:Q262)</f>
        <v>397374711.69999999</v>
      </c>
    </row>
    <row r="239" spans="1:17" ht="15.75" x14ac:dyDescent="0.25">
      <c r="A239" s="1235"/>
      <c r="B239" s="1206" t="s">
        <v>830</v>
      </c>
      <c r="C239" s="1206" t="s">
        <v>713</v>
      </c>
      <c r="D239" s="1195"/>
      <c r="E239" s="1207"/>
      <c r="F239" s="1206" t="s">
        <v>504</v>
      </c>
      <c r="G239" s="1195">
        <f t="shared" ref="G239:G262" si="86">H239+I239</f>
        <v>107</v>
      </c>
      <c r="H239" s="1195">
        <v>0</v>
      </c>
      <c r="I239" s="1195">
        <v>107</v>
      </c>
      <c r="J239" s="1195">
        <v>4.79</v>
      </c>
      <c r="K239" s="1195">
        <f t="shared" ref="K239:K262" si="87">J239-(J239*L239)</f>
        <v>3.3529999999999998</v>
      </c>
      <c r="L239" s="1195">
        <v>0.3</v>
      </c>
      <c r="M239" s="1195"/>
      <c r="N239" s="1183">
        <f t="shared" ref="N239:N262" si="88">L239*J239*I239</f>
        <v>153.75900000000001</v>
      </c>
      <c r="O239" s="1195"/>
      <c r="P239" s="1183">
        <f t="shared" ref="P239:P262" si="89">N239*23.5*1000</f>
        <v>3613336.5000000005</v>
      </c>
      <c r="Q239" s="1183">
        <f t="shared" ref="Q239:Q250" si="90">SUM(O239:P239)</f>
        <v>3613336.5000000005</v>
      </c>
    </row>
    <row r="240" spans="1:17" s="1264" customFormat="1" ht="15.75" x14ac:dyDescent="0.25">
      <c r="A240" s="1263"/>
      <c r="B240" s="1206" t="s">
        <v>655</v>
      </c>
      <c r="C240" s="1265"/>
      <c r="D240" s="1262"/>
      <c r="E240" s="1266"/>
      <c r="F240" s="1265"/>
      <c r="G240" s="1262">
        <f>SUM(G241:G242)</f>
        <v>400</v>
      </c>
      <c r="H240" s="1262">
        <f t="shared" ref="H240:Q240" si="91">SUM(H241:H242)</f>
        <v>0</v>
      </c>
      <c r="I240" s="1262">
        <f t="shared" si="91"/>
        <v>400</v>
      </c>
      <c r="J240" s="1262">
        <f t="shared" si="91"/>
        <v>9.58</v>
      </c>
      <c r="K240" s="1262">
        <f t="shared" si="91"/>
        <v>6.7059999999999995</v>
      </c>
      <c r="L240" s="1262">
        <f t="shared" si="91"/>
        <v>0.6</v>
      </c>
      <c r="M240" s="1262">
        <f t="shared" si="91"/>
        <v>0</v>
      </c>
      <c r="N240" s="1262">
        <f t="shared" si="91"/>
        <v>574.80000000000007</v>
      </c>
      <c r="O240" s="1262">
        <f t="shared" si="91"/>
        <v>0</v>
      </c>
      <c r="P240" s="1262">
        <f t="shared" si="91"/>
        <v>13507800.000000002</v>
      </c>
      <c r="Q240" s="1262">
        <f t="shared" si="91"/>
        <v>13507800.000000002</v>
      </c>
    </row>
    <row r="241" spans="1:17" ht="15.75" x14ac:dyDescent="0.25">
      <c r="A241" s="1235"/>
      <c r="C241" s="1206" t="s">
        <v>713</v>
      </c>
      <c r="D241" s="1195"/>
      <c r="E241" s="1207"/>
      <c r="F241" s="1206" t="s">
        <v>730</v>
      </c>
      <c r="G241" s="1195">
        <f t="shared" si="86"/>
        <v>200</v>
      </c>
      <c r="H241" s="1195">
        <v>0</v>
      </c>
      <c r="I241" s="1195">
        <v>200</v>
      </c>
      <c r="J241" s="1195">
        <v>4.79</v>
      </c>
      <c r="K241" s="1195">
        <f t="shared" si="87"/>
        <v>3.3529999999999998</v>
      </c>
      <c r="L241" s="1195">
        <v>0.3</v>
      </c>
      <c r="M241" s="1195"/>
      <c r="N241" s="1183">
        <f t="shared" si="88"/>
        <v>287.40000000000003</v>
      </c>
      <c r="O241" s="1195"/>
      <c r="P241" s="1183">
        <f t="shared" si="89"/>
        <v>6753900.0000000009</v>
      </c>
      <c r="Q241" s="1183">
        <f t="shared" si="90"/>
        <v>6753900.0000000009</v>
      </c>
    </row>
    <row r="242" spans="1:17" ht="15.75" x14ac:dyDescent="0.25">
      <c r="A242" s="1235"/>
      <c r="B242" s="1206"/>
      <c r="C242" s="1206"/>
      <c r="D242" s="1195"/>
      <c r="E242" s="1207"/>
      <c r="F242" s="1206" t="s">
        <v>504</v>
      </c>
      <c r="G242" s="1195">
        <f t="shared" si="86"/>
        <v>200</v>
      </c>
      <c r="H242" s="1195">
        <v>0</v>
      </c>
      <c r="I242" s="1195">
        <v>200</v>
      </c>
      <c r="J242" s="1195">
        <v>4.79</v>
      </c>
      <c r="K242" s="1195">
        <f t="shared" si="87"/>
        <v>3.3529999999999998</v>
      </c>
      <c r="L242" s="1195">
        <v>0.3</v>
      </c>
      <c r="M242" s="1195"/>
      <c r="N242" s="1183">
        <f t="shared" si="88"/>
        <v>287.40000000000003</v>
      </c>
      <c r="O242" s="1195"/>
      <c r="P242" s="1183">
        <f t="shared" si="89"/>
        <v>6753900.0000000009</v>
      </c>
      <c r="Q242" s="1183">
        <f t="shared" si="90"/>
        <v>6753900.0000000009</v>
      </c>
    </row>
    <row r="243" spans="1:17" ht="15.75" x14ac:dyDescent="0.25">
      <c r="A243" s="1235"/>
      <c r="B243" s="1206" t="s">
        <v>728</v>
      </c>
      <c r="C243" s="1206" t="s">
        <v>713</v>
      </c>
      <c r="D243" s="1195"/>
      <c r="E243" s="1207"/>
      <c r="F243" s="1206" t="s">
        <v>504</v>
      </c>
      <c r="G243" s="1195">
        <f t="shared" si="86"/>
        <v>1000</v>
      </c>
      <c r="H243" s="1195">
        <v>0</v>
      </c>
      <c r="I243" s="1195">
        <v>1000</v>
      </c>
      <c r="J243" s="1195">
        <v>4.79</v>
      </c>
      <c r="K243" s="1195">
        <f t="shared" si="87"/>
        <v>3.3529999999999998</v>
      </c>
      <c r="L243" s="1195">
        <v>0.3</v>
      </c>
      <c r="M243" s="1195"/>
      <c r="N243" s="1183">
        <f t="shared" si="88"/>
        <v>1437</v>
      </c>
      <c r="O243" s="1195"/>
      <c r="P243" s="1183">
        <f t="shared" si="89"/>
        <v>33769500</v>
      </c>
      <c r="Q243" s="1183">
        <f t="shared" si="90"/>
        <v>33769500</v>
      </c>
    </row>
    <row r="244" spans="1:17" s="1264" customFormat="1" ht="15.75" x14ac:dyDescent="0.25">
      <c r="A244" s="1263"/>
      <c r="B244" s="1206" t="s">
        <v>737</v>
      </c>
      <c r="C244" s="1265"/>
      <c r="D244" s="1262"/>
      <c r="E244" s="1266"/>
      <c r="F244" s="1265"/>
      <c r="G244" s="1262">
        <f>SUM(G245:G246)</f>
        <v>1462</v>
      </c>
      <c r="H244" s="1262">
        <f t="shared" ref="H244:Q244" si="92">SUM(H245:H246)</f>
        <v>0</v>
      </c>
      <c r="I244" s="1262">
        <f t="shared" si="92"/>
        <v>1462</v>
      </c>
      <c r="J244" s="1262">
        <f t="shared" si="92"/>
        <v>9.58</v>
      </c>
      <c r="K244" s="1262">
        <f t="shared" si="92"/>
        <v>7.1849999999999996</v>
      </c>
      <c r="L244" s="1262">
        <f t="shared" si="92"/>
        <v>0.5</v>
      </c>
      <c r="M244" s="1262">
        <f t="shared" si="92"/>
        <v>0</v>
      </c>
      <c r="N244" s="1262">
        <f t="shared" si="92"/>
        <v>1592.1960000000001</v>
      </c>
      <c r="O244" s="1262">
        <f t="shared" si="92"/>
        <v>0</v>
      </c>
      <c r="P244" s="1262">
        <f t="shared" si="92"/>
        <v>37416606</v>
      </c>
      <c r="Q244" s="1262">
        <f t="shared" si="92"/>
        <v>37416606</v>
      </c>
    </row>
    <row r="245" spans="1:17" ht="15.75" x14ac:dyDescent="0.25">
      <c r="A245" s="1235"/>
      <c r="C245" s="1206" t="s">
        <v>713</v>
      </c>
      <c r="D245" s="1195"/>
      <c r="E245" s="1207"/>
      <c r="F245" s="1206" t="s">
        <v>504</v>
      </c>
      <c r="G245" s="1195">
        <f t="shared" si="86"/>
        <v>400</v>
      </c>
      <c r="H245" s="1195">
        <v>0</v>
      </c>
      <c r="I245" s="1195">
        <v>400</v>
      </c>
      <c r="J245" s="1195">
        <v>4.79</v>
      </c>
      <c r="K245" s="1195">
        <f t="shared" si="87"/>
        <v>3.3529999999999998</v>
      </c>
      <c r="L245" s="1195">
        <v>0.3</v>
      </c>
      <c r="M245" s="1195"/>
      <c r="N245" s="1183">
        <f t="shared" si="88"/>
        <v>574.80000000000007</v>
      </c>
      <c r="O245" s="1195"/>
      <c r="P245" s="1183">
        <f t="shared" si="89"/>
        <v>13507800.000000002</v>
      </c>
      <c r="Q245" s="1183">
        <f t="shared" si="90"/>
        <v>13507800.000000002</v>
      </c>
    </row>
    <row r="246" spans="1:17" ht="15.75" x14ac:dyDescent="0.25">
      <c r="A246" s="1235"/>
      <c r="B246" s="1206"/>
      <c r="C246" s="1206"/>
      <c r="D246" s="1195"/>
      <c r="E246" s="1207"/>
      <c r="F246" s="1206" t="s">
        <v>474</v>
      </c>
      <c r="G246" s="1195">
        <f t="shared" si="86"/>
        <v>1062</v>
      </c>
      <c r="H246" s="1195">
        <v>0</v>
      </c>
      <c r="I246" s="1195">
        <v>1062</v>
      </c>
      <c r="J246" s="1195">
        <v>4.79</v>
      </c>
      <c r="K246" s="1195">
        <f t="shared" si="87"/>
        <v>3.8319999999999999</v>
      </c>
      <c r="L246" s="1195">
        <v>0.2</v>
      </c>
      <c r="M246" s="1195"/>
      <c r="N246" s="1183">
        <f t="shared" si="88"/>
        <v>1017.3960000000001</v>
      </c>
      <c r="O246" s="1195"/>
      <c r="P246" s="1183">
        <f t="shared" si="89"/>
        <v>23908806</v>
      </c>
      <c r="Q246" s="1183">
        <f t="shared" si="90"/>
        <v>23908806</v>
      </c>
    </row>
    <row r="247" spans="1:17" s="1264" customFormat="1" ht="15.75" x14ac:dyDescent="0.25">
      <c r="A247" s="1263"/>
      <c r="B247" s="1206" t="s">
        <v>733</v>
      </c>
      <c r="C247" s="1265"/>
      <c r="D247" s="1262"/>
      <c r="E247" s="1266"/>
      <c r="F247" s="1265"/>
      <c r="G247" s="1262">
        <f>SUM(G248:G250)</f>
        <v>618</v>
      </c>
      <c r="H247" s="1262">
        <f t="shared" ref="H247:Q247" si="93">SUM(H248:H250)</f>
        <v>0</v>
      </c>
      <c r="I247" s="1262">
        <f t="shared" si="93"/>
        <v>618</v>
      </c>
      <c r="J247" s="1262">
        <f t="shared" si="93"/>
        <v>14.370000000000001</v>
      </c>
      <c r="K247" s="1262">
        <f t="shared" si="93"/>
        <v>11.016999999999999</v>
      </c>
      <c r="L247" s="1262">
        <f t="shared" si="93"/>
        <v>0.7</v>
      </c>
      <c r="M247" s="1262">
        <f t="shared" si="93"/>
        <v>0</v>
      </c>
      <c r="N247" s="1262">
        <f t="shared" si="93"/>
        <v>831.54399999999998</v>
      </c>
      <c r="O247" s="1262">
        <f t="shared" si="93"/>
        <v>0</v>
      </c>
      <c r="P247" s="1262">
        <f t="shared" si="93"/>
        <v>19541284</v>
      </c>
      <c r="Q247" s="1262">
        <f t="shared" si="93"/>
        <v>19541284</v>
      </c>
    </row>
    <row r="248" spans="1:17" ht="15.75" x14ac:dyDescent="0.25">
      <c r="A248" s="1235"/>
      <c r="C248" s="1206" t="s">
        <v>713</v>
      </c>
      <c r="D248" s="1195"/>
      <c r="E248" s="1207"/>
      <c r="F248" s="1206" t="s">
        <v>504</v>
      </c>
      <c r="G248" s="1195">
        <f t="shared" si="86"/>
        <v>500</v>
      </c>
      <c r="H248" s="1195">
        <v>0</v>
      </c>
      <c r="I248" s="1195">
        <v>500</v>
      </c>
      <c r="J248" s="1195">
        <v>4.79</v>
      </c>
      <c r="K248" s="1195">
        <f t="shared" si="87"/>
        <v>3.3529999999999998</v>
      </c>
      <c r="L248" s="1195">
        <v>0.3</v>
      </c>
      <c r="M248" s="1195"/>
      <c r="N248" s="1183">
        <f t="shared" si="88"/>
        <v>718.5</v>
      </c>
      <c r="O248" s="1195"/>
      <c r="P248" s="1183">
        <f t="shared" si="89"/>
        <v>16884750</v>
      </c>
      <c r="Q248" s="1183">
        <f t="shared" si="90"/>
        <v>16884750</v>
      </c>
    </row>
    <row r="249" spans="1:17" ht="15.75" x14ac:dyDescent="0.25">
      <c r="A249" s="1235"/>
      <c r="B249" s="1206"/>
      <c r="C249" s="1206"/>
      <c r="D249" s="1195"/>
      <c r="E249" s="1207"/>
      <c r="F249" s="1206" t="s">
        <v>497</v>
      </c>
      <c r="G249" s="1195">
        <f t="shared" si="86"/>
        <v>66</v>
      </c>
      <c r="H249" s="1195">
        <v>0</v>
      </c>
      <c r="I249" s="1195">
        <v>66</v>
      </c>
      <c r="J249" s="1195">
        <v>4.79</v>
      </c>
      <c r="K249" s="1195">
        <f t="shared" si="87"/>
        <v>3.8319999999999999</v>
      </c>
      <c r="L249" s="1195">
        <v>0.2</v>
      </c>
      <c r="M249" s="1195"/>
      <c r="N249" s="1183">
        <f t="shared" si="88"/>
        <v>63.228000000000002</v>
      </c>
      <c r="O249" s="1195"/>
      <c r="P249" s="1183">
        <f t="shared" si="89"/>
        <v>1485858</v>
      </c>
      <c r="Q249" s="1183">
        <f t="shared" si="90"/>
        <v>1485858</v>
      </c>
    </row>
    <row r="250" spans="1:17" ht="15.75" x14ac:dyDescent="0.25">
      <c r="A250" s="1235"/>
      <c r="B250" s="1206"/>
      <c r="C250" s="1206"/>
      <c r="D250" s="1195"/>
      <c r="E250" s="1207"/>
      <c r="F250" s="1206" t="s">
        <v>485</v>
      </c>
      <c r="G250" s="1195">
        <f t="shared" si="86"/>
        <v>52</v>
      </c>
      <c r="H250" s="1195">
        <v>0</v>
      </c>
      <c r="I250" s="1195">
        <v>52</v>
      </c>
      <c r="J250" s="1195">
        <v>4.79</v>
      </c>
      <c r="K250" s="1195">
        <f t="shared" si="87"/>
        <v>3.8319999999999999</v>
      </c>
      <c r="L250" s="1195">
        <v>0.2</v>
      </c>
      <c r="M250" s="1195"/>
      <c r="N250" s="1183">
        <f t="shared" si="88"/>
        <v>49.816000000000003</v>
      </c>
      <c r="O250" s="1195"/>
      <c r="P250" s="1183">
        <f t="shared" si="89"/>
        <v>1170676.0000000002</v>
      </c>
      <c r="Q250" s="1183">
        <f t="shared" si="90"/>
        <v>1170676.0000000002</v>
      </c>
    </row>
    <row r="251" spans="1:17" ht="15.75" x14ac:dyDescent="0.25">
      <c r="A251" s="1235"/>
      <c r="B251" s="1206" t="s">
        <v>735</v>
      </c>
      <c r="C251" s="1206" t="s">
        <v>713</v>
      </c>
      <c r="D251" s="1195"/>
      <c r="E251" s="1207"/>
      <c r="F251" s="1206" t="s">
        <v>504</v>
      </c>
      <c r="G251" s="1195">
        <f t="shared" si="86"/>
        <v>630</v>
      </c>
      <c r="H251" s="1195">
        <v>0</v>
      </c>
      <c r="I251" s="1195">
        <v>630</v>
      </c>
      <c r="J251" s="1195">
        <v>4.79</v>
      </c>
      <c r="K251" s="1195">
        <f t="shared" si="87"/>
        <v>3.3529999999999998</v>
      </c>
      <c r="L251" s="1195">
        <v>0.3</v>
      </c>
      <c r="M251" s="1195"/>
      <c r="N251" s="1183">
        <f t="shared" si="88"/>
        <v>905.31000000000006</v>
      </c>
      <c r="O251" s="1195"/>
      <c r="P251" s="1183">
        <f t="shared" si="89"/>
        <v>21274785</v>
      </c>
      <c r="Q251" s="1183">
        <f>SUM(O251:P251)</f>
        <v>21274785</v>
      </c>
    </row>
    <row r="252" spans="1:17" s="1264" customFormat="1" ht="15.75" x14ac:dyDescent="0.25">
      <c r="A252" s="1263"/>
      <c r="B252" s="1206" t="s">
        <v>738</v>
      </c>
      <c r="C252" s="1265"/>
      <c r="D252" s="1262"/>
      <c r="E252" s="1266"/>
      <c r="F252" s="1265"/>
      <c r="G252" s="1262">
        <f>SUM(G253:G254)</f>
        <v>1250</v>
      </c>
      <c r="H252" s="1262">
        <f t="shared" ref="H252:Q252" si="94">SUM(H253:H254)</f>
        <v>0</v>
      </c>
      <c r="I252" s="1262">
        <f t="shared" si="94"/>
        <v>1250</v>
      </c>
      <c r="J252" s="1262">
        <f t="shared" si="94"/>
        <v>9.58</v>
      </c>
      <c r="K252" s="1262">
        <f t="shared" si="94"/>
        <v>6.7059999999999995</v>
      </c>
      <c r="L252" s="1262">
        <f t="shared" si="94"/>
        <v>0.6</v>
      </c>
      <c r="M252" s="1262">
        <f t="shared" si="94"/>
        <v>0</v>
      </c>
      <c r="N252" s="1262">
        <f t="shared" si="94"/>
        <v>1796.25</v>
      </c>
      <c r="O252" s="1262">
        <f t="shared" si="94"/>
        <v>0</v>
      </c>
      <c r="P252" s="1262">
        <f t="shared" si="94"/>
        <v>42211875</v>
      </c>
      <c r="Q252" s="1262">
        <f t="shared" si="94"/>
        <v>42211875</v>
      </c>
    </row>
    <row r="253" spans="1:17" ht="15.75" x14ac:dyDescent="0.25">
      <c r="A253" s="1235"/>
      <c r="C253" s="1206" t="s">
        <v>713</v>
      </c>
      <c r="D253" s="1195"/>
      <c r="E253" s="1207"/>
      <c r="F253" s="1206" t="s">
        <v>504</v>
      </c>
      <c r="G253" s="1195">
        <f t="shared" si="86"/>
        <v>1000</v>
      </c>
      <c r="H253" s="1195">
        <v>0</v>
      </c>
      <c r="I253" s="1195">
        <v>1000</v>
      </c>
      <c r="J253" s="1195">
        <v>4.79</v>
      </c>
      <c r="K253" s="1195">
        <f t="shared" si="87"/>
        <v>3.3529999999999998</v>
      </c>
      <c r="L253" s="1195">
        <v>0.3</v>
      </c>
      <c r="M253" s="1195"/>
      <c r="N253" s="1183">
        <f t="shared" si="88"/>
        <v>1437</v>
      </c>
      <c r="O253" s="1195"/>
      <c r="P253" s="1183">
        <f t="shared" si="89"/>
        <v>33769500</v>
      </c>
      <c r="Q253" s="1183">
        <f t="shared" ref="Q253:Q262" si="95">SUM(O253:P253)</f>
        <v>33769500</v>
      </c>
    </row>
    <row r="254" spans="1:17" ht="15.75" x14ac:dyDescent="0.25">
      <c r="A254" s="1235"/>
      <c r="B254" s="1206"/>
      <c r="C254" s="1206"/>
      <c r="D254" s="1195"/>
      <c r="E254" s="1207"/>
      <c r="F254" s="1206" t="s">
        <v>485</v>
      </c>
      <c r="G254" s="1195">
        <f t="shared" si="86"/>
        <v>250</v>
      </c>
      <c r="H254" s="1195">
        <v>0</v>
      </c>
      <c r="I254" s="1195">
        <v>250</v>
      </c>
      <c r="J254" s="1195">
        <v>4.79</v>
      </c>
      <c r="K254" s="1195">
        <f t="shared" si="87"/>
        <v>3.3529999999999998</v>
      </c>
      <c r="L254" s="1195">
        <v>0.3</v>
      </c>
      <c r="M254" s="1195"/>
      <c r="N254" s="1183">
        <f t="shared" si="88"/>
        <v>359.25</v>
      </c>
      <c r="O254" s="1195"/>
      <c r="P254" s="1183">
        <f t="shared" si="89"/>
        <v>8442375</v>
      </c>
      <c r="Q254" s="1183">
        <f t="shared" si="95"/>
        <v>8442375</v>
      </c>
    </row>
    <row r="255" spans="1:17" ht="15.75" x14ac:dyDescent="0.25">
      <c r="A255" s="1195"/>
      <c r="B255" s="1206" t="s">
        <v>728</v>
      </c>
      <c r="C255" s="1206" t="s">
        <v>713</v>
      </c>
      <c r="D255" s="1195"/>
      <c r="E255" s="1207"/>
      <c r="F255" s="1206" t="s">
        <v>504</v>
      </c>
      <c r="G255" s="1195">
        <f t="shared" si="86"/>
        <v>4.8</v>
      </c>
      <c r="H255" s="1195">
        <v>0</v>
      </c>
      <c r="I255" s="1195">
        <v>4.8</v>
      </c>
      <c r="J255" s="1195">
        <v>4.79</v>
      </c>
      <c r="K255" s="1195">
        <f t="shared" si="87"/>
        <v>4.3109999999999999</v>
      </c>
      <c r="L255" s="1195">
        <v>0.1</v>
      </c>
      <c r="M255" s="1195"/>
      <c r="N255" s="1183">
        <f t="shared" si="88"/>
        <v>2.2991999999999999</v>
      </c>
      <c r="O255" s="1195"/>
      <c r="P255" s="1183">
        <f t="shared" si="89"/>
        <v>54031.199999999997</v>
      </c>
      <c r="Q255" s="1183">
        <f t="shared" si="95"/>
        <v>54031.199999999997</v>
      </c>
    </row>
    <row r="256" spans="1:17" ht="15.75" x14ac:dyDescent="0.25">
      <c r="A256" s="1195"/>
      <c r="B256" s="1206" t="s">
        <v>736</v>
      </c>
      <c r="C256" s="1206" t="s">
        <v>713</v>
      </c>
      <c r="D256" s="1195"/>
      <c r="E256" s="1207"/>
      <c r="F256" s="1206" t="s">
        <v>485</v>
      </c>
      <c r="G256" s="1195">
        <f t="shared" si="86"/>
        <v>10</v>
      </c>
      <c r="H256" s="1195">
        <v>0</v>
      </c>
      <c r="I256" s="1195">
        <v>10</v>
      </c>
      <c r="J256" s="1195">
        <v>4.79</v>
      </c>
      <c r="K256" s="1195">
        <f t="shared" si="87"/>
        <v>4.5505000000000004</v>
      </c>
      <c r="L256" s="1195">
        <v>0.05</v>
      </c>
      <c r="M256" s="1195"/>
      <c r="N256" s="1183">
        <f t="shared" si="88"/>
        <v>2.395</v>
      </c>
      <c r="O256" s="1195"/>
      <c r="P256" s="1183">
        <f t="shared" si="89"/>
        <v>56282.5</v>
      </c>
      <c r="Q256" s="1183">
        <f t="shared" si="95"/>
        <v>56282.5</v>
      </c>
    </row>
    <row r="257" spans="1:17" s="1264" customFormat="1" ht="15.75" x14ac:dyDescent="0.25">
      <c r="A257" s="1262"/>
      <c r="B257" s="1206" t="s">
        <v>734</v>
      </c>
      <c r="C257" s="1265"/>
      <c r="D257" s="1262"/>
      <c r="E257" s="1266"/>
      <c r="F257" s="1265"/>
      <c r="G257" s="1262">
        <f>SUM(G258:G259)</f>
        <v>352</v>
      </c>
      <c r="H257" s="1262">
        <f t="shared" ref="H257:Q257" si="96">SUM(H258:H259)</f>
        <v>0</v>
      </c>
      <c r="I257" s="1262">
        <f t="shared" si="96"/>
        <v>352</v>
      </c>
      <c r="J257" s="1262">
        <f t="shared" si="96"/>
        <v>9.58</v>
      </c>
      <c r="K257" s="1262">
        <f t="shared" si="96"/>
        <v>8.8614999999999995</v>
      </c>
      <c r="L257" s="1262">
        <f t="shared" si="96"/>
        <v>0.15000000000000002</v>
      </c>
      <c r="M257" s="1262">
        <f t="shared" si="96"/>
        <v>0</v>
      </c>
      <c r="N257" s="1262">
        <f t="shared" si="96"/>
        <v>165.0155</v>
      </c>
      <c r="O257" s="1262">
        <f t="shared" si="96"/>
        <v>0</v>
      </c>
      <c r="P257" s="1262">
        <f t="shared" si="96"/>
        <v>3877864.25</v>
      </c>
      <c r="Q257" s="1262">
        <f t="shared" si="96"/>
        <v>3877864.25</v>
      </c>
    </row>
    <row r="258" spans="1:17" ht="15.75" x14ac:dyDescent="0.25">
      <c r="A258" s="1195"/>
      <c r="C258" s="1206" t="s">
        <v>713</v>
      </c>
      <c r="D258" s="1195"/>
      <c r="E258" s="1207"/>
      <c r="F258" s="1206" t="s">
        <v>504</v>
      </c>
      <c r="G258" s="1195">
        <f t="shared" si="86"/>
        <v>337</v>
      </c>
      <c r="H258" s="1195">
        <v>0</v>
      </c>
      <c r="I258" s="1195">
        <v>337</v>
      </c>
      <c r="J258" s="1195">
        <v>4.79</v>
      </c>
      <c r="K258" s="1195">
        <f t="shared" si="87"/>
        <v>4.3109999999999999</v>
      </c>
      <c r="L258" s="1195">
        <v>0.1</v>
      </c>
      <c r="M258" s="1195"/>
      <c r="N258" s="1183">
        <f t="shared" si="88"/>
        <v>161.423</v>
      </c>
      <c r="O258" s="1195"/>
      <c r="P258" s="1183">
        <f t="shared" si="89"/>
        <v>3793440.5</v>
      </c>
      <c r="Q258" s="1183">
        <f t="shared" si="95"/>
        <v>3793440.5</v>
      </c>
    </row>
    <row r="259" spans="1:17" ht="15.75" x14ac:dyDescent="0.25">
      <c r="A259" s="1195"/>
      <c r="B259" s="1206"/>
      <c r="C259" s="1206" t="s">
        <v>713</v>
      </c>
      <c r="D259" s="1195"/>
      <c r="E259" s="1207"/>
      <c r="F259" s="1206" t="s">
        <v>485</v>
      </c>
      <c r="G259" s="1195">
        <f t="shared" si="86"/>
        <v>15</v>
      </c>
      <c r="H259" s="1195">
        <v>0</v>
      </c>
      <c r="I259" s="1195">
        <v>15</v>
      </c>
      <c r="J259" s="1195">
        <v>4.79</v>
      </c>
      <c r="K259" s="1195">
        <f t="shared" si="87"/>
        <v>4.5505000000000004</v>
      </c>
      <c r="L259" s="1195">
        <v>0.05</v>
      </c>
      <c r="M259" s="1195"/>
      <c r="N259" s="1183">
        <f t="shared" si="88"/>
        <v>3.5925000000000002</v>
      </c>
      <c r="O259" s="1195"/>
      <c r="P259" s="1183">
        <f t="shared" si="89"/>
        <v>84423.750000000015</v>
      </c>
      <c r="Q259" s="1183">
        <f t="shared" si="95"/>
        <v>84423.750000000015</v>
      </c>
    </row>
    <row r="260" spans="1:17" s="1264" customFormat="1" ht="15.75" x14ac:dyDescent="0.25">
      <c r="A260" s="1262"/>
      <c r="B260" s="1206" t="s">
        <v>829</v>
      </c>
      <c r="C260" s="1265"/>
      <c r="D260" s="1262"/>
      <c r="E260" s="1266"/>
      <c r="F260" s="1265"/>
      <c r="G260" s="1262">
        <f>SUM(G261:G262)</f>
        <v>1689</v>
      </c>
      <c r="H260" s="1262">
        <f t="shared" ref="H260:Q260" si="97">SUM(H261:H262)</f>
        <v>0</v>
      </c>
      <c r="I260" s="1262">
        <f t="shared" si="97"/>
        <v>1689</v>
      </c>
      <c r="J260" s="1262">
        <f t="shared" si="97"/>
        <v>9.58</v>
      </c>
      <c r="K260" s="1262">
        <f t="shared" si="97"/>
        <v>7.1849999999999996</v>
      </c>
      <c r="L260" s="1262">
        <f t="shared" si="97"/>
        <v>0.5</v>
      </c>
      <c r="M260" s="1262">
        <f t="shared" si="97"/>
        <v>0</v>
      </c>
      <c r="N260" s="1262">
        <f t="shared" si="97"/>
        <v>2244.5940000000001</v>
      </c>
      <c r="O260" s="1262">
        <f t="shared" si="97"/>
        <v>0</v>
      </c>
      <c r="P260" s="1262">
        <f t="shared" si="97"/>
        <v>52747959</v>
      </c>
      <c r="Q260" s="1262">
        <f t="shared" si="97"/>
        <v>52747959</v>
      </c>
    </row>
    <row r="261" spans="1:17" ht="15.75" x14ac:dyDescent="0.25">
      <c r="A261" s="1195"/>
      <c r="C261" s="1206" t="s">
        <v>713</v>
      </c>
      <c r="D261" s="1195"/>
      <c r="E261" s="1207"/>
      <c r="F261" s="1206" t="s">
        <v>504</v>
      </c>
      <c r="G261" s="1195">
        <f t="shared" si="86"/>
        <v>1308</v>
      </c>
      <c r="H261" s="1195">
        <v>0</v>
      </c>
      <c r="I261" s="1195">
        <v>1308</v>
      </c>
      <c r="J261" s="1195">
        <v>4.79</v>
      </c>
      <c r="K261" s="1195">
        <f t="shared" si="87"/>
        <v>3.3529999999999998</v>
      </c>
      <c r="L261" s="1195">
        <v>0.3</v>
      </c>
      <c r="M261" s="1195"/>
      <c r="N261" s="1183">
        <f t="shared" si="88"/>
        <v>1879.596</v>
      </c>
      <c r="O261" s="1195"/>
      <c r="P261" s="1183">
        <f t="shared" si="89"/>
        <v>44170506</v>
      </c>
      <c r="Q261" s="1183">
        <f t="shared" si="95"/>
        <v>44170506</v>
      </c>
    </row>
    <row r="262" spans="1:17" ht="15.75" x14ac:dyDescent="0.25">
      <c r="A262" s="1195"/>
      <c r="B262" s="1206"/>
      <c r="C262" s="1206" t="s">
        <v>713</v>
      </c>
      <c r="D262" s="1195"/>
      <c r="E262" s="1207"/>
      <c r="F262" s="1206" t="s">
        <v>474</v>
      </c>
      <c r="G262" s="1195">
        <f t="shared" si="86"/>
        <v>381</v>
      </c>
      <c r="H262" s="1195">
        <v>0</v>
      </c>
      <c r="I262" s="1195">
        <v>381</v>
      </c>
      <c r="J262" s="1195">
        <v>4.79</v>
      </c>
      <c r="K262" s="1195">
        <f t="shared" si="87"/>
        <v>3.8319999999999999</v>
      </c>
      <c r="L262" s="1195">
        <v>0.2</v>
      </c>
      <c r="M262" s="1195"/>
      <c r="N262" s="1183">
        <f t="shared" si="88"/>
        <v>364.99800000000005</v>
      </c>
      <c r="O262" s="1195"/>
      <c r="P262" s="1183">
        <f t="shared" si="89"/>
        <v>8577453.0000000019</v>
      </c>
      <c r="Q262" s="1183">
        <f t="shared" si="95"/>
        <v>8577453.0000000019</v>
      </c>
    </row>
    <row r="263" spans="1:17" ht="15.75" x14ac:dyDescent="0.25">
      <c r="A263" s="1195"/>
      <c r="B263" s="1206"/>
      <c r="C263" s="1206"/>
      <c r="D263" s="1195"/>
      <c r="E263" s="1207"/>
      <c r="F263" s="1237"/>
      <c r="G263" s="1183"/>
      <c r="H263" s="1195"/>
      <c r="I263" s="1195"/>
      <c r="J263" s="1195"/>
      <c r="K263" s="1195"/>
      <c r="L263" s="1195"/>
      <c r="M263" s="1195"/>
      <c r="N263" s="1183"/>
      <c r="O263" s="1183"/>
      <c r="P263" s="1183"/>
      <c r="Q263" s="1183"/>
    </row>
    <row r="264" spans="1:17" ht="15.75" x14ac:dyDescent="0.25">
      <c r="A264" s="1195"/>
      <c r="B264" s="1206"/>
      <c r="C264" s="1206"/>
      <c r="D264" s="1195"/>
      <c r="E264" s="1207"/>
      <c r="F264" s="1237"/>
      <c r="G264" s="1183"/>
      <c r="H264" s="1195"/>
      <c r="I264" s="1195"/>
      <c r="J264" s="1195"/>
      <c r="K264" s="1195"/>
      <c r="L264" s="1195"/>
      <c r="M264" s="1195"/>
      <c r="N264" s="1183"/>
      <c r="O264" s="1183"/>
      <c r="P264" s="1183"/>
      <c r="Q264" s="1183"/>
    </row>
    <row r="265" spans="1:17" ht="15.75" x14ac:dyDescent="0.25">
      <c r="A265" s="1195"/>
      <c r="B265" s="1206"/>
      <c r="C265" s="1206"/>
      <c r="D265" s="1195"/>
      <c r="E265" s="1207"/>
      <c r="F265" s="1237"/>
      <c r="G265" s="1183"/>
      <c r="H265" s="1195"/>
      <c r="I265" s="1195"/>
      <c r="J265" s="1195"/>
      <c r="K265" s="1195"/>
      <c r="L265" s="1195"/>
      <c r="M265" s="1195"/>
      <c r="N265" s="1183"/>
      <c r="O265" s="1183"/>
      <c r="P265" s="1183"/>
      <c r="Q265" s="1183"/>
    </row>
    <row r="266" spans="1:17" ht="15.75" x14ac:dyDescent="0.25">
      <c r="A266" s="1195"/>
      <c r="B266" s="1206"/>
      <c r="C266" s="1206"/>
      <c r="D266" s="1195"/>
      <c r="E266" s="1207"/>
      <c r="F266" s="1237"/>
      <c r="G266" s="1183"/>
      <c r="H266" s="1195"/>
      <c r="I266" s="1195"/>
      <c r="J266" s="1195"/>
      <c r="K266" s="1195"/>
      <c r="L266" s="1195"/>
      <c r="M266" s="1195"/>
      <c r="N266" s="1183"/>
      <c r="O266" s="1183"/>
      <c r="P266" s="1183"/>
      <c r="Q266" s="1183"/>
    </row>
    <row r="267" spans="1:17" ht="15.75" x14ac:dyDescent="0.25">
      <c r="A267" s="1195"/>
      <c r="B267" s="1206"/>
      <c r="C267" s="1206"/>
      <c r="D267" s="1195"/>
      <c r="E267" s="1207"/>
      <c r="F267" s="1237"/>
      <c r="G267" s="1183"/>
      <c r="H267" s="1195"/>
      <c r="I267" s="1195"/>
      <c r="J267" s="1195"/>
      <c r="K267" s="1195"/>
      <c r="L267" s="1195"/>
      <c r="M267" s="1195"/>
      <c r="N267" s="1183"/>
      <c r="O267" s="1183"/>
      <c r="P267" s="1183"/>
      <c r="Q267" s="1183"/>
    </row>
    <row r="268" spans="1:17" ht="15.75" x14ac:dyDescent="0.25">
      <c r="A268" s="1195"/>
      <c r="B268" s="1206"/>
      <c r="C268" s="1206"/>
      <c r="D268" s="1195"/>
      <c r="E268" s="1207"/>
      <c r="F268" s="1237"/>
      <c r="G268" s="1183"/>
      <c r="H268" s="1195"/>
      <c r="I268" s="1195"/>
      <c r="J268" s="1195"/>
      <c r="K268" s="1195"/>
      <c r="L268" s="1195"/>
      <c r="M268" s="1195"/>
      <c r="N268" s="1183"/>
      <c r="O268" s="1183"/>
      <c r="P268" s="1183"/>
      <c r="Q268" s="1183"/>
    </row>
    <row r="269" spans="1:17" ht="15.75" x14ac:dyDescent="0.25">
      <c r="A269" s="1195"/>
      <c r="B269" s="1238"/>
      <c r="C269" s="1195"/>
      <c r="D269" s="1235"/>
      <c r="E269" s="1235"/>
      <c r="F269" s="1195"/>
      <c r="G269" s="1235"/>
      <c r="H269" s="1235"/>
      <c r="I269" s="1235"/>
      <c r="J269" s="1235"/>
      <c r="K269" s="1235"/>
      <c r="L269" s="1235"/>
      <c r="M269" s="1235"/>
      <c r="N269" s="1235"/>
      <c r="O269" s="1235"/>
      <c r="P269" s="1183"/>
      <c r="Q269" s="1235"/>
    </row>
    <row r="270" spans="1:17" ht="15.75" x14ac:dyDescent="0.25">
      <c r="A270" s="1195"/>
      <c r="B270" s="1206"/>
      <c r="C270" s="1206"/>
      <c r="D270" s="1195"/>
      <c r="E270" s="1207"/>
      <c r="F270" s="1237"/>
      <c r="G270" s="1183"/>
      <c r="H270" s="1235"/>
      <c r="I270" s="1195"/>
      <c r="J270" s="1195"/>
      <c r="K270" s="1195"/>
      <c r="L270" s="1195"/>
      <c r="M270" s="1195"/>
      <c r="N270" s="1183"/>
      <c r="O270" s="1183"/>
      <c r="P270" s="1183"/>
      <c r="Q270" s="1183"/>
    </row>
    <row r="271" spans="1:17" ht="15.75" x14ac:dyDescent="0.25">
      <c r="A271" s="1195"/>
      <c r="B271" s="1206"/>
      <c r="C271" s="1206"/>
      <c r="D271" s="1195"/>
      <c r="E271" s="1207"/>
      <c r="F271" s="1237"/>
      <c r="G271" s="1183"/>
      <c r="H271" s="1235"/>
      <c r="I271" s="1195"/>
      <c r="J271" s="1195"/>
      <c r="K271" s="1195"/>
      <c r="L271" s="1195"/>
      <c r="M271" s="1195"/>
      <c r="N271" s="1183"/>
      <c r="O271" s="1183"/>
      <c r="P271" s="1183"/>
      <c r="Q271" s="1183"/>
    </row>
    <row r="272" spans="1:17" ht="15.75" x14ac:dyDescent="0.25">
      <c r="A272" s="1195"/>
      <c r="B272" s="1206"/>
      <c r="C272" s="1206"/>
      <c r="D272" s="1195"/>
      <c r="E272" s="1207"/>
      <c r="F272" s="1237"/>
      <c r="G272" s="1183"/>
      <c r="H272" s="1235"/>
      <c r="I272" s="1195"/>
      <c r="J272" s="1195"/>
      <c r="K272" s="1195"/>
      <c r="L272" s="1195"/>
      <c r="M272" s="1195"/>
      <c r="N272" s="1183"/>
      <c r="O272" s="1183"/>
      <c r="P272" s="1183"/>
      <c r="Q272" s="1183"/>
    </row>
    <row r="273" spans="1:17" ht="15.75" x14ac:dyDescent="0.25">
      <c r="A273" s="1195"/>
      <c r="B273" s="1206"/>
      <c r="C273" s="1206"/>
      <c r="D273" s="1195"/>
      <c r="E273" s="1207"/>
      <c r="F273" s="1237"/>
      <c r="G273" s="1183"/>
      <c r="H273" s="1235"/>
      <c r="I273" s="1195"/>
      <c r="J273" s="1195"/>
      <c r="K273" s="1195"/>
      <c r="L273" s="1195"/>
      <c r="M273" s="1195"/>
      <c r="N273" s="1183"/>
      <c r="O273" s="1183"/>
      <c r="P273" s="1183"/>
      <c r="Q273" s="1183"/>
    </row>
    <row r="274" spans="1:17" ht="15.75" x14ac:dyDescent="0.25">
      <c r="A274" s="1195"/>
      <c r="B274" s="1206"/>
      <c r="C274" s="1206"/>
      <c r="D274" s="1195"/>
      <c r="E274" s="1207"/>
      <c r="F274" s="1237"/>
      <c r="G274" s="1183"/>
      <c r="H274" s="1235"/>
      <c r="I274" s="1195"/>
      <c r="J274" s="1195"/>
      <c r="K274" s="1195"/>
      <c r="L274" s="1195"/>
      <c r="M274" s="1195"/>
      <c r="N274" s="1183"/>
      <c r="O274" s="1183"/>
      <c r="P274" s="1183"/>
      <c r="Q274" s="1183"/>
    </row>
    <row r="275" spans="1:17" ht="15.75" x14ac:dyDescent="0.25">
      <c r="A275" s="1195"/>
      <c r="B275" s="1206"/>
      <c r="C275" s="1206"/>
      <c r="D275" s="1195"/>
      <c r="E275" s="1207"/>
      <c r="F275" s="1237"/>
      <c r="G275" s="1183"/>
      <c r="H275" s="1235"/>
      <c r="I275" s="1195"/>
      <c r="J275" s="1195"/>
      <c r="K275" s="1195"/>
      <c r="L275" s="1195"/>
      <c r="M275" s="1195"/>
      <c r="N275" s="1183"/>
      <c r="O275" s="1183"/>
      <c r="P275" s="1183"/>
      <c r="Q275" s="1183"/>
    </row>
    <row r="276" spans="1:17" ht="15.75" x14ac:dyDescent="0.25">
      <c r="A276" s="1195"/>
      <c r="B276" s="1206"/>
      <c r="C276" s="1206"/>
      <c r="D276" s="1195"/>
      <c r="E276" s="1207"/>
      <c r="F276" s="1237"/>
      <c r="G276" s="1183"/>
      <c r="H276" s="1235"/>
      <c r="I276" s="1195"/>
      <c r="J276" s="1195"/>
      <c r="K276" s="1195"/>
      <c r="L276" s="1195"/>
      <c r="M276" s="1195"/>
      <c r="N276" s="1183"/>
      <c r="O276" s="1183"/>
      <c r="P276" s="1239"/>
      <c r="Q276" s="1183"/>
    </row>
    <row r="277" spans="1:17" ht="15.75" x14ac:dyDescent="0.25">
      <c r="A277" s="1195"/>
      <c r="B277" s="1206"/>
      <c r="C277" s="1206"/>
      <c r="D277" s="1195"/>
      <c r="E277" s="1207"/>
      <c r="F277" s="1237"/>
      <c r="G277" s="1183"/>
      <c r="H277" s="1235"/>
      <c r="I277" s="1195"/>
      <c r="J277" s="1195"/>
      <c r="K277" s="1195"/>
      <c r="L277" s="1195"/>
      <c r="M277" s="1195"/>
      <c r="N277" s="1183"/>
      <c r="O277" s="1183"/>
      <c r="P277" s="1239"/>
      <c r="Q277" s="1183"/>
    </row>
    <row r="278" spans="1:17" ht="15.75" x14ac:dyDescent="0.25">
      <c r="A278" s="1195"/>
      <c r="B278" s="1195"/>
      <c r="C278" s="1195"/>
      <c r="D278" s="1195"/>
      <c r="E278" s="1207"/>
      <c r="F278" s="1237"/>
      <c r="G278" s="1183"/>
      <c r="H278" s="1195"/>
      <c r="I278" s="1235"/>
      <c r="J278" s="1195"/>
      <c r="K278" s="1195"/>
      <c r="L278" s="1195"/>
      <c r="M278" s="1195"/>
      <c r="N278" s="1183"/>
      <c r="O278" s="1183"/>
      <c r="P278" s="1239"/>
      <c r="Q278" s="1183"/>
    </row>
    <row r="279" spans="1:17" ht="15.75" x14ac:dyDescent="0.25">
      <c r="A279" s="1195"/>
      <c r="B279" s="1195"/>
      <c r="C279" s="1195"/>
      <c r="D279" s="1195"/>
      <c r="E279" s="1207"/>
      <c r="F279" s="1237"/>
      <c r="G279" s="1183"/>
      <c r="H279" s="1195"/>
      <c r="I279" s="1235"/>
      <c r="J279" s="1195"/>
      <c r="K279" s="1195"/>
      <c r="L279" s="1195"/>
      <c r="M279" s="1195"/>
      <c r="N279" s="1183"/>
      <c r="O279" s="1183"/>
      <c r="P279" s="1183"/>
      <c r="Q279" s="1183"/>
    </row>
    <row r="280" spans="1:17" ht="15.75" x14ac:dyDescent="0.25">
      <c r="A280" s="1183"/>
      <c r="B280" s="1240"/>
      <c r="C280" s="1183"/>
      <c r="D280" s="1183"/>
      <c r="E280" s="1182"/>
      <c r="F280" s="1237"/>
      <c r="G280" s="1182"/>
      <c r="H280" s="1182"/>
      <c r="I280" s="1182"/>
      <c r="J280" s="1182"/>
      <c r="K280" s="1182"/>
      <c r="L280" s="1182"/>
      <c r="M280" s="1182"/>
      <c r="N280" s="1182"/>
      <c r="O280" s="1182"/>
      <c r="P280" s="1182"/>
      <c r="Q280" s="1182"/>
    </row>
    <row r="281" spans="1:17" ht="15.75" x14ac:dyDescent="0.25">
      <c r="A281" s="1183"/>
      <c r="B281" s="1241"/>
      <c r="C281" s="1242"/>
      <c r="D281" s="1242"/>
      <c r="E281" s="1243"/>
      <c r="F281" s="1244"/>
      <c r="G281" s="1243"/>
      <c r="H281" s="1243"/>
      <c r="I281" s="1243"/>
      <c r="J281" s="1243"/>
      <c r="K281" s="1243"/>
      <c r="L281" s="1243"/>
      <c r="M281" s="1243"/>
      <c r="N281" s="1243"/>
      <c r="O281" s="1243"/>
      <c r="P281" s="1243"/>
      <c r="Q281" s="1243"/>
    </row>
    <row r="282" spans="1:17" ht="15.75" x14ac:dyDescent="0.25">
      <c r="A282" s="1183"/>
      <c r="B282" s="1245"/>
      <c r="C282" s="1183"/>
      <c r="D282" s="1183"/>
      <c r="E282" s="1194"/>
      <c r="F282" s="1237"/>
      <c r="G282" s="1183"/>
      <c r="H282" s="1183"/>
      <c r="I282" s="1183"/>
      <c r="J282" s="1183"/>
      <c r="K282" s="1183"/>
      <c r="L282" s="1183"/>
      <c r="M282" s="1246"/>
      <c r="N282" s="1183"/>
      <c r="O282" s="1183"/>
      <c r="P282" s="1183"/>
      <c r="Q282" s="1183"/>
    </row>
    <row r="283" spans="1:17" ht="15.75" x14ac:dyDescent="0.25">
      <c r="A283" s="1183"/>
      <c r="B283" s="1245"/>
      <c r="C283" s="1183"/>
      <c r="D283" s="1183"/>
      <c r="E283" s="1194"/>
      <c r="F283" s="1237"/>
      <c r="G283" s="1183"/>
      <c r="H283" s="1183"/>
      <c r="I283" s="1183"/>
      <c r="J283" s="1183"/>
      <c r="K283" s="1183"/>
      <c r="L283" s="1183"/>
      <c r="M283" s="1246"/>
      <c r="N283" s="1183"/>
      <c r="O283" s="1183"/>
      <c r="P283" s="1183"/>
      <c r="Q283" s="1183"/>
    </row>
    <row r="284" spans="1:17" ht="15.75" x14ac:dyDescent="0.25">
      <c r="A284" s="1183"/>
      <c r="B284" s="1245"/>
      <c r="C284" s="1183"/>
      <c r="D284" s="1183"/>
      <c r="E284" s="1194"/>
      <c r="F284" s="1237"/>
      <c r="G284" s="1183"/>
      <c r="H284" s="1183"/>
      <c r="I284" s="1183"/>
      <c r="J284" s="1183"/>
      <c r="K284" s="1183"/>
      <c r="L284" s="1183"/>
      <c r="M284" s="1246"/>
      <c r="N284" s="1183"/>
      <c r="O284" s="1183"/>
      <c r="P284" s="1183"/>
      <c r="Q284" s="1183"/>
    </row>
    <row r="285" spans="1:17" ht="15.75" x14ac:dyDescent="0.25">
      <c r="A285" s="1183"/>
      <c r="B285" s="1245"/>
      <c r="C285" s="1183"/>
      <c r="D285" s="1183"/>
      <c r="E285" s="1194"/>
      <c r="F285" s="1237"/>
      <c r="G285" s="1183"/>
      <c r="H285" s="1183"/>
      <c r="I285" s="1183"/>
      <c r="J285" s="1183"/>
      <c r="K285" s="1183"/>
      <c r="L285" s="1183"/>
      <c r="M285" s="1246"/>
      <c r="N285" s="1183"/>
      <c r="O285" s="1183"/>
      <c r="P285" s="1183"/>
      <c r="Q285" s="1183"/>
    </row>
    <row r="286" spans="1:17" ht="15.75" x14ac:dyDescent="0.25">
      <c r="A286" s="1183"/>
      <c r="B286" s="1245"/>
      <c r="C286" s="1183"/>
      <c r="D286" s="1183"/>
      <c r="E286" s="1194"/>
      <c r="F286" s="1237"/>
      <c r="G286" s="1183"/>
      <c r="H286" s="1183"/>
      <c r="I286" s="1183"/>
      <c r="J286" s="1183"/>
      <c r="K286" s="1183"/>
      <c r="L286" s="1183"/>
      <c r="M286" s="1246"/>
      <c r="N286" s="1183"/>
      <c r="O286" s="1183"/>
      <c r="P286" s="1183"/>
      <c r="Q286" s="1183"/>
    </row>
    <row r="287" spans="1:17" ht="15.75" x14ac:dyDescent="0.25">
      <c r="A287" s="1183"/>
      <c r="B287" s="1245"/>
      <c r="C287" s="1183"/>
      <c r="D287" s="1183"/>
      <c r="E287" s="1194"/>
      <c r="F287" s="1237"/>
      <c r="G287" s="1183"/>
      <c r="H287" s="1183"/>
      <c r="I287" s="1183"/>
      <c r="J287" s="1183"/>
      <c r="K287" s="1183"/>
      <c r="L287" s="1183"/>
      <c r="M287" s="1246"/>
      <c r="N287" s="1183"/>
      <c r="O287" s="1183"/>
      <c r="P287" s="1183"/>
      <c r="Q287" s="1183"/>
    </row>
    <row r="288" spans="1:17" ht="15.75" x14ac:dyDescent="0.25">
      <c r="A288" s="1183"/>
      <c r="B288" s="1245"/>
      <c r="C288" s="1183"/>
      <c r="D288" s="1183"/>
      <c r="E288" s="1194"/>
      <c r="F288" s="1237"/>
      <c r="G288" s="1183"/>
      <c r="H288" s="1183"/>
      <c r="I288" s="1183"/>
      <c r="J288" s="1183"/>
      <c r="K288" s="1183"/>
      <c r="L288" s="1183"/>
      <c r="M288" s="1246"/>
      <c r="N288" s="1183"/>
      <c r="O288" s="1183"/>
      <c r="P288" s="1183"/>
      <c r="Q288" s="1183"/>
    </row>
    <row r="289" spans="1:17" ht="15.75" x14ac:dyDescent="0.25">
      <c r="A289" s="1183"/>
      <c r="B289" s="1245"/>
      <c r="C289" s="1183"/>
      <c r="D289" s="1183"/>
      <c r="E289" s="1194"/>
      <c r="F289" s="1237"/>
      <c r="G289" s="1183"/>
      <c r="H289" s="1183"/>
      <c r="I289" s="1183"/>
      <c r="J289" s="1183"/>
      <c r="K289" s="1183"/>
      <c r="L289" s="1183"/>
      <c r="M289" s="1246"/>
      <c r="N289" s="1183"/>
      <c r="O289" s="1183"/>
      <c r="P289" s="1183"/>
      <c r="Q289" s="1183"/>
    </row>
    <row r="290" spans="1:17" ht="15.75" x14ac:dyDescent="0.25">
      <c r="A290" s="1183"/>
      <c r="B290" s="1245"/>
      <c r="C290" s="1183"/>
      <c r="D290" s="1183"/>
      <c r="E290" s="1194"/>
      <c r="F290" s="1237"/>
      <c r="G290" s="1183"/>
      <c r="H290" s="1183"/>
      <c r="I290" s="1183"/>
      <c r="J290" s="1183"/>
      <c r="K290" s="1183"/>
      <c r="L290" s="1183"/>
      <c r="M290" s="1246"/>
      <c r="N290" s="1183"/>
      <c r="O290" s="1183"/>
      <c r="P290" s="1183"/>
      <c r="Q290" s="1183"/>
    </row>
    <row r="291" spans="1:17" ht="15.75" x14ac:dyDescent="0.25">
      <c r="A291" s="1183"/>
      <c r="B291" s="1245"/>
      <c r="C291" s="1183"/>
      <c r="D291" s="1183"/>
      <c r="E291" s="1194"/>
      <c r="F291" s="1237"/>
      <c r="G291" s="1183"/>
      <c r="H291" s="1183"/>
      <c r="I291" s="1183"/>
      <c r="J291" s="1183"/>
      <c r="K291" s="1183"/>
      <c r="L291" s="1183"/>
      <c r="M291" s="1246"/>
      <c r="N291" s="1183"/>
      <c r="O291" s="1183"/>
      <c r="P291" s="1183"/>
      <c r="Q291" s="1183"/>
    </row>
    <row r="292" spans="1:17" ht="15.75" x14ac:dyDescent="0.25">
      <c r="A292" s="1183"/>
      <c r="B292" s="1245"/>
      <c r="C292" s="1183"/>
      <c r="D292" s="1183"/>
      <c r="E292" s="1194"/>
      <c r="F292" s="1237"/>
      <c r="G292" s="1183"/>
      <c r="H292" s="1183"/>
      <c r="I292" s="1183"/>
      <c r="J292" s="1183"/>
      <c r="K292" s="1183"/>
      <c r="L292" s="1183"/>
      <c r="M292" s="1246"/>
      <c r="N292" s="1183"/>
      <c r="O292" s="1183"/>
      <c r="P292" s="1183"/>
      <c r="Q292" s="1183"/>
    </row>
    <row r="293" spans="1:17" ht="15.75" x14ac:dyDescent="0.25">
      <c r="A293" s="1183"/>
      <c r="B293" s="1245"/>
      <c r="C293" s="1183"/>
      <c r="D293" s="1183"/>
      <c r="E293" s="1194"/>
      <c r="F293" s="1237"/>
      <c r="G293" s="1183"/>
      <c r="H293" s="1183"/>
      <c r="I293" s="1183"/>
      <c r="J293" s="1183"/>
      <c r="K293" s="1183"/>
      <c r="L293" s="1183"/>
      <c r="M293" s="1246"/>
      <c r="N293" s="1183"/>
      <c r="O293" s="1183"/>
      <c r="P293" s="1183"/>
      <c r="Q293" s="1183"/>
    </row>
    <row r="294" spans="1:17" ht="15.75" x14ac:dyDescent="0.25">
      <c r="A294" s="1183"/>
      <c r="B294" s="1245"/>
      <c r="C294" s="1183"/>
      <c r="D294" s="1183"/>
      <c r="E294" s="1194"/>
      <c r="F294" s="1237"/>
      <c r="G294" s="1183"/>
      <c r="H294" s="1183"/>
      <c r="I294" s="1183"/>
      <c r="J294" s="1183"/>
      <c r="K294" s="1183"/>
      <c r="L294" s="1183"/>
      <c r="M294" s="1246"/>
      <c r="N294" s="1183"/>
      <c r="O294" s="1183"/>
      <c r="P294" s="1183"/>
      <c r="Q294" s="1183"/>
    </row>
    <row r="295" spans="1:17" ht="15.75" x14ac:dyDescent="0.25">
      <c r="A295" s="1183"/>
      <c r="B295" s="1245"/>
      <c r="C295" s="1183"/>
      <c r="D295" s="1183"/>
      <c r="E295" s="1194"/>
      <c r="F295" s="1237"/>
      <c r="G295" s="1183"/>
      <c r="H295" s="1183"/>
      <c r="I295" s="1183"/>
      <c r="J295" s="1183"/>
      <c r="K295" s="1183"/>
      <c r="L295" s="1183"/>
      <c r="M295" s="1246"/>
      <c r="N295" s="1183"/>
      <c r="O295" s="1183"/>
      <c r="P295" s="1183"/>
      <c r="Q295" s="1183"/>
    </row>
    <row r="296" spans="1:17" ht="15.75" x14ac:dyDescent="0.25">
      <c r="A296" s="1183"/>
      <c r="B296" s="1245"/>
      <c r="C296" s="1183"/>
      <c r="D296" s="1183"/>
      <c r="E296" s="1194"/>
      <c r="F296" s="1237"/>
      <c r="G296" s="1183"/>
      <c r="H296" s="1183"/>
      <c r="I296" s="1183"/>
      <c r="J296" s="1183"/>
      <c r="K296" s="1183"/>
      <c r="L296" s="1183"/>
      <c r="M296" s="1246"/>
      <c r="N296" s="1183"/>
      <c r="O296" s="1183"/>
      <c r="P296" s="1183"/>
      <c r="Q296" s="1183"/>
    </row>
    <row r="297" spans="1:17" ht="15.75" x14ac:dyDescent="0.25">
      <c r="A297" s="1183"/>
      <c r="B297" s="1245"/>
      <c r="C297" s="1183"/>
      <c r="D297" s="1183"/>
      <c r="E297" s="1194"/>
      <c r="F297" s="1237"/>
      <c r="G297" s="1183"/>
      <c r="H297" s="1183"/>
      <c r="I297" s="1183"/>
      <c r="J297" s="1183"/>
      <c r="K297" s="1183"/>
      <c r="L297" s="1183"/>
      <c r="M297" s="1246"/>
      <c r="N297" s="1183"/>
      <c r="O297" s="1183"/>
      <c r="P297" s="1183"/>
      <c r="Q297" s="1183"/>
    </row>
    <row r="298" spans="1:17" ht="15.75" x14ac:dyDescent="0.25">
      <c r="A298" s="1183"/>
      <c r="B298" s="1245"/>
      <c r="C298" s="1183"/>
      <c r="D298" s="1183"/>
      <c r="E298" s="1194"/>
      <c r="F298" s="1237"/>
      <c r="G298" s="1183"/>
      <c r="H298" s="1183"/>
      <c r="I298" s="1183"/>
      <c r="J298" s="1183"/>
      <c r="K298" s="1183"/>
      <c r="L298" s="1183"/>
      <c r="M298" s="1246"/>
      <c r="N298" s="1183"/>
      <c r="O298" s="1183"/>
      <c r="P298" s="1183"/>
      <c r="Q298" s="1183"/>
    </row>
    <row r="299" spans="1:17" ht="15.75" x14ac:dyDescent="0.25">
      <c r="A299" s="1183"/>
      <c r="B299" s="1245"/>
      <c r="C299" s="1183"/>
      <c r="D299" s="1183"/>
      <c r="E299" s="1194"/>
      <c r="F299" s="1237"/>
      <c r="G299" s="1183"/>
      <c r="H299" s="1183"/>
      <c r="I299" s="1183"/>
      <c r="J299" s="1183"/>
      <c r="K299" s="1183"/>
      <c r="L299" s="1183"/>
      <c r="M299" s="1246"/>
      <c r="N299" s="1183"/>
      <c r="O299" s="1183"/>
      <c r="P299" s="1183"/>
      <c r="Q299" s="1183"/>
    </row>
    <row r="300" spans="1:17" ht="15.75" x14ac:dyDescent="0.25">
      <c r="A300" s="1183"/>
      <c r="B300" s="1245"/>
      <c r="C300" s="1183"/>
      <c r="D300" s="1183"/>
      <c r="E300" s="1194"/>
      <c r="F300" s="1237"/>
      <c r="G300" s="1183"/>
      <c r="H300" s="1183"/>
      <c r="I300" s="1183"/>
      <c r="J300" s="1183"/>
      <c r="K300" s="1183"/>
      <c r="L300" s="1183"/>
      <c r="M300" s="1246"/>
      <c r="N300" s="1183"/>
      <c r="O300" s="1183"/>
      <c r="P300" s="1183"/>
      <c r="Q300" s="1183"/>
    </row>
    <row r="301" spans="1:17" ht="15.75" x14ac:dyDescent="0.25">
      <c r="A301" s="1183"/>
      <c r="B301" s="1245"/>
      <c r="C301" s="1183"/>
      <c r="D301" s="1183"/>
      <c r="E301" s="1194"/>
      <c r="F301" s="1237"/>
      <c r="G301" s="1183"/>
      <c r="H301" s="1183"/>
      <c r="I301" s="1183"/>
      <c r="J301" s="1183"/>
      <c r="K301" s="1183"/>
      <c r="L301" s="1183"/>
      <c r="M301" s="1246"/>
      <c r="N301" s="1183"/>
      <c r="O301" s="1183"/>
      <c r="P301" s="1183"/>
      <c r="Q301" s="1183"/>
    </row>
    <row r="302" spans="1:17" ht="15.75" x14ac:dyDescent="0.25">
      <c r="A302" s="1183"/>
      <c r="B302" s="1245"/>
      <c r="C302" s="1183"/>
      <c r="D302" s="1183"/>
      <c r="E302" s="1194"/>
      <c r="F302" s="1237"/>
      <c r="G302" s="1183"/>
      <c r="H302" s="1183"/>
      <c r="I302" s="1183"/>
      <c r="J302" s="1183"/>
      <c r="K302" s="1183"/>
      <c r="L302" s="1183"/>
      <c r="M302" s="1246"/>
      <c r="N302" s="1183"/>
      <c r="O302" s="1183"/>
      <c r="P302" s="1183"/>
      <c r="Q302" s="1183"/>
    </row>
    <row r="303" spans="1:17" ht="15.75" x14ac:dyDescent="0.25">
      <c r="A303" s="1183"/>
      <c r="B303" s="1241"/>
      <c r="C303" s="1242"/>
      <c r="D303" s="1242"/>
      <c r="E303" s="1243"/>
      <c r="F303" s="1244"/>
      <c r="G303" s="1243"/>
      <c r="H303" s="1243"/>
      <c r="I303" s="1243"/>
      <c r="J303" s="1243"/>
      <c r="K303" s="1243"/>
      <c r="L303" s="1243"/>
      <c r="M303" s="1243"/>
      <c r="N303" s="1243"/>
      <c r="O303" s="1243"/>
      <c r="P303" s="1243"/>
      <c r="Q303" s="1243"/>
    </row>
    <row r="304" spans="1:17" ht="15.75" x14ac:dyDescent="0.25">
      <c r="A304" s="1183"/>
      <c r="B304" s="1245"/>
      <c r="C304" s="1183"/>
      <c r="D304" s="1183"/>
      <c r="E304" s="1194"/>
      <c r="F304" s="1237"/>
      <c r="G304" s="1183"/>
      <c r="H304" s="1183"/>
      <c r="I304" s="1183"/>
      <c r="J304" s="1183"/>
      <c r="K304" s="1183"/>
      <c r="L304" s="1183"/>
      <c r="M304" s="1246"/>
      <c r="N304" s="1183"/>
      <c r="O304" s="1183"/>
      <c r="P304" s="1183"/>
      <c r="Q304" s="1183"/>
    </row>
    <row r="305" spans="1:17" ht="15.75" x14ac:dyDescent="0.25">
      <c r="A305" s="1183"/>
      <c r="B305" s="1245"/>
      <c r="C305" s="1183"/>
      <c r="D305" s="1183"/>
      <c r="E305" s="1194"/>
      <c r="F305" s="1237"/>
      <c r="G305" s="1183"/>
      <c r="H305" s="1183"/>
      <c r="I305" s="1183"/>
      <c r="J305" s="1183"/>
      <c r="K305" s="1183"/>
      <c r="L305" s="1183"/>
      <c r="M305" s="1246"/>
      <c r="N305" s="1183"/>
      <c r="O305" s="1183"/>
      <c r="P305" s="1183"/>
      <c r="Q305" s="1183"/>
    </row>
    <row r="306" spans="1:17" ht="15.75" x14ac:dyDescent="0.25">
      <c r="A306" s="1183"/>
      <c r="B306" s="1245"/>
      <c r="C306" s="1183"/>
      <c r="D306" s="1183"/>
      <c r="E306" s="1194"/>
      <c r="F306" s="1237"/>
      <c r="G306" s="1183"/>
      <c r="H306" s="1183"/>
      <c r="I306" s="1183"/>
      <c r="J306" s="1183"/>
      <c r="K306" s="1183"/>
      <c r="L306" s="1183"/>
      <c r="M306" s="1246"/>
      <c r="N306" s="1183"/>
      <c r="O306" s="1183"/>
      <c r="P306" s="1183"/>
      <c r="Q306" s="1183"/>
    </row>
    <row r="307" spans="1:17" ht="15.75" x14ac:dyDescent="0.25">
      <c r="A307" s="1183"/>
      <c r="B307" s="1245"/>
      <c r="C307" s="1183"/>
      <c r="D307" s="1183"/>
      <c r="E307" s="1194"/>
      <c r="F307" s="1237"/>
      <c r="G307" s="1183"/>
      <c r="H307" s="1183"/>
      <c r="I307" s="1183"/>
      <c r="J307" s="1183"/>
      <c r="K307" s="1183"/>
      <c r="L307" s="1183"/>
      <c r="M307" s="1246"/>
      <c r="N307" s="1183"/>
      <c r="O307" s="1183"/>
      <c r="P307" s="1183"/>
      <c r="Q307" s="1183"/>
    </row>
    <row r="308" spans="1:17" ht="15.75" x14ac:dyDescent="0.25">
      <c r="A308" s="1183"/>
      <c r="B308" s="1245"/>
      <c r="C308" s="1183"/>
      <c r="D308" s="1183"/>
      <c r="E308" s="1194"/>
      <c r="F308" s="1237"/>
      <c r="G308" s="1183"/>
      <c r="H308" s="1183"/>
      <c r="I308" s="1183"/>
      <c r="J308" s="1183"/>
      <c r="K308" s="1183"/>
      <c r="L308" s="1183"/>
      <c r="M308" s="1246"/>
      <c r="N308" s="1183"/>
      <c r="O308" s="1183"/>
      <c r="P308" s="1183"/>
      <c r="Q308" s="1183"/>
    </row>
    <row r="309" spans="1:17" ht="15.75" x14ac:dyDescent="0.25">
      <c r="A309" s="1183"/>
      <c r="B309" s="1245"/>
      <c r="C309" s="1183"/>
      <c r="D309" s="1183"/>
      <c r="E309" s="1194"/>
      <c r="F309" s="1237"/>
      <c r="G309" s="1183"/>
      <c r="H309" s="1183"/>
      <c r="I309" s="1183"/>
      <c r="J309" s="1183"/>
      <c r="K309" s="1183"/>
      <c r="L309" s="1183"/>
      <c r="M309" s="1246"/>
      <c r="N309" s="1183"/>
      <c r="O309" s="1183"/>
      <c r="P309" s="1183"/>
      <c r="Q309" s="1183"/>
    </row>
    <row r="310" spans="1:17" ht="15.75" x14ac:dyDescent="0.25">
      <c r="A310" s="1183"/>
      <c r="B310" s="1245"/>
      <c r="C310" s="1183"/>
      <c r="D310" s="1183"/>
      <c r="E310" s="1194"/>
      <c r="F310" s="1237"/>
      <c r="G310" s="1183"/>
      <c r="H310" s="1183"/>
      <c r="I310" s="1183"/>
      <c r="J310" s="1183"/>
      <c r="K310" s="1183"/>
      <c r="L310" s="1183"/>
      <c r="M310" s="1246"/>
      <c r="N310" s="1183"/>
      <c r="O310" s="1183"/>
      <c r="P310" s="1183"/>
      <c r="Q310" s="1183"/>
    </row>
    <row r="311" spans="1:17" ht="15.75" x14ac:dyDescent="0.25">
      <c r="A311" s="1183"/>
      <c r="B311" s="1245"/>
      <c r="C311" s="1183"/>
      <c r="D311" s="1183"/>
      <c r="E311" s="1194"/>
      <c r="F311" s="1237"/>
      <c r="G311" s="1183"/>
      <c r="H311" s="1183"/>
      <c r="I311" s="1183"/>
      <c r="J311" s="1183"/>
      <c r="K311" s="1183"/>
      <c r="L311" s="1183"/>
      <c r="M311" s="1246"/>
      <c r="N311" s="1183"/>
      <c r="O311" s="1183"/>
      <c r="P311" s="1183"/>
      <c r="Q311" s="1183"/>
    </row>
    <row r="312" spans="1:17" ht="15.75" x14ac:dyDescent="0.25">
      <c r="A312" s="1183"/>
      <c r="B312" s="1245"/>
      <c r="C312" s="1183"/>
      <c r="D312" s="1183"/>
      <c r="E312" s="1194"/>
      <c r="F312" s="1237"/>
      <c r="G312" s="1183"/>
      <c r="H312" s="1183"/>
      <c r="I312" s="1183"/>
      <c r="J312" s="1183"/>
      <c r="K312" s="1183"/>
      <c r="L312" s="1183"/>
      <c r="M312" s="1246"/>
      <c r="N312" s="1183"/>
      <c r="O312" s="1183"/>
      <c r="P312" s="1183"/>
      <c r="Q312" s="1183"/>
    </row>
    <row r="313" spans="1:17" ht="15.75" x14ac:dyDescent="0.25">
      <c r="A313" s="1183"/>
      <c r="B313" s="1245"/>
      <c r="C313" s="1183"/>
      <c r="D313" s="1183"/>
      <c r="E313" s="1194"/>
      <c r="F313" s="1237"/>
      <c r="G313" s="1183"/>
      <c r="H313" s="1183"/>
      <c r="I313" s="1183"/>
      <c r="J313" s="1183"/>
      <c r="K313" s="1183"/>
      <c r="L313" s="1183"/>
      <c r="M313" s="1246"/>
      <c r="N313" s="1183"/>
      <c r="O313" s="1183"/>
      <c r="P313" s="1183"/>
      <c r="Q313" s="1183"/>
    </row>
    <row r="314" spans="1:17" ht="15.75" x14ac:dyDescent="0.25">
      <c r="A314" s="1183"/>
      <c r="B314" s="1245"/>
      <c r="C314" s="1183"/>
      <c r="D314" s="1183"/>
      <c r="E314" s="1194"/>
      <c r="F314" s="1237"/>
      <c r="G314" s="1183"/>
      <c r="H314" s="1183"/>
      <c r="I314" s="1183"/>
      <c r="J314" s="1183"/>
      <c r="K314" s="1183"/>
      <c r="L314" s="1183"/>
      <c r="M314" s="1246"/>
      <c r="N314" s="1183"/>
      <c r="O314" s="1183"/>
      <c r="P314" s="1183"/>
      <c r="Q314" s="1183"/>
    </row>
    <row r="315" spans="1:17" ht="15.75" x14ac:dyDescent="0.25">
      <c r="A315" s="1183"/>
      <c r="B315" s="1245"/>
      <c r="C315" s="1183"/>
      <c r="D315" s="1183"/>
      <c r="E315" s="1194"/>
      <c r="F315" s="1237"/>
      <c r="G315" s="1183"/>
      <c r="H315" s="1183"/>
      <c r="I315" s="1183"/>
      <c r="J315" s="1183"/>
      <c r="K315" s="1183"/>
      <c r="L315" s="1183"/>
      <c r="M315" s="1246"/>
      <c r="N315" s="1183"/>
      <c r="O315" s="1183"/>
      <c r="P315" s="1183"/>
      <c r="Q315" s="1183"/>
    </row>
    <row r="316" spans="1:17" ht="15.75" x14ac:dyDescent="0.25">
      <c r="A316" s="1183"/>
      <c r="B316" s="1245"/>
      <c r="C316" s="1183"/>
      <c r="D316" s="1183"/>
      <c r="E316" s="1194"/>
      <c r="F316" s="1237"/>
      <c r="G316" s="1183"/>
      <c r="H316" s="1183"/>
      <c r="I316" s="1183"/>
      <c r="J316" s="1183"/>
      <c r="K316" s="1183"/>
      <c r="L316" s="1183"/>
      <c r="M316" s="1246"/>
      <c r="N316" s="1183"/>
      <c r="O316" s="1183"/>
      <c r="P316" s="1183"/>
      <c r="Q316" s="1183"/>
    </row>
    <row r="317" spans="1:17" ht="15.75" x14ac:dyDescent="0.25">
      <c r="A317" s="1183"/>
      <c r="B317" s="1245"/>
      <c r="C317" s="1183"/>
      <c r="D317" s="1183"/>
      <c r="E317" s="1194"/>
      <c r="F317" s="1237"/>
      <c r="G317" s="1183"/>
      <c r="H317" s="1183"/>
      <c r="I317" s="1183"/>
      <c r="J317" s="1183"/>
      <c r="K317" s="1183"/>
      <c r="L317" s="1183"/>
      <c r="M317" s="1246"/>
      <c r="N317" s="1183"/>
      <c r="O317" s="1183"/>
      <c r="P317" s="1183"/>
      <c r="Q317" s="1183"/>
    </row>
    <row r="318" spans="1:17" ht="15.75" x14ac:dyDescent="0.25">
      <c r="A318" s="1183"/>
      <c r="B318" s="1245"/>
      <c r="C318" s="1183"/>
      <c r="D318" s="1183"/>
      <c r="E318" s="1194"/>
      <c r="F318" s="1237"/>
      <c r="G318" s="1183"/>
      <c r="H318" s="1183"/>
      <c r="I318" s="1183"/>
      <c r="J318" s="1183"/>
      <c r="K318" s="1183"/>
      <c r="L318" s="1183"/>
      <c r="M318" s="1246"/>
      <c r="N318" s="1183"/>
      <c r="O318" s="1183"/>
      <c r="P318" s="1183"/>
      <c r="Q318" s="1183"/>
    </row>
    <row r="319" spans="1:17" ht="15.75" x14ac:dyDescent="0.25">
      <c r="A319" s="1183"/>
      <c r="B319" s="1245"/>
      <c r="C319" s="1183"/>
      <c r="D319" s="1183"/>
      <c r="E319" s="1194"/>
      <c r="F319" s="1237"/>
      <c r="G319" s="1183"/>
      <c r="H319" s="1183"/>
      <c r="I319" s="1183"/>
      <c r="J319" s="1183"/>
      <c r="K319" s="1183"/>
      <c r="L319" s="1183"/>
      <c r="M319" s="1246"/>
      <c r="N319" s="1183"/>
      <c r="O319" s="1183"/>
      <c r="P319" s="1183"/>
      <c r="Q319" s="1183"/>
    </row>
    <row r="320" spans="1:17" ht="15.75" x14ac:dyDescent="0.25">
      <c r="A320" s="1183"/>
      <c r="B320" s="1245"/>
      <c r="C320" s="1183"/>
      <c r="D320" s="1183"/>
      <c r="E320" s="1194"/>
      <c r="F320" s="1237"/>
      <c r="G320" s="1183"/>
      <c r="H320" s="1183"/>
      <c r="I320" s="1183"/>
      <c r="J320" s="1183"/>
      <c r="K320" s="1183"/>
      <c r="L320" s="1183"/>
      <c r="M320" s="1246"/>
      <c r="N320" s="1183"/>
      <c r="O320" s="1183"/>
      <c r="P320" s="1183"/>
      <c r="Q320" s="1183"/>
    </row>
    <row r="321" spans="1:17" ht="15.75" x14ac:dyDescent="0.25">
      <c r="A321" s="1183"/>
      <c r="B321" s="1245"/>
      <c r="C321" s="1183"/>
      <c r="D321" s="1183"/>
      <c r="E321" s="1194"/>
      <c r="F321" s="1237"/>
      <c r="G321" s="1183"/>
      <c r="H321" s="1183"/>
      <c r="I321" s="1183"/>
      <c r="J321" s="1183"/>
      <c r="K321" s="1183"/>
      <c r="L321" s="1183"/>
      <c r="M321" s="1246"/>
      <c r="N321" s="1183"/>
      <c r="O321" s="1183"/>
      <c r="P321" s="1183"/>
      <c r="Q321" s="1183"/>
    </row>
    <row r="322" spans="1:17" ht="15.75" x14ac:dyDescent="0.25">
      <c r="A322" s="1183"/>
      <c r="B322" s="1245"/>
      <c r="C322" s="1183"/>
      <c r="D322" s="1183"/>
      <c r="E322" s="1194"/>
      <c r="F322" s="1237"/>
      <c r="G322" s="1183"/>
      <c r="H322" s="1183"/>
      <c r="I322" s="1183"/>
      <c r="J322" s="1183"/>
      <c r="K322" s="1183"/>
      <c r="L322" s="1183"/>
      <c r="M322" s="1246"/>
      <c r="N322" s="1183"/>
      <c r="O322" s="1183"/>
      <c r="P322" s="1183"/>
      <c r="Q322" s="1183"/>
    </row>
    <row r="323" spans="1:17" ht="15.75" x14ac:dyDescent="0.25">
      <c r="A323" s="1183"/>
      <c r="B323" s="1245"/>
      <c r="C323" s="1183"/>
      <c r="D323" s="1183"/>
      <c r="E323" s="1194"/>
      <c r="F323" s="1237"/>
      <c r="G323" s="1183"/>
      <c r="H323" s="1183"/>
      <c r="I323" s="1183"/>
      <c r="J323" s="1183"/>
      <c r="K323" s="1183"/>
      <c r="L323" s="1183"/>
      <c r="M323" s="1246"/>
      <c r="N323" s="1183"/>
      <c r="O323" s="1183"/>
      <c r="P323" s="1183"/>
      <c r="Q323" s="1183"/>
    </row>
    <row r="324" spans="1:17" ht="15.75" x14ac:dyDescent="0.25">
      <c r="A324" s="1183"/>
      <c r="B324" s="1245"/>
      <c r="C324" s="1183"/>
      <c r="D324" s="1183"/>
      <c r="E324" s="1194"/>
      <c r="F324" s="1237"/>
      <c r="G324" s="1183"/>
      <c r="H324" s="1183"/>
      <c r="I324" s="1183"/>
      <c r="J324" s="1183"/>
      <c r="K324" s="1183"/>
      <c r="L324" s="1183"/>
      <c r="M324" s="1246"/>
      <c r="N324" s="1183"/>
      <c r="O324" s="1183"/>
      <c r="P324" s="1183"/>
      <c r="Q324" s="1183"/>
    </row>
    <row r="325" spans="1:17" ht="15.75" x14ac:dyDescent="0.25">
      <c r="A325" s="1183"/>
      <c r="B325" s="1245"/>
      <c r="C325" s="1183"/>
      <c r="D325" s="1183"/>
      <c r="E325" s="1194"/>
      <c r="F325" s="1237"/>
      <c r="G325" s="1183"/>
      <c r="H325" s="1183"/>
      <c r="I325" s="1183"/>
      <c r="J325" s="1183"/>
      <c r="K325" s="1183"/>
      <c r="L325" s="1183"/>
      <c r="M325" s="1246"/>
      <c r="N325" s="1183"/>
      <c r="O325" s="1183"/>
      <c r="P325" s="1183"/>
      <c r="Q325" s="1183"/>
    </row>
    <row r="326" spans="1:17" ht="15.75" x14ac:dyDescent="0.25">
      <c r="A326" s="1183"/>
      <c r="B326" s="1245"/>
      <c r="C326" s="1183"/>
      <c r="D326" s="1183"/>
      <c r="E326" s="1194"/>
      <c r="F326" s="1237"/>
      <c r="G326" s="1183"/>
      <c r="H326" s="1183"/>
      <c r="I326" s="1183"/>
      <c r="J326" s="1183"/>
      <c r="K326" s="1183"/>
      <c r="L326" s="1183"/>
      <c r="M326" s="1246"/>
      <c r="N326" s="1183"/>
      <c r="O326" s="1183"/>
      <c r="P326" s="1183"/>
      <c r="Q326" s="1183"/>
    </row>
    <row r="327" spans="1:17" ht="15.75" x14ac:dyDescent="0.25">
      <c r="A327" s="1183"/>
      <c r="B327" s="1245"/>
      <c r="C327" s="1183"/>
      <c r="D327" s="1183"/>
      <c r="E327" s="1194"/>
      <c r="F327" s="1237"/>
      <c r="G327" s="1183"/>
      <c r="H327" s="1183"/>
      <c r="I327" s="1183"/>
      <c r="J327" s="1183"/>
      <c r="K327" s="1183"/>
      <c r="L327" s="1183"/>
      <c r="M327" s="1246"/>
      <c r="N327" s="1183"/>
      <c r="O327" s="1183"/>
      <c r="P327" s="1183"/>
      <c r="Q327" s="1183"/>
    </row>
    <row r="328" spans="1:17" ht="15.75" x14ac:dyDescent="0.25">
      <c r="A328" s="1183"/>
      <c r="B328" s="1245"/>
      <c r="C328" s="1183"/>
      <c r="D328" s="1183"/>
      <c r="E328" s="1194"/>
      <c r="F328" s="1237"/>
      <c r="G328" s="1183"/>
      <c r="H328" s="1183"/>
      <c r="I328" s="1183"/>
      <c r="J328" s="1183"/>
      <c r="K328" s="1183"/>
      <c r="L328" s="1183"/>
      <c r="M328" s="1246"/>
      <c r="N328" s="1183"/>
      <c r="O328" s="1183"/>
      <c r="P328" s="1183"/>
      <c r="Q328" s="1183"/>
    </row>
    <row r="329" spans="1:17" ht="15.75" x14ac:dyDescent="0.25">
      <c r="A329" s="1183"/>
      <c r="B329" s="1245"/>
      <c r="C329" s="1183"/>
      <c r="D329" s="1183"/>
      <c r="E329" s="1194"/>
      <c r="F329" s="1237"/>
      <c r="G329" s="1183"/>
      <c r="H329" s="1183"/>
      <c r="I329" s="1183"/>
      <c r="J329" s="1183"/>
      <c r="K329" s="1183"/>
      <c r="L329" s="1183"/>
      <c r="M329" s="1246"/>
      <c r="N329" s="1183"/>
      <c r="O329" s="1183"/>
      <c r="P329" s="1183"/>
      <c r="Q329" s="1183"/>
    </row>
    <row r="330" spans="1:17" ht="15.75" x14ac:dyDescent="0.25">
      <c r="A330" s="1183"/>
      <c r="B330" s="1245"/>
      <c r="C330" s="1183"/>
      <c r="D330" s="1183"/>
      <c r="E330" s="1194"/>
      <c r="F330" s="1237"/>
      <c r="G330" s="1183"/>
      <c r="H330" s="1183"/>
      <c r="I330" s="1183"/>
      <c r="J330" s="1183"/>
      <c r="K330" s="1183"/>
      <c r="L330" s="1183"/>
      <c r="M330" s="1246"/>
      <c r="N330" s="1183"/>
      <c r="O330" s="1183"/>
      <c r="P330" s="1183"/>
      <c r="Q330" s="1183"/>
    </row>
    <row r="331" spans="1:17" ht="15.75" x14ac:dyDescent="0.25">
      <c r="A331" s="1183"/>
      <c r="B331" s="1245"/>
      <c r="C331" s="1183"/>
      <c r="D331" s="1183"/>
      <c r="E331" s="1194"/>
      <c r="F331" s="1237"/>
      <c r="G331" s="1183"/>
      <c r="H331" s="1183"/>
      <c r="I331" s="1183"/>
      <c r="J331" s="1183"/>
      <c r="K331" s="1183"/>
      <c r="L331" s="1183"/>
      <c r="M331" s="1246"/>
      <c r="N331" s="1183"/>
      <c r="O331" s="1183"/>
      <c r="P331" s="1183"/>
      <c r="Q331" s="1183"/>
    </row>
    <row r="332" spans="1:17" ht="15.75" x14ac:dyDescent="0.25">
      <c r="A332" s="1183"/>
      <c r="B332" s="1245"/>
      <c r="C332" s="1183"/>
      <c r="D332" s="1183"/>
      <c r="E332" s="1194"/>
      <c r="F332" s="1237"/>
      <c r="G332" s="1183"/>
      <c r="H332" s="1183"/>
      <c r="I332" s="1183"/>
      <c r="J332" s="1183"/>
      <c r="K332" s="1183"/>
      <c r="L332" s="1183"/>
      <c r="M332" s="1246"/>
      <c r="N332" s="1183"/>
      <c r="O332" s="1183"/>
      <c r="P332" s="1183"/>
      <c r="Q332" s="1183"/>
    </row>
    <row r="333" spans="1:17" ht="15.75" x14ac:dyDescent="0.25">
      <c r="A333" s="1183"/>
      <c r="B333" s="1245"/>
      <c r="C333" s="1183"/>
      <c r="D333" s="1183"/>
      <c r="E333" s="1194"/>
      <c r="F333" s="1237"/>
      <c r="G333" s="1183"/>
      <c r="H333" s="1183"/>
      <c r="I333" s="1183"/>
      <c r="J333" s="1183"/>
      <c r="K333" s="1183"/>
      <c r="L333" s="1183"/>
      <c r="M333" s="1246"/>
      <c r="N333" s="1183"/>
      <c r="O333" s="1183"/>
      <c r="P333" s="1183"/>
      <c r="Q333" s="1183"/>
    </row>
    <row r="334" spans="1:17" ht="15.75" x14ac:dyDescent="0.25">
      <c r="A334" s="1183"/>
      <c r="B334" s="1245"/>
      <c r="C334" s="1183"/>
      <c r="D334" s="1183"/>
      <c r="E334" s="1194"/>
      <c r="F334" s="1237"/>
      <c r="G334" s="1183"/>
      <c r="H334" s="1183"/>
      <c r="I334" s="1183"/>
      <c r="J334" s="1183"/>
      <c r="K334" s="1183"/>
      <c r="L334" s="1183"/>
      <c r="M334" s="1246"/>
      <c r="N334" s="1183"/>
      <c r="O334" s="1183"/>
      <c r="P334" s="1183"/>
      <c r="Q334" s="1183"/>
    </row>
    <row r="335" spans="1:17" ht="15.75" x14ac:dyDescent="0.25">
      <c r="A335" s="1183"/>
      <c r="B335" s="1245"/>
      <c r="C335" s="1183"/>
      <c r="D335" s="1183"/>
      <c r="E335" s="1194"/>
      <c r="F335" s="1237"/>
      <c r="G335" s="1183"/>
      <c r="H335" s="1183"/>
      <c r="I335" s="1183"/>
      <c r="J335" s="1183"/>
      <c r="K335" s="1183"/>
      <c r="L335" s="1183"/>
      <c r="M335" s="1246"/>
      <c r="N335" s="1183"/>
      <c r="O335" s="1183"/>
      <c r="P335" s="1183"/>
      <c r="Q335" s="1183"/>
    </row>
    <row r="336" spans="1:17" ht="15.75" x14ac:dyDescent="0.25">
      <c r="A336" s="1183"/>
      <c r="B336" s="1245"/>
      <c r="C336" s="1183"/>
      <c r="D336" s="1183"/>
      <c r="E336" s="1194"/>
      <c r="F336" s="1237"/>
      <c r="G336" s="1183"/>
      <c r="H336" s="1183"/>
      <c r="I336" s="1183"/>
      <c r="J336" s="1183"/>
      <c r="K336" s="1183"/>
      <c r="L336" s="1183"/>
      <c r="M336" s="1246"/>
      <c r="N336" s="1183"/>
      <c r="O336" s="1183"/>
      <c r="P336" s="1183"/>
      <c r="Q336" s="1183"/>
    </row>
    <row r="337" spans="1:17" ht="15.75" x14ac:dyDescent="0.25">
      <c r="A337" s="1183"/>
      <c r="B337" s="1245"/>
      <c r="C337" s="1183"/>
      <c r="D337" s="1183"/>
      <c r="E337" s="1194"/>
      <c r="F337" s="1237"/>
      <c r="G337" s="1183"/>
      <c r="H337" s="1183"/>
      <c r="I337" s="1183"/>
      <c r="J337" s="1183"/>
      <c r="K337" s="1183"/>
      <c r="L337" s="1183"/>
      <c r="M337" s="1246"/>
      <c r="N337" s="1183"/>
      <c r="O337" s="1183"/>
      <c r="P337" s="1183"/>
      <c r="Q337" s="1183"/>
    </row>
    <row r="338" spans="1:17" ht="15.75" x14ac:dyDescent="0.25">
      <c r="A338" s="1183"/>
      <c r="B338" s="1245"/>
      <c r="C338" s="1183"/>
      <c r="D338" s="1183"/>
      <c r="E338" s="1194"/>
      <c r="F338" s="1237"/>
      <c r="G338" s="1183"/>
      <c r="H338" s="1183"/>
      <c r="I338" s="1183"/>
      <c r="J338" s="1183"/>
      <c r="K338" s="1183"/>
      <c r="L338" s="1183"/>
      <c r="M338" s="1246"/>
      <c r="N338" s="1183"/>
      <c r="O338" s="1183"/>
      <c r="P338" s="1183"/>
      <c r="Q338" s="1183"/>
    </row>
    <row r="339" spans="1:17" ht="15.75" x14ac:dyDescent="0.25">
      <c r="A339" s="1183"/>
      <c r="B339" s="1240"/>
      <c r="C339" s="1183"/>
      <c r="D339" s="1183"/>
      <c r="E339" s="1194"/>
      <c r="F339" s="1237"/>
      <c r="G339" s="1182"/>
      <c r="H339" s="1182"/>
      <c r="I339" s="1182"/>
      <c r="J339" s="1182"/>
      <c r="K339" s="1182"/>
      <c r="L339" s="1182"/>
      <c r="M339" s="1182"/>
      <c r="N339" s="1182"/>
      <c r="O339" s="1182"/>
      <c r="P339" s="1182"/>
      <c r="Q339" s="1182"/>
    </row>
    <row r="340" spans="1:17" ht="15.75" x14ac:dyDescent="0.25">
      <c r="A340" s="1183"/>
      <c r="B340" s="1241"/>
      <c r="C340" s="1183"/>
      <c r="D340" s="1183"/>
      <c r="E340" s="1194"/>
      <c r="F340" s="1237"/>
      <c r="G340" s="1182"/>
      <c r="H340" s="1182"/>
      <c r="I340" s="1182"/>
      <c r="J340" s="1182"/>
      <c r="K340" s="1182"/>
      <c r="L340" s="1182"/>
      <c r="M340" s="1182"/>
      <c r="N340" s="1182"/>
      <c r="O340" s="1182"/>
      <c r="P340" s="1182"/>
      <c r="Q340" s="1182"/>
    </row>
    <row r="341" spans="1:17" ht="15.75" x14ac:dyDescent="0.25">
      <c r="A341" s="1183"/>
      <c r="B341" s="1245"/>
      <c r="C341" s="1183"/>
      <c r="D341" s="1183"/>
      <c r="E341" s="1194"/>
      <c r="F341" s="1237"/>
      <c r="G341" s="1183"/>
      <c r="H341" s="1183"/>
      <c r="I341" s="1183"/>
      <c r="J341" s="1183"/>
      <c r="K341" s="1183"/>
      <c r="L341" s="1183"/>
      <c r="M341" s="1246"/>
      <c r="N341" s="1183"/>
      <c r="O341" s="1183"/>
      <c r="P341" s="1183"/>
      <c r="Q341" s="1183"/>
    </row>
    <row r="342" spans="1:17" ht="15.75" x14ac:dyDescent="0.25">
      <c r="A342" s="1183"/>
      <c r="B342" s="1245"/>
      <c r="C342" s="1183"/>
      <c r="D342" s="1183"/>
      <c r="E342" s="1194"/>
      <c r="F342" s="1237"/>
      <c r="G342" s="1183"/>
      <c r="H342" s="1183"/>
      <c r="I342" s="1183"/>
      <c r="J342" s="1183"/>
      <c r="K342" s="1183"/>
      <c r="L342" s="1183"/>
      <c r="M342" s="1246"/>
      <c r="N342" s="1183"/>
      <c r="O342" s="1183"/>
      <c r="P342" s="1183"/>
      <c r="Q342" s="1183"/>
    </row>
    <row r="343" spans="1:17" ht="15.75" x14ac:dyDescent="0.25">
      <c r="A343" s="1183"/>
      <c r="B343" s="1245"/>
      <c r="C343" s="1183"/>
      <c r="D343" s="1183"/>
      <c r="E343" s="1194"/>
      <c r="F343" s="1237"/>
      <c r="G343" s="1183"/>
      <c r="H343" s="1183"/>
      <c r="I343" s="1183"/>
      <c r="J343" s="1183"/>
      <c r="K343" s="1183"/>
      <c r="L343" s="1183"/>
      <c r="M343" s="1246"/>
      <c r="N343" s="1183"/>
      <c r="O343" s="1183"/>
      <c r="P343" s="1183"/>
      <c r="Q343" s="1183"/>
    </row>
    <row r="344" spans="1:17" ht="15.75" x14ac:dyDescent="0.25">
      <c r="A344" s="1183"/>
      <c r="B344" s="1245"/>
      <c r="C344" s="1183"/>
      <c r="D344" s="1183"/>
      <c r="E344" s="1194"/>
      <c r="F344" s="1237"/>
      <c r="G344" s="1183"/>
      <c r="H344" s="1183"/>
      <c r="I344" s="1183"/>
      <c r="J344" s="1183"/>
      <c r="K344" s="1183"/>
      <c r="L344" s="1183"/>
      <c r="M344" s="1246"/>
      <c r="N344" s="1183"/>
      <c r="O344" s="1183"/>
      <c r="P344" s="1183"/>
      <c r="Q344" s="1183"/>
    </row>
    <row r="345" spans="1:17" ht="15.75" x14ac:dyDescent="0.25">
      <c r="A345" s="1183"/>
      <c r="B345" s="1245"/>
      <c r="C345" s="1183"/>
      <c r="D345" s="1183"/>
      <c r="E345" s="1194"/>
      <c r="F345" s="1237"/>
      <c r="G345" s="1183"/>
      <c r="H345" s="1183"/>
      <c r="I345" s="1183"/>
      <c r="J345" s="1183"/>
      <c r="K345" s="1183"/>
      <c r="L345" s="1183"/>
      <c r="M345" s="1246"/>
      <c r="N345" s="1183"/>
      <c r="O345" s="1183"/>
      <c r="P345" s="1183"/>
      <c r="Q345" s="1183"/>
    </row>
    <row r="346" spans="1:17" ht="15.75" x14ac:dyDescent="0.25">
      <c r="A346" s="1183"/>
      <c r="B346" s="1245"/>
      <c r="C346" s="1183"/>
      <c r="D346" s="1183"/>
      <c r="E346" s="1194"/>
      <c r="F346" s="1237"/>
      <c r="G346" s="1183"/>
      <c r="H346" s="1183"/>
      <c r="I346" s="1183"/>
      <c r="J346" s="1183"/>
      <c r="K346" s="1183"/>
      <c r="L346" s="1183"/>
      <c r="M346" s="1246"/>
      <c r="N346" s="1183"/>
      <c r="O346" s="1183"/>
      <c r="P346" s="1183"/>
      <c r="Q346" s="1183"/>
    </row>
    <row r="347" spans="1:17" ht="15.75" x14ac:dyDescent="0.25">
      <c r="A347" s="1183"/>
      <c r="B347" s="1245"/>
      <c r="C347" s="1183"/>
      <c r="D347" s="1183"/>
      <c r="E347" s="1194"/>
      <c r="F347" s="1237"/>
      <c r="G347" s="1183"/>
      <c r="H347" s="1183"/>
      <c r="I347" s="1183"/>
      <c r="J347" s="1183"/>
      <c r="K347" s="1183"/>
      <c r="L347" s="1183"/>
      <c r="M347" s="1246"/>
      <c r="N347" s="1183"/>
      <c r="O347" s="1183"/>
      <c r="P347" s="1183"/>
      <c r="Q347" s="1183"/>
    </row>
    <row r="348" spans="1:17" ht="15.75" x14ac:dyDescent="0.25">
      <c r="A348" s="1183"/>
      <c r="B348" s="1245"/>
      <c r="C348" s="1183"/>
      <c r="D348" s="1183"/>
      <c r="E348" s="1194"/>
      <c r="F348" s="1237"/>
      <c r="G348" s="1183"/>
      <c r="H348" s="1183"/>
      <c r="I348" s="1183"/>
      <c r="J348" s="1183"/>
      <c r="K348" s="1183"/>
      <c r="L348" s="1183"/>
      <c r="M348" s="1246"/>
      <c r="N348" s="1183"/>
      <c r="O348" s="1183"/>
      <c r="P348" s="1183"/>
      <c r="Q348" s="1183"/>
    </row>
    <row r="349" spans="1:17" ht="15.75" x14ac:dyDescent="0.25">
      <c r="A349" s="1183"/>
      <c r="B349" s="1245"/>
      <c r="C349" s="1183"/>
      <c r="D349" s="1183"/>
      <c r="E349" s="1194"/>
      <c r="F349" s="1237"/>
      <c r="G349" s="1183"/>
      <c r="H349" s="1183"/>
      <c r="I349" s="1183"/>
      <c r="J349" s="1183"/>
      <c r="K349" s="1183"/>
      <c r="L349" s="1183"/>
      <c r="M349" s="1246"/>
      <c r="N349" s="1183"/>
      <c r="O349" s="1183"/>
      <c r="P349" s="1183"/>
      <c r="Q349" s="1183"/>
    </row>
    <row r="350" spans="1:17" ht="15.75" x14ac:dyDescent="0.25">
      <c r="A350" s="1183"/>
      <c r="B350" s="1240"/>
      <c r="C350" s="1183"/>
      <c r="D350" s="1183"/>
      <c r="E350" s="1182"/>
      <c r="F350" s="1237"/>
      <c r="G350" s="1182"/>
      <c r="H350" s="1182"/>
      <c r="I350" s="1182"/>
      <c r="J350" s="1182"/>
      <c r="K350" s="1182"/>
      <c r="L350" s="1182"/>
      <c r="M350" s="1182"/>
      <c r="N350" s="1182"/>
      <c r="O350" s="1182"/>
      <c r="P350" s="1182"/>
      <c r="Q350" s="1182"/>
    </row>
    <row r="351" spans="1:17" ht="15.75" x14ac:dyDescent="0.25">
      <c r="A351" s="1183"/>
      <c r="B351" s="1241"/>
      <c r="C351" s="1242"/>
      <c r="D351" s="1242"/>
      <c r="E351" s="1243"/>
      <c r="F351" s="1244"/>
      <c r="G351" s="1243"/>
      <c r="H351" s="1243"/>
      <c r="I351" s="1243"/>
      <c r="J351" s="1243"/>
      <c r="K351" s="1243"/>
      <c r="L351" s="1243"/>
      <c r="M351" s="1243"/>
      <c r="N351" s="1243"/>
      <c r="O351" s="1243"/>
      <c r="P351" s="1243"/>
      <c r="Q351" s="1243"/>
    </row>
    <row r="352" spans="1:17" ht="15.75" x14ac:dyDescent="0.25">
      <c r="A352" s="1183"/>
      <c r="B352" s="1245"/>
      <c r="C352" s="1183"/>
      <c r="D352" s="1183"/>
      <c r="E352" s="1194"/>
      <c r="F352" s="1237"/>
      <c r="G352" s="1183"/>
      <c r="H352" s="1183"/>
      <c r="I352" s="1183"/>
      <c r="J352" s="1183"/>
      <c r="K352" s="1183"/>
      <c r="L352" s="1183"/>
      <c r="M352" s="1246"/>
      <c r="N352" s="1183"/>
      <c r="O352" s="1183"/>
      <c r="P352" s="1183"/>
      <c r="Q352" s="1183"/>
    </row>
    <row r="353" spans="1:17" ht="15.75" x14ac:dyDescent="0.25">
      <c r="A353" s="1183"/>
      <c r="B353" s="1245"/>
      <c r="C353" s="1183"/>
      <c r="D353" s="1183"/>
      <c r="E353" s="1194"/>
      <c r="F353" s="1237"/>
      <c r="G353" s="1183"/>
      <c r="H353" s="1183"/>
      <c r="I353" s="1183"/>
      <c r="J353" s="1183"/>
      <c r="K353" s="1183"/>
      <c r="L353" s="1183"/>
      <c r="M353" s="1246"/>
      <c r="N353" s="1183"/>
      <c r="O353" s="1183"/>
      <c r="P353" s="1183"/>
      <c r="Q353" s="1183"/>
    </row>
    <row r="354" spans="1:17" ht="15.75" x14ac:dyDescent="0.25">
      <c r="A354" s="1183"/>
      <c r="B354" s="1247"/>
      <c r="C354" s="1248"/>
      <c r="D354" s="1248"/>
      <c r="E354" s="1249"/>
      <c r="F354" s="1250"/>
      <c r="G354" s="1248"/>
      <c r="H354" s="1248"/>
      <c r="I354" s="1248"/>
      <c r="J354" s="1248"/>
      <c r="K354" s="1248"/>
      <c r="L354" s="1248"/>
      <c r="M354" s="1251"/>
      <c r="N354" s="1248"/>
      <c r="O354" s="1248"/>
      <c r="P354" s="1248"/>
      <c r="Q354" s="1248"/>
    </row>
    <row r="355" spans="1:17" ht="15.75" x14ac:dyDescent="0.25">
      <c r="A355" s="1183"/>
      <c r="B355" s="1247"/>
      <c r="C355" s="1248"/>
      <c r="D355" s="1248"/>
      <c r="E355" s="1249"/>
      <c r="F355" s="1250"/>
      <c r="G355" s="1248"/>
      <c r="H355" s="1248"/>
      <c r="I355" s="1248"/>
      <c r="J355" s="1248"/>
      <c r="K355" s="1248"/>
      <c r="L355" s="1248"/>
      <c r="M355" s="1251"/>
      <c r="N355" s="1248"/>
      <c r="O355" s="1248"/>
      <c r="P355" s="1248"/>
      <c r="Q355" s="1248"/>
    </row>
    <row r="356" spans="1:17" ht="15.75" x14ac:dyDescent="0.25">
      <c r="A356" s="1183"/>
      <c r="B356" s="1247"/>
      <c r="C356" s="1248"/>
      <c r="D356" s="1248"/>
      <c r="E356" s="1249"/>
      <c r="F356" s="1250"/>
      <c r="G356" s="1248"/>
      <c r="H356" s="1248"/>
      <c r="I356" s="1248"/>
      <c r="J356" s="1248"/>
      <c r="K356" s="1248"/>
      <c r="L356" s="1248"/>
      <c r="M356" s="1251"/>
      <c r="N356" s="1248"/>
      <c r="O356" s="1248"/>
      <c r="P356" s="1248"/>
      <c r="Q356" s="1248"/>
    </row>
    <row r="357" spans="1:17" ht="15.75" x14ac:dyDescent="0.25">
      <c r="A357" s="1183"/>
      <c r="B357" s="1247"/>
      <c r="C357" s="1248"/>
      <c r="D357" s="1248"/>
      <c r="E357" s="1249"/>
      <c r="F357" s="1250"/>
      <c r="G357" s="1248"/>
      <c r="H357" s="1248"/>
      <c r="I357" s="1248"/>
      <c r="J357" s="1183"/>
      <c r="K357" s="1248"/>
      <c r="L357" s="1248"/>
      <c r="M357" s="1251"/>
      <c r="N357" s="1248"/>
      <c r="O357" s="1248"/>
      <c r="P357" s="1248"/>
      <c r="Q357" s="1248"/>
    </row>
    <row r="358" spans="1:17" ht="15.75" x14ac:dyDescent="0.25">
      <c r="A358" s="1183"/>
      <c r="B358" s="1247"/>
      <c r="C358" s="1248"/>
      <c r="D358" s="1248"/>
      <c r="E358" s="1249"/>
      <c r="F358" s="1250"/>
      <c r="G358" s="1248"/>
      <c r="H358" s="1248"/>
      <c r="I358" s="1248"/>
      <c r="J358" s="1183"/>
      <c r="K358" s="1248"/>
      <c r="L358" s="1248"/>
      <c r="M358" s="1251"/>
      <c r="N358" s="1248"/>
      <c r="O358" s="1248"/>
      <c r="P358" s="1248"/>
      <c r="Q358" s="1248"/>
    </row>
    <row r="359" spans="1:17" ht="15.75" x14ac:dyDescent="0.25">
      <c r="A359" s="1183"/>
      <c r="B359" s="1245"/>
      <c r="C359" s="1183"/>
      <c r="D359" s="1183"/>
      <c r="E359" s="1194"/>
      <c r="F359" s="1250"/>
      <c r="G359" s="1248"/>
      <c r="H359" s="1248"/>
      <c r="I359" s="1248"/>
      <c r="J359" s="1183"/>
      <c r="K359" s="1248"/>
      <c r="L359" s="1248"/>
      <c r="M359" s="1251"/>
      <c r="N359" s="1248"/>
      <c r="O359" s="1248"/>
      <c r="P359" s="1248"/>
      <c r="Q359" s="1248"/>
    </row>
    <row r="360" spans="1:17" ht="15.75" x14ac:dyDescent="0.25">
      <c r="A360" s="1183"/>
      <c r="B360" s="1241"/>
      <c r="C360" s="1242"/>
      <c r="D360" s="1242"/>
      <c r="E360" s="1243"/>
      <c r="F360" s="1244"/>
      <c r="G360" s="1243"/>
      <c r="H360" s="1243"/>
      <c r="I360" s="1243"/>
      <c r="J360" s="1243"/>
      <c r="K360" s="1243"/>
      <c r="L360" s="1243"/>
      <c r="M360" s="1243"/>
      <c r="N360" s="1243"/>
      <c r="O360" s="1243"/>
      <c r="P360" s="1243"/>
      <c r="Q360" s="1243"/>
    </row>
    <row r="361" spans="1:17" ht="15.75" x14ac:dyDescent="0.25">
      <c r="A361" s="1183"/>
      <c r="B361" s="1245"/>
      <c r="C361" s="1183"/>
      <c r="D361" s="1183"/>
      <c r="E361" s="1194"/>
      <c r="F361" s="1237"/>
      <c r="G361" s="1183"/>
      <c r="H361" s="1183"/>
      <c r="I361" s="1183"/>
      <c r="J361" s="1183"/>
      <c r="K361" s="1183"/>
      <c r="L361" s="1183"/>
      <c r="M361" s="1246"/>
      <c r="N361" s="1183"/>
      <c r="O361" s="1183"/>
      <c r="P361" s="1183"/>
      <c r="Q361" s="1183"/>
    </row>
    <row r="362" spans="1:17" ht="15.75" x14ac:dyDescent="0.25">
      <c r="A362" s="1183"/>
      <c r="B362" s="1245"/>
      <c r="C362" s="1183"/>
      <c r="D362" s="1183"/>
      <c r="E362" s="1194"/>
      <c r="F362" s="1237"/>
      <c r="G362" s="1183"/>
      <c r="H362" s="1183"/>
      <c r="I362" s="1183"/>
      <c r="J362" s="1183"/>
      <c r="K362" s="1183"/>
      <c r="L362" s="1183"/>
      <c r="M362" s="1246"/>
      <c r="N362" s="1183"/>
      <c r="O362" s="1183"/>
      <c r="P362" s="1183"/>
      <c r="Q362" s="1183"/>
    </row>
    <row r="363" spans="1:17" ht="15.75" x14ac:dyDescent="0.25">
      <c r="A363" s="1183"/>
      <c r="B363" s="1245"/>
      <c r="C363" s="1183"/>
      <c r="D363" s="1183"/>
      <c r="E363" s="1194"/>
      <c r="F363" s="1250"/>
      <c r="G363" s="1248"/>
      <c r="H363" s="1248"/>
      <c r="I363" s="1248"/>
      <c r="J363" s="1248"/>
      <c r="K363" s="1248"/>
      <c r="L363" s="1248"/>
      <c r="M363" s="1251"/>
      <c r="N363" s="1248"/>
      <c r="O363" s="1248"/>
      <c r="P363" s="1248"/>
      <c r="Q363" s="1248"/>
    </row>
    <row r="364" spans="1:17" ht="15.75" x14ac:dyDescent="0.25">
      <c r="A364" s="1183"/>
      <c r="B364" s="1245"/>
      <c r="C364" s="1183"/>
      <c r="D364" s="1183"/>
      <c r="E364" s="1194"/>
      <c r="F364" s="1237"/>
      <c r="G364" s="1183"/>
      <c r="H364" s="1183"/>
      <c r="I364" s="1183"/>
      <c r="J364" s="1183"/>
      <c r="K364" s="1183"/>
      <c r="L364" s="1183"/>
      <c r="M364" s="1246"/>
      <c r="N364" s="1183"/>
      <c r="O364" s="1183"/>
      <c r="P364" s="1183"/>
      <c r="Q364" s="1183"/>
    </row>
    <row r="365" spans="1:17" ht="15.75" x14ac:dyDescent="0.25">
      <c r="A365" s="1183"/>
      <c r="B365" s="1245"/>
      <c r="C365" s="1183"/>
      <c r="D365" s="1183"/>
      <c r="E365" s="1194"/>
      <c r="F365" s="1237"/>
      <c r="G365" s="1183"/>
      <c r="H365" s="1183"/>
      <c r="I365" s="1183"/>
      <c r="J365" s="1183"/>
      <c r="K365" s="1183"/>
      <c r="L365" s="1183"/>
      <c r="M365" s="1246"/>
      <c r="N365" s="1183"/>
      <c r="O365" s="1183"/>
      <c r="P365" s="1183"/>
      <c r="Q365" s="1183"/>
    </row>
    <row r="366" spans="1:17" ht="15.75" x14ac:dyDescent="0.25">
      <c r="A366" s="1183"/>
      <c r="B366" s="1245"/>
      <c r="C366" s="1183"/>
      <c r="D366" s="1183"/>
      <c r="E366" s="1194"/>
      <c r="F366" s="1237"/>
      <c r="G366" s="1183"/>
      <c r="H366" s="1183"/>
      <c r="I366" s="1183"/>
      <c r="J366" s="1183"/>
      <c r="K366" s="1183"/>
      <c r="L366" s="1183"/>
      <c r="M366" s="1246"/>
      <c r="N366" s="1183"/>
      <c r="O366" s="1183"/>
      <c r="P366" s="1183"/>
      <c r="Q366" s="1183"/>
    </row>
    <row r="367" spans="1:17" ht="15.75" x14ac:dyDescent="0.25">
      <c r="A367" s="1183"/>
      <c r="B367" s="1245"/>
      <c r="C367" s="1183"/>
      <c r="D367" s="1183"/>
      <c r="E367" s="1194"/>
      <c r="F367" s="1237"/>
      <c r="G367" s="1183"/>
      <c r="H367" s="1183"/>
      <c r="I367" s="1183"/>
      <c r="J367" s="1183"/>
      <c r="K367" s="1183"/>
      <c r="L367" s="1183"/>
      <c r="M367" s="1246"/>
      <c r="N367" s="1183"/>
      <c r="O367" s="1183"/>
      <c r="P367" s="1183"/>
      <c r="Q367" s="1183"/>
    </row>
    <row r="368" spans="1:17" ht="15.75" x14ac:dyDescent="0.25">
      <c r="A368" s="1183"/>
      <c r="B368" s="1245"/>
      <c r="C368" s="1183"/>
      <c r="D368" s="1183"/>
      <c r="E368" s="1194"/>
      <c r="F368" s="1237"/>
      <c r="G368" s="1183"/>
      <c r="H368" s="1239"/>
      <c r="I368" s="1239"/>
      <c r="J368" s="1183"/>
      <c r="K368" s="1183"/>
      <c r="L368" s="1183"/>
      <c r="M368" s="1246"/>
      <c r="N368" s="1183"/>
      <c r="O368" s="1183"/>
      <c r="P368" s="1183"/>
      <c r="Q368" s="1183"/>
    </row>
    <row r="369" spans="1:17" ht="15.75" x14ac:dyDescent="0.25">
      <c r="A369" s="1183"/>
      <c r="B369" s="1245"/>
      <c r="C369" s="1183"/>
      <c r="D369" s="1183"/>
      <c r="E369" s="1194"/>
      <c r="F369" s="1237"/>
      <c r="G369" s="1183"/>
      <c r="H369" s="1183"/>
      <c r="I369" s="1183"/>
      <c r="J369" s="1183"/>
      <c r="K369" s="1183"/>
      <c r="L369" s="1183"/>
      <c r="M369" s="1246"/>
      <c r="N369" s="1183"/>
      <c r="O369" s="1183"/>
      <c r="P369" s="1183"/>
      <c r="Q369" s="1183"/>
    </row>
    <row r="370" spans="1:17" ht="15.75" x14ac:dyDescent="0.25">
      <c r="A370" s="1183"/>
      <c r="B370" s="1245"/>
      <c r="C370" s="1183"/>
      <c r="D370" s="1183"/>
      <c r="E370" s="1194"/>
      <c r="F370" s="1237"/>
      <c r="G370" s="1183"/>
      <c r="H370" s="1183"/>
      <c r="I370" s="1183"/>
      <c r="J370" s="1183"/>
      <c r="K370" s="1183"/>
      <c r="L370" s="1183"/>
      <c r="M370" s="1246"/>
      <c r="N370" s="1183"/>
      <c r="O370" s="1183"/>
      <c r="P370" s="1183"/>
      <c r="Q370" s="1183"/>
    </row>
    <row r="371" spans="1:17" ht="15.75" x14ac:dyDescent="0.25">
      <c r="A371" s="1183"/>
      <c r="B371" s="1247"/>
      <c r="C371" s="1248"/>
      <c r="D371" s="1248"/>
      <c r="E371" s="1249"/>
      <c r="F371" s="1250"/>
      <c r="G371" s="1248"/>
      <c r="H371" s="1248"/>
      <c r="I371" s="1248"/>
      <c r="J371" s="1248"/>
      <c r="K371" s="1248"/>
      <c r="L371" s="1248"/>
      <c r="M371" s="1251"/>
      <c r="N371" s="1248"/>
      <c r="O371" s="1248"/>
      <c r="P371" s="1248"/>
      <c r="Q371" s="1183"/>
    </row>
    <row r="372" spans="1:17" ht="15.75" x14ac:dyDescent="0.25">
      <c r="A372" s="1183"/>
      <c r="B372" s="1247"/>
      <c r="C372" s="1248"/>
      <c r="D372" s="1248"/>
      <c r="E372" s="1249"/>
      <c r="F372" s="1250"/>
      <c r="G372" s="1248"/>
      <c r="H372" s="1248"/>
      <c r="I372" s="1248"/>
      <c r="J372" s="1248"/>
      <c r="K372" s="1248"/>
      <c r="L372" s="1248"/>
      <c r="M372" s="1251"/>
      <c r="N372" s="1248"/>
      <c r="O372" s="1248"/>
      <c r="P372" s="1248"/>
      <c r="Q372" s="1183"/>
    </row>
    <row r="373" spans="1:17" ht="15.75" x14ac:dyDescent="0.25">
      <c r="A373" s="1183"/>
      <c r="B373" s="1247"/>
      <c r="C373" s="1248"/>
      <c r="D373" s="1248"/>
      <c r="E373" s="1249"/>
      <c r="F373" s="1250"/>
      <c r="G373" s="1248"/>
      <c r="H373" s="1248"/>
      <c r="I373" s="1248"/>
      <c r="J373" s="1248"/>
      <c r="K373" s="1248"/>
      <c r="L373" s="1248"/>
      <c r="M373" s="1251"/>
      <c r="N373" s="1248"/>
      <c r="O373" s="1248"/>
      <c r="P373" s="1248"/>
      <c r="Q373" s="1183"/>
    </row>
    <row r="374" spans="1:17" ht="15.75" x14ac:dyDescent="0.25">
      <c r="A374" s="1183"/>
      <c r="B374" s="1247"/>
      <c r="C374" s="1248"/>
      <c r="D374" s="1248"/>
      <c r="E374" s="1249"/>
      <c r="F374" s="1250"/>
      <c r="G374" s="1248"/>
      <c r="H374" s="1248"/>
      <c r="I374" s="1248"/>
      <c r="J374" s="1248"/>
      <c r="K374" s="1248"/>
      <c r="L374" s="1248"/>
      <c r="M374" s="1251"/>
      <c r="N374" s="1248"/>
      <c r="O374" s="1248"/>
      <c r="P374" s="1248"/>
      <c r="Q374" s="1183"/>
    </row>
    <row r="375" spans="1:17" ht="15.75" x14ac:dyDescent="0.25">
      <c r="A375" s="1183"/>
      <c r="B375" s="1247"/>
      <c r="C375" s="1248"/>
      <c r="D375" s="1248"/>
      <c r="E375" s="1249"/>
      <c r="F375" s="1250"/>
      <c r="G375" s="1248"/>
      <c r="H375" s="1248"/>
      <c r="I375" s="1248"/>
      <c r="J375" s="1248"/>
      <c r="K375" s="1248"/>
      <c r="L375" s="1248"/>
      <c r="M375" s="1251"/>
      <c r="N375" s="1248"/>
      <c r="O375" s="1248"/>
      <c r="P375" s="1248"/>
      <c r="Q375" s="1183"/>
    </row>
    <row r="376" spans="1:17" ht="15.75" x14ac:dyDescent="0.25">
      <c r="A376" s="1183"/>
      <c r="B376" s="1247"/>
      <c r="C376" s="1248"/>
      <c r="D376" s="1248"/>
      <c r="E376" s="1249"/>
      <c r="F376" s="1250"/>
      <c r="G376" s="1248"/>
      <c r="H376" s="1248"/>
      <c r="I376" s="1248"/>
      <c r="J376" s="1248"/>
      <c r="K376" s="1248"/>
      <c r="L376" s="1248"/>
      <c r="M376" s="1251"/>
      <c r="N376" s="1248"/>
      <c r="O376" s="1248"/>
      <c r="P376" s="1248"/>
      <c r="Q376" s="1183"/>
    </row>
    <row r="377" spans="1:17" ht="15.75" x14ac:dyDescent="0.25">
      <c r="A377" s="1183"/>
      <c r="B377" s="1247"/>
      <c r="C377" s="1248"/>
      <c r="D377" s="1248"/>
      <c r="E377" s="1249"/>
      <c r="F377" s="1250"/>
      <c r="G377" s="1248"/>
      <c r="H377" s="1248"/>
      <c r="I377" s="1248"/>
      <c r="J377" s="1248"/>
      <c r="K377" s="1248"/>
      <c r="L377" s="1248"/>
      <c r="M377" s="1251"/>
      <c r="N377" s="1248"/>
      <c r="O377" s="1248"/>
      <c r="P377" s="1248"/>
      <c r="Q377" s="1183"/>
    </row>
    <row r="378" spans="1:17" ht="15.75" x14ac:dyDescent="0.25">
      <c r="A378" s="1183"/>
      <c r="B378" s="1247"/>
      <c r="C378" s="1248"/>
      <c r="D378" s="1248"/>
      <c r="E378" s="1249"/>
      <c r="F378" s="1250"/>
      <c r="G378" s="1248"/>
      <c r="H378" s="1248"/>
      <c r="I378" s="1248"/>
      <c r="J378" s="1248"/>
      <c r="K378" s="1248"/>
      <c r="L378" s="1248"/>
      <c r="M378" s="1251"/>
      <c r="N378" s="1248"/>
      <c r="O378" s="1248"/>
      <c r="P378" s="1248"/>
      <c r="Q378" s="1183"/>
    </row>
    <row r="379" spans="1:17" ht="15.75" x14ac:dyDescent="0.25">
      <c r="A379" s="1183"/>
      <c r="B379" s="1247"/>
      <c r="C379" s="1248"/>
      <c r="D379" s="1248"/>
      <c r="E379" s="1249"/>
      <c r="F379" s="1250"/>
      <c r="G379" s="1248"/>
      <c r="H379" s="1248"/>
      <c r="I379" s="1248"/>
      <c r="J379" s="1248"/>
      <c r="K379" s="1248"/>
      <c r="L379" s="1248"/>
      <c r="M379" s="1251"/>
      <c r="N379" s="1248"/>
      <c r="O379" s="1248"/>
      <c r="P379" s="1248"/>
      <c r="Q379" s="1183"/>
    </row>
    <row r="380" spans="1:17" ht="15.75" x14ac:dyDescent="0.25">
      <c r="A380" s="1183"/>
      <c r="B380" s="1247"/>
      <c r="C380" s="1248"/>
      <c r="D380" s="1248"/>
      <c r="E380" s="1249"/>
      <c r="F380" s="1250"/>
      <c r="G380" s="1248"/>
      <c r="H380" s="1248"/>
      <c r="I380" s="1248"/>
      <c r="J380" s="1248"/>
      <c r="K380" s="1248"/>
      <c r="L380" s="1248"/>
      <c r="M380" s="1251"/>
      <c r="N380" s="1248"/>
      <c r="O380" s="1248"/>
      <c r="P380" s="1248"/>
      <c r="Q380" s="1183"/>
    </row>
    <row r="381" spans="1:17" ht="15.75" x14ac:dyDescent="0.25">
      <c r="A381" s="1183"/>
      <c r="B381" s="1247"/>
      <c r="C381" s="1248"/>
      <c r="D381" s="1248"/>
      <c r="E381" s="1249"/>
      <c r="F381" s="1250"/>
      <c r="G381" s="1248"/>
      <c r="H381" s="1248"/>
      <c r="I381" s="1248"/>
      <c r="J381" s="1248"/>
      <c r="K381" s="1248"/>
      <c r="L381" s="1248"/>
      <c r="M381" s="1251"/>
      <c r="N381" s="1248"/>
      <c r="O381" s="1248"/>
      <c r="P381" s="1248"/>
      <c r="Q381" s="1248"/>
    </row>
    <row r="382" spans="1:17" ht="15.75" x14ac:dyDescent="0.25">
      <c r="A382" s="1183"/>
      <c r="B382" s="1247"/>
      <c r="C382" s="1248"/>
      <c r="D382" s="1248"/>
      <c r="E382" s="1249"/>
      <c r="F382" s="1250"/>
      <c r="G382" s="1248"/>
      <c r="H382" s="1248"/>
      <c r="I382" s="1248"/>
      <c r="J382" s="1248"/>
      <c r="K382" s="1248"/>
      <c r="L382" s="1248"/>
      <c r="M382" s="1251"/>
      <c r="N382" s="1248"/>
      <c r="O382" s="1248"/>
      <c r="P382" s="1248"/>
      <c r="Q382" s="1248"/>
    </row>
    <row r="383" spans="1:17" ht="15.75" x14ac:dyDescent="0.25">
      <c r="A383" s="1183"/>
      <c r="B383" s="1245"/>
      <c r="C383" s="1183"/>
      <c r="D383" s="1183"/>
      <c r="E383" s="1194"/>
      <c r="F383" s="1237"/>
      <c r="G383" s="1183"/>
      <c r="H383" s="1183"/>
      <c r="I383" s="1239"/>
      <c r="J383" s="1183"/>
      <c r="K383" s="1183"/>
      <c r="L383" s="1183"/>
      <c r="M383" s="1246"/>
      <c r="N383" s="1183"/>
      <c r="O383" s="1183"/>
      <c r="P383" s="1183"/>
      <c r="Q383" s="1183"/>
    </row>
    <row r="384" spans="1:17" ht="15.75" x14ac:dyDescent="0.25">
      <c r="A384" s="1183"/>
      <c r="B384" s="1245"/>
      <c r="C384" s="1183"/>
      <c r="D384" s="1183"/>
      <c r="E384" s="1194"/>
      <c r="F384" s="1237"/>
      <c r="G384" s="1183"/>
      <c r="H384" s="1183"/>
      <c r="I384" s="1239"/>
      <c r="J384" s="1183"/>
      <c r="K384" s="1183"/>
      <c r="L384" s="1183"/>
      <c r="M384" s="1246"/>
      <c r="N384" s="1183"/>
      <c r="O384" s="1183"/>
      <c r="P384" s="1183"/>
      <c r="Q384" s="1183"/>
    </row>
    <row r="385" spans="1:17" ht="15.75" x14ac:dyDescent="0.25">
      <c r="A385" s="1183"/>
      <c r="B385" s="1241"/>
      <c r="C385" s="1183"/>
      <c r="D385" s="1183"/>
      <c r="E385" s="1194"/>
      <c r="F385" s="1237"/>
      <c r="G385" s="1182"/>
      <c r="H385" s="1182"/>
      <c r="I385" s="1182"/>
      <c r="J385" s="1182"/>
      <c r="K385" s="1182"/>
      <c r="L385" s="1182"/>
      <c r="M385" s="1182"/>
      <c r="N385" s="1182"/>
      <c r="O385" s="1182"/>
      <c r="P385" s="1182"/>
      <c r="Q385" s="1182"/>
    </row>
    <row r="386" spans="1:17" ht="15.75" x14ac:dyDescent="0.25">
      <c r="A386" s="1183"/>
      <c r="B386" s="1245"/>
      <c r="C386" s="1183"/>
      <c r="D386" s="1183"/>
      <c r="E386" s="1194"/>
      <c r="F386" s="1237"/>
      <c r="G386" s="1183"/>
      <c r="H386" s="1183"/>
      <c r="I386" s="1183"/>
      <c r="J386" s="1183"/>
      <c r="K386" s="1183"/>
      <c r="L386" s="1183"/>
      <c r="M386" s="1246"/>
      <c r="N386" s="1183"/>
      <c r="O386" s="1183"/>
      <c r="P386" s="1183"/>
      <c r="Q386" s="1183"/>
    </row>
    <row r="387" spans="1:17" ht="15.75" x14ac:dyDescent="0.25">
      <c r="A387" s="1183"/>
      <c r="B387" s="1247"/>
      <c r="C387" s="1183"/>
      <c r="D387" s="1183"/>
      <c r="E387" s="1194"/>
      <c r="F387" s="1250"/>
      <c r="G387" s="1248"/>
      <c r="H387" s="1248"/>
      <c r="I387" s="1248"/>
      <c r="J387" s="1248"/>
      <c r="K387" s="1248"/>
      <c r="L387" s="1248"/>
      <c r="M387" s="1251"/>
      <c r="N387" s="1248"/>
      <c r="O387" s="1248"/>
      <c r="P387" s="1248"/>
      <c r="Q387" s="1248"/>
    </row>
    <row r="388" spans="1:17" ht="15.75" x14ac:dyDescent="0.25">
      <c r="A388" s="1183"/>
      <c r="B388" s="1247"/>
      <c r="C388" s="1183"/>
      <c r="D388" s="1183"/>
      <c r="E388" s="1194"/>
      <c r="F388" s="1250"/>
      <c r="G388" s="1248"/>
      <c r="H388" s="1248"/>
      <c r="I388" s="1248"/>
      <c r="J388" s="1248"/>
      <c r="K388" s="1248"/>
      <c r="L388" s="1248"/>
      <c r="M388" s="1251"/>
      <c r="N388" s="1248"/>
      <c r="O388" s="1248"/>
      <c r="P388" s="1248"/>
      <c r="Q388" s="1248"/>
    </row>
    <row r="389" spans="1:17" ht="15.75" x14ac:dyDescent="0.25">
      <c r="A389" s="1183"/>
      <c r="B389" s="1247"/>
      <c r="C389" s="1248"/>
      <c r="D389" s="1248"/>
      <c r="E389" s="1249"/>
      <c r="F389" s="1250"/>
      <c r="G389" s="1248"/>
      <c r="H389" s="1248"/>
      <c r="I389" s="1248"/>
      <c r="J389" s="1248"/>
      <c r="K389" s="1248"/>
      <c r="L389" s="1248"/>
      <c r="M389" s="1251"/>
      <c r="N389" s="1248"/>
      <c r="O389" s="1248"/>
      <c r="P389" s="1248"/>
      <c r="Q389" s="1248"/>
    </row>
    <row r="390" spans="1:17" ht="15.75" x14ac:dyDescent="0.25">
      <c r="A390" s="1183"/>
      <c r="B390" s="1247"/>
      <c r="C390" s="1248"/>
      <c r="D390" s="1248"/>
      <c r="E390" s="1249"/>
      <c r="F390" s="1250"/>
      <c r="G390" s="1248"/>
      <c r="H390" s="1248"/>
      <c r="I390" s="1248"/>
      <c r="J390" s="1248"/>
      <c r="K390" s="1248"/>
      <c r="L390" s="1248"/>
      <c r="M390" s="1251"/>
      <c r="N390" s="1248"/>
      <c r="O390" s="1248"/>
      <c r="P390" s="1248"/>
      <c r="Q390" s="1248"/>
    </row>
    <row r="391" spans="1:17" ht="15.75" x14ac:dyDescent="0.25">
      <c r="A391" s="1183"/>
      <c r="B391" s="1241"/>
      <c r="C391" s="1242"/>
      <c r="D391" s="1242"/>
      <c r="E391" s="1243"/>
      <c r="F391" s="1244"/>
      <c r="G391" s="1243"/>
      <c r="H391" s="1243"/>
      <c r="I391" s="1243"/>
      <c r="J391" s="1243"/>
      <c r="K391" s="1243"/>
      <c r="L391" s="1243"/>
      <c r="M391" s="1243"/>
      <c r="N391" s="1243"/>
      <c r="O391" s="1243"/>
      <c r="P391" s="1243"/>
      <c r="Q391" s="1243"/>
    </row>
    <row r="392" spans="1:17" ht="15.75" x14ac:dyDescent="0.25">
      <c r="A392" s="1183"/>
      <c r="B392" s="1245"/>
      <c r="C392" s="1183"/>
      <c r="D392" s="1183"/>
      <c r="E392" s="1194"/>
      <c r="F392" s="1237"/>
      <c r="G392" s="1183"/>
      <c r="H392" s="1183"/>
      <c r="I392" s="1183"/>
      <c r="J392" s="1183"/>
      <c r="K392" s="1183"/>
      <c r="L392" s="1183"/>
      <c r="M392" s="1246"/>
      <c r="N392" s="1183"/>
      <c r="O392" s="1183"/>
      <c r="P392" s="1183"/>
      <c r="Q392" s="1183"/>
    </row>
    <row r="393" spans="1:17" ht="15.75" x14ac:dyDescent="0.25">
      <c r="A393" s="1183"/>
      <c r="B393" s="1245"/>
      <c r="C393" s="1183"/>
      <c r="D393" s="1183"/>
      <c r="E393" s="1194"/>
      <c r="F393" s="1237"/>
      <c r="G393" s="1183"/>
      <c r="H393" s="1183"/>
      <c r="I393" s="1183"/>
      <c r="J393" s="1183"/>
      <c r="K393" s="1183"/>
      <c r="L393" s="1183"/>
      <c r="M393" s="1246"/>
      <c r="N393" s="1183"/>
      <c r="O393" s="1183"/>
      <c r="P393" s="1183"/>
      <c r="Q393" s="1183"/>
    </row>
    <row r="394" spans="1:17" ht="15.75" x14ac:dyDescent="0.25">
      <c r="A394" s="1183"/>
      <c r="B394" s="1245"/>
      <c r="C394" s="1183"/>
      <c r="D394" s="1183"/>
      <c r="E394" s="1194"/>
      <c r="F394" s="1237"/>
      <c r="G394" s="1183"/>
      <c r="H394" s="1183"/>
      <c r="I394" s="1183"/>
      <c r="J394" s="1183"/>
      <c r="K394" s="1183"/>
      <c r="L394" s="1183"/>
      <c r="M394" s="1246"/>
      <c r="N394" s="1183"/>
      <c r="O394" s="1183"/>
      <c r="P394" s="1183"/>
      <c r="Q394" s="1183"/>
    </row>
    <row r="395" spans="1:17" ht="15.75" x14ac:dyDescent="0.25">
      <c r="A395" s="1183"/>
      <c r="B395" s="1245"/>
      <c r="C395" s="1183"/>
      <c r="D395" s="1183"/>
      <c r="E395" s="1194"/>
      <c r="F395" s="1237"/>
      <c r="G395" s="1183"/>
      <c r="H395" s="1183"/>
      <c r="I395" s="1183"/>
      <c r="J395" s="1183"/>
      <c r="K395" s="1183"/>
      <c r="L395" s="1183"/>
      <c r="M395" s="1246"/>
      <c r="N395" s="1183"/>
      <c r="O395" s="1183"/>
      <c r="P395" s="1183"/>
      <c r="Q395" s="1183"/>
    </row>
    <row r="396" spans="1:17" ht="15.75" x14ac:dyDescent="0.25">
      <c r="A396" s="1183"/>
      <c r="B396" s="1247"/>
      <c r="C396" s="1248"/>
      <c r="D396" s="1248"/>
      <c r="E396" s="1249"/>
      <c r="F396" s="1250"/>
      <c r="G396" s="1248"/>
      <c r="H396" s="1248"/>
      <c r="I396" s="1248"/>
      <c r="J396" s="1248"/>
      <c r="K396" s="1248"/>
      <c r="L396" s="1248"/>
      <c r="M396" s="1251"/>
      <c r="N396" s="1248"/>
      <c r="O396" s="1248"/>
      <c r="P396" s="1248"/>
      <c r="Q396" s="1248"/>
    </row>
    <row r="397" spans="1:17" ht="15.75" x14ac:dyDescent="0.25">
      <c r="A397" s="1183"/>
      <c r="B397" s="1247"/>
      <c r="C397" s="1248"/>
      <c r="D397" s="1248"/>
      <c r="E397" s="1249"/>
      <c r="F397" s="1250"/>
      <c r="G397" s="1248"/>
      <c r="H397" s="1248"/>
      <c r="I397" s="1248"/>
      <c r="J397" s="1248"/>
      <c r="K397" s="1248"/>
      <c r="L397" s="1248"/>
      <c r="M397" s="1251"/>
      <c r="N397" s="1248"/>
      <c r="O397" s="1248"/>
      <c r="P397" s="1248"/>
      <c r="Q397" s="1248"/>
    </row>
    <row r="398" spans="1:17" ht="15.75" x14ac:dyDescent="0.25">
      <c r="A398" s="1183"/>
      <c r="B398" s="1247"/>
      <c r="C398" s="1248"/>
      <c r="D398" s="1248"/>
      <c r="E398" s="1249"/>
      <c r="F398" s="1250"/>
      <c r="G398" s="1248"/>
      <c r="H398" s="1248"/>
      <c r="I398" s="1248"/>
      <c r="J398" s="1248"/>
      <c r="K398" s="1248"/>
      <c r="L398" s="1248"/>
      <c r="M398" s="1251"/>
      <c r="N398" s="1248"/>
      <c r="O398" s="1248"/>
      <c r="P398" s="1248"/>
      <c r="Q398" s="1248"/>
    </row>
    <row r="399" spans="1:17" ht="15.75" x14ac:dyDescent="0.25">
      <c r="A399" s="1183"/>
      <c r="B399" s="1247"/>
      <c r="C399" s="1248"/>
      <c r="D399" s="1248"/>
      <c r="E399" s="1249"/>
      <c r="F399" s="1250"/>
      <c r="G399" s="1248"/>
      <c r="H399" s="1248"/>
      <c r="I399" s="1248"/>
      <c r="J399" s="1248"/>
      <c r="K399" s="1248"/>
      <c r="L399" s="1248"/>
      <c r="M399" s="1251"/>
      <c r="N399" s="1248"/>
      <c r="O399" s="1248"/>
      <c r="P399" s="1248"/>
      <c r="Q399" s="1248"/>
    </row>
    <row r="400" spans="1:17" ht="15.75" x14ac:dyDescent="0.25">
      <c r="A400" s="1183"/>
      <c r="B400" s="1241"/>
      <c r="C400" s="1242"/>
      <c r="D400" s="1242"/>
      <c r="E400" s="1243"/>
      <c r="F400" s="1244"/>
      <c r="G400" s="1243"/>
      <c r="H400" s="1243"/>
      <c r="I400" s="1243"/>
      <c r="J400" s="1243"/>
      <c r="K400" s="1243"/>
      <c r="L400" s="1243"/>
      <c r="M400" s="1243"/>
      <c r="N400" s="1243"/>
      <c r="O400" s="1243"/>
      <c r="P400" s="1243"/>
      <c r="Q400" s="1243"/>
    </row>
    <row r="401" spans="1:17" ht="15.75" x14ac:dyDescent="0.25">
      <c r="A401" s="1183"/>
      <c r="B401" s="1247"/>
      <c r="C401" s="1248"/>
      <c r="D401" s="1248"/>
      <c r="E401" s="1249"/>
      <c r="F401" s="1250"/>
      <c r="G401" s="1248"/>
      <c r="H401" s="1248"/>
      <c r="I401" s="1248"/>
      <c r="J401" s="1248"/>
      <c r="K401" s="1248"/>
      <c r="L401" s="1248"/>
      <c r="M401" s="1251"/>
      <c r="N401" s="1248"/>
      <c r="O401" s="1248"/>
      <c r="P401" s="1248"/>
      <c r="Q401" s="1248"/>
    </row>
    <row r="402" spans="1:17" ht="15.75" x14ac:dyDescent="0.25">
      <c r="A402" s="1183"/>
      <c r="B402" s="1247"/>
      <c r="C402" s="1248"/>
      <c r="D402" s="1248"/>
      <c r="E402" s="1249"/>
      <c r="F402" s="1250"/>
      <c r="G402" s="1248"/>
      <c r="H402" s="1248"/>
      <c r="I402" s="1248"/>
      <c r="J402" s="1248"/>
      <c r="K402" s="1248"/>
      <c r="L402" s="1248"/>
      <c r="M402" s="1251"/>
      <c r="N402" s="1248"/>
      <c r="O402" s="1248"/>
      <c r="P402" s="1248"/>
      <c r="Q402" s="1248"/>
    </row>
    <row r="403" spans="1:17" ht="15.75" x14ac:dyDescent="0.25">
      <c r="A403" s="1183"/>
      <c r="B403" s="1245"/>
      <c r="C403" s="1183"/>
      <c r="D403" s="1183"/>
      <c r="E403" s="1194"/>
      <c r="F403" s="1237"/>
      <c r="G403" s="1183"/>
      <c r="H403" s="1183"/>
      <c r="I403" s="1183"/>
      <c r="J403" s="1183"/>
      <c r="K403" s="1183"/>
      <c r="L403" s="1183"/>
      <c r="M403" s="1246"/>
      <c r="N403" s="1183"/>
      <c r="O403" s="1183"/>
      <c r="P403" s="1183"/>
      <c r="Q403" s="1183"/>
    </row>
    <row r="404" spans="1:17" ht="15.75" x14ac:dyDescent="0.25">
      <c r="A404" s="1183"/>
      <c r="B404" s="1245"/>
      <c r="C404" s="1183"/>
      <c r="D404" s="1183"/>
      <c r="E404" s="1194"/>
      <c r="F404" s="1252"/>
      <c r="G404" s="1239"/>
      <c r="H404" s="1239"/>
      <c r="I404" s="1239"/>
      <c r="J404" s="1248"/>
      <c r="K404" s="1248"/>
      <c r="L404" s="1248"/>
      <c r="M404" s="1251"/>
      <c r="N404" s="1248"/>
      <c r="O404" s="1248"/>
      <c r="P404" s="1248"/>
      <c r="Q404" s="1248"/>
    </row>
    <row r="405" spans="1:17" ht="15.75" x14ac:dyDescent="0.25">
      <c r="A405" s="1183"/>
      <c r="B405" s="1245"/>
      <c r="C405" s="1183"/>
      <c r="D405" s="1183"/>
      <c r="E405" s="1194"/>
      <c r="F405" s="1252"/>
      <c r="G405" s="1183"/>
      <c r="H405" s="1239"/>
      <c r="I405" s="1239"/>
      <c r="J405" s="1183"/>
      <c r="K405" s="1183"/>
      <c r="L405" s="1183"/>
      <c r="M405" s="1246"/>
      <c r="N405" s="1183"/>
      <c r="O405" s="1183"/>
      <c r="P405" s="1183"/>
      <c r="Q405" s="1183"/>
    </row>
    <row r="406" spans="1:17" ht="15.75" x14ac:dyDescent="0.25">
      <c r="A406" s="1183"/>
      <c r="B406" s="1245"/>
      <c r="C406" s="1183"/>
      <c r="D406" s="1183"/>
      <c r="E406" s="1194"/>
      <c r="F406" s="1252"/>
      <c r="G406" s="1183"/>
      <c r="H406" s="1239"/>
      <c r="I406" s="1239"/>
      <c r="J406" s="1183"/>
      <c r="K406" s="1183"/>
      <c r="L406" s="1183"/>
      <c r="M406" s="1246"/>
      <c r="N406" s="1183"/>
      <c r="O406" s="1183"/>
      <c r="P406" s="1183"/>
      <c r="Q406" s="1183"/>
    </row>
    <row r="407" spans="1:17" ht="15.75" x14ac:dyDescent="0.25">
      <c r="A407" s="1183"/>
      <c r="B407" s="1245"/>
      <c r="C407" s="1183"/>
      <c r="D407" s="1183"/>
      <c r="E407" s="1194"/>
      <c r="F407" s="1252"/>
      <c r="G407" s="1183"/>
      <c r="H407" s="1183"/>
      <c r="I407" s="1183"/>
      <c r="J407" s="1183"/>
      <c r="K407" s="1183"/>
      <c r="L407" s="1183"/>
      <c r="M407" s="1246"/>
      <c r="N407" s="1183"/>
      <c r="O407" s="1183"/>
      <c r="P407" s="1183"/>
      <c r="Q407" s="1183"/>
    </row>
    <row r="408" spans="1:17" ht="15.75" x14ac:dyDescent="0.25">
      <c r="A408" s="1183"/>
      <c r="B408" s="1245"/>
      <c r="C408" s="1183"/>
      <c r="D408" s="1183"/>
      <c r="E408" s="1194"/>
      <c r="F408" s="1252"/>
      <c r="G408" s="1183"/>
      <c r="H408" s="1183"/>
      <c r="I408" s="1183"/>
      <c r="J408" s="1183"/>
      <c r="K408" s="1183"/>
      <c r="L408" s="1183"/>
      <c r="M408" s="1246"/>
      <c r="N408" s="1183"/>
      <c r="O408" s="1183"/>
      <c r="P408" s="1183"/>
      <c r="Q408" s="1183"/>
    </row>
    <row r="409" spans="1:17" ht="15.75" x14ac:dyDescent="0.25">
      <c r="A409" s="1183"/>
      <c r="B409" s="1245"/>
      <c r="C409" s="1183"/>
      <c r="D409" s="1183"/>
      <c r="E409" s="1194"/>
      <c r="F409" s="1252"/>
      <c r="G409" s="1239"/>
      <c r="H409" s="1239"/>
      <c r="I409" s="1239"/>
      <c r="J409" s="1248"/>
      <c r="K409" s="1248"/>
      <c r="L409" s="1248"/>
      <c r="M409" s="1251"/>
      <c r="N409" s="1248"/>
      <c r="O409" s="1248"/>
      <c r="P409" s="1248"/>
      <c r="Q409" s="1248"/>
    </row>
    <row r="410" spans="1:17" ht="15.75" x14ac:dyDescent="0.25">
      <c r="A410" s="1183"/>
      <c r="B410" s="1241"/>
      <c r="C410" s="1242"/>
      <c r="D410" s="1242"/>
      <c r="E410" s="1243"/>
      <c r="F410" s="1244"/>
      <c r="G410" s="1243"/>
      <c r="H410" s="1243"/>
      <c r="I410" s="1243"/>
      <c r="J410" s="1243"/>
      <c r="K410" s="1243"/>
      <c r="L410" s="1243"/>
      <c r="M410" s="1243"/>
      <c r="N410" s="1243"/>
      <c r="O410" s="1243"/>
      <c r="P410" s="1243"/>
      <c r="Q410" s="1243"/>
    </row>
    <row r="411" spans="1:17" ht="15.75" x14ac:dyDescent="0.25">
      <c r="A411" s="1183"/>
      <c r="B411" s="1245"/>
      <c r="C411" s="1183"/>
      <c r="D411" s="1183"/>
      <c r="E411" s="1194"/>
      <c r="F411" s="1237"/>
      <c r="G411" s="1183"/>
      <c r="H411" s="1183"/>
      <c r="I411" s="1183"/>
      <c r="J411" s="1183"/>
      <c r="K411" s="1183"/>
      <c r="L411" s="1183"/>
      <c r="M411" s="1246"/>
      <c r="N411" s="1183"/>
      <c r="O411" s="1183"/>
      <c r="P411" s="1183"/>
      <c r="Q411" s="1183"/>
    </row>
    <row r="412" spans="1:17" ht="15.75" x14ac:dyDescent="0.25">
      <c r="A412" s="1183"/>
      <c r="B412" s="1245"/>
      <c r="C412" s="1183"/>
      <c r="D412" s="1183"/>
      <c r="E412" s="1194"/>
      <c r="F412" s="1237"/>
      <c r="G412" s="1183"/>
      <c r="H412" s="1183"/>
      <c r="I412" s="1183"/>
      <c r="J412" s="1183"/>
      <c r="K412" s="1183"/>
      <c r="L412" s="1183"/>
      <c r="M412" s="1246"/>
      <c r="N412" s="1183"/>
      <c r="O412" s="1183"/>
      <c r="P412" s="1183"/>
      <c r="Q412" s="1183"/>
    </row>
    <row r="413" spans="1:17" ht="15.75" x14ac:dyDescent="0.25">
      <c r="A413" s="1248"/>
      <c r="B413" s="1247"/>
      <c r="C413" s="1248"/>
      <c r="D413" s="1248"/>
      <c r="E413" s="1249"/>
      <c r="F413" s="1250"/>
      <c r="G413" s="1248"/>
      <c r="H413" s="1248"/>
      <c r="I413" s="1248"/>
      <c r="J413" s="1248"/>
      <c r="K413" s="1248"/>
      <c r="L413" s="1248"/>
      <c r="M413" s="1251"/>
      <c r="N413" s="1248"/>
      <c r="O413" s="1248"/>
      <c r="P413" s="1248"/>
      <c r="Q413" s="1248"/>
    </row>
    <row r="414" spans="1:17" ht="15.75" x14ac:dyDescent="0.25">
      <c r="A414" s="1183"/>
      <c r="B414" s="1245"/>
      <c r="C414" s="1183"/>
      <c r="D414" s="1183"/>
      <c r="E414" s="1194"/>
      <c r="F414" s="1237"/>
      <c r="G414" s="1183"/>
      <c r="H414" s="1183"/>
      <c r="I414" s="1183"/>
      <c r="J414" s="1183"/>
      <c r="K414" s="1183"/>
      <c r="L414" s="1183"/>
      <c r="M414" s="1246"/>
      <c r="N414" s="1183"/>
      <c r="O414" s="1183"/>
      <c r="P414" s="1183"/>
      <c r="Q414" s="1183"/>
    </row>
    <row r="415" spans="1:17" ht="15.75" x14ac:dyDescent="0.25">
      <c r="A415" s="1184" t="s">
        <v>522</v>
      </c>
      <c r="B415" s="1185"/>
      <c r="C415" s="1185"/>
      <c r="D415" s="1185"/>
      <c r="E415" s="1186"/>
      <c r="F415" s="1253" t="s">
        <v>656</v>
      </c>
      <c r="G415" s="1185"/>
      <c r="H415" s="1185"/>
      <c r="I415" s="1185"/>
      <c r="J415" s="1185"/>
      <c r="K415" s="1185" t="s">
        <v>816</v>
      </c>
      <c r="L415" s="1254"/>
      <c r="M415" s="1185"/>
      <c r="N415" s="1185"/>
      <c r="O415" s="1185"/>
      <c r="P415" s="1185" t="s">
        <v>940</v>
      </c>
      <c r="Q415" s="1187"/>
    </row>
    <row r="416" spans="1:17" ht="15.75" x14ac:dyDescent="0.25">
      <c r="A416" s="1184"/>
      <c r="B416" s="1185"/>
      <c r="C416" s="1185"/>
      <c r="D416" s="1185"/>
      <c r="E416" s="1186"/>
      <c r="F416" s="1185"/>
      <c r="G416" s="1185"/>
      <c r="H416" s="1185"/>
      <c r="I416" s="1185"/>
      <c r="J416" s="1185"/>
      <c r="K416" s="1185"/>
      <c r="L416" s="1185"/>
      <c r="M416" s="1185"/>
      <c r="N416" s="1185"/>
      <c r="O416" s="1185"/>
      <c r="P416" s="1185"/>
      <c r="Q416" s="1187"/>
    </row>
    <row r="417" spans="1:17" ht="15.75" x14ac:dyDescent="0.25">
      <c r="A417" s="1184"/>
      <c r="B417" s="1185"/>
      <c r="C417" s="1185"/>
      <c r="D417" s="1185"/>
      <c r="E417" s="1186"/>
      <c r="F417" s="1185"/>
      <c r="G417" s="1185"/>
      <c r="H417" s="1185"/>
      <c r="I417" s="1185"/>
      <c r="J417" s="1185"/>
      <c r="K417" s="1185"/>
      <c r="L417" s="1185"/>
      <c r="M417" s="1185"/>
      <c r="N417" s="1185"/>
      <c r="O417" s="1185"/>
      <c r="P417" s="1185"/>
      <c r="Q417" s="1187"/>
    </row>
    <row r="418" spans="1:17" ht="15.75" x14ac:dyDescent="0.25">
      <c r="A418" s="1750" t="s">
        <v>524</v>
      </c>
      <c r="B418" s="1751"/>
      <c r="C418" s="1255"/>
      <c r="D418" s="1255"/>
      <c r="E418" s="1256"/>
      <c r="F418" s="1752" t="s">
        <v>693</v>
      </c>
      <c r="G418" s="1752"/>
      <c r="H418" s="1257"/>
      <c r="I418" s="1257"/>
      <c r="J418" s="1539"/>
      <c r="K418" s="1751" t="s">
        <v>943</v>
      </c>
      <c r="L418" s="1751"/>
      <c r="M418" s="1751"/>
      <c r="N418" s="1751"/>
      <c r="O418" s="1185"/>
      <c r="P418" s="1539" t="s">
        <v>944</v>
      </c>
      <c r="Q418" s="1258"/>
    </row>
    <row r="419" spans="1:17" ht="15.75" x14ac:dyDescent="0.25">
      <c r="A419" s="1745" t="s">
        <v>977</v>
      </c>
      <c r="B419" s="1746"/>
      <c r="C419" s="1259"/>
      <c r="D419" s="1259"/>
      <c r="E419" s="1747" t="s">
        <v>978</v>
      </c>
      <c r="F419" s="1747"/>
      <c r="G419" s="1747"/>
      <c r="H419" s="1747"/>
      <c r="I419" s="1259"/>
      <c r="J419" s="1259"/>
      <c r="K419" s="1260" t="s">
        <v>979</v>
      </c>
      <c r="L419" s="1259"/>
      <c r="M419" s="1259"/>
      <c r="N419" s="1185"/>
      <c r="O419" s="1190"/>
      <c r="P419" s="1260" t="s">
        <v>980</v>
      </c>
      <c r="Q419" s="1261"/>
    </row>
  </sheetData>
  <mergeCells count="31">
    <mergeCell ref="A6:Q6"/>
    <mergeCell ref="A1:Q1"/>
    <mergeCell ref="A2:Q2"/>
    <mergeCell ref="A3:Q3"/>
    <mergeCell ref="A4:Q4"/>
    <mergeCell ref="A5:Q5"/>
    <mergeCell ref="Q15:Q16"/>
    <mergeCell ref="A418:B418"/>
    <mergeCell ref="F418:G418"/>
    <mergeCell ref="K418:N418"/>
    <mergeCell ref="A7:Q7"/>
    <mergeCell ref="A14:A16"/>
    <mergeCell ref="B14:B16"/>
    <mergeCell ref="C14:C16"/>
    <mergeCell ref="D14:D16"/>
    <mergeCell ref="E14:E16"/>
    <mergeCell ref="F14:F16"/>
    <mergeCell ref="G14:I14"/>
    <mergeCell ref="J14:K14"/>
    <mergeCell ref="L14:L16"/>
    <mergeCell ref="M14:M16"/>
    <mergeCell ref="N14:Q14"/>
    <mergeCell ref="A419:B419"/>
    <mergeCell ref="E419:H419"/>
    <mergeCell ref="K15:K16"/>
    <mergeCell ref="N15:N16"/>
    <mergeCell ref="O15:P15"/>
    <mergeCell ref="G15:G16"/>
    <mergeCell ref="H15:H16"/>
    <mergeCell ref="I15:I16"/>
    <mergeCell ref="J15:J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8301-247B-1948-8C14-B3414C9E03E5}">
  <sheetPr>
    <tabColor theme="9" tint="-0.249977111117893"/>
  </sheetPr>
  <dimension ref="A1:R282"/>
  <sheetViews>
    <sheetView topLeftCell="A13" zoomScale="90" zoomScaleNormal="90" zoomScaleSheetLayoutView="80" workbookViewId="0">
      <pane xSplit="2" ySplit="6" topLeftCell="E19" activePane="bottomRight" state="frozen"/>
      <selection pane="topRight" activeCell="B223" sqref="B223"/>
      <selection pane="bottomLeft" activeCell="B223" sqref="B223"/>
      <selection pane="bottomRight" activeCell="B18" sqref="B18:Q18"/>
    </sheetView>
  </sheetViews>
  <sheetFormatPr defaultColWidth="14.5" defaultRowHeight="15" x14ac:dyDescent="0.25"/>
  <cols>
    <col min="1" max="1" width="6.5" style="1274" customWidth="1"/>
    <col min="2" max="2" width="16" style="1274" customWidth="1"/>
    <col min="3" max="3" width="13.125" style="1274" customWidth="1"/>
    <col min="4" max="4" width="11.625" style="1274" customWidth="1"/>
    <col min="5" max="5" width="14.5" style="1322"/>
    <col min="6" max="6" width="19.125" style="1274" customWidth="1"/>
    <col min="7" max="7" width="13.375" style="1274" customWidth="1"/>
    <col min="8" max="8" width="11.5" style="1274" customWidth="1"/>
    <col min="9" max="9" width="12.625" style="1274" customWidth="1"/>
    <col min="10" max="10" width="12.125" style="1274" customWidth="1"/>
    <col min="11" max="11" width="12.875" style="1274" customWidth="1"/>
    <col min="12" max="12" width="8" style="1274" customWidth="1"/>
    <col min="13" max="13" width="11.5" style="1274" customWidth="1"/>
    <col min="14" max="14" width="12.875" style="1274" customWidth="1"/>
    <col min="15" max="15" width="14.5" style="1274" customWidth="1"/>
    <col min="16" max="16" width="16.875" style="1274" customWidth="1"/>
    <col min="17" max="17" width="20.5" style="1274" bestFit="1" customWidth="1"/>
    <col min="18" max="256" width="14.5" style="1274"/>
    <col min="257" max="257" width="6.5" style="1274" customWidth="1"/>
    <col min="258" max="258" width="16" style="1274" customWidth="1"/>
    <col min="259" max="259" width="13.125" style="1274" customWidth="1"/>
    <col min="260" max="260" width="11.625" style="1274" customWidth="1"/>
    <col min="261" max="261" width="14.5" style="1274"/>
    <col min="262" max="262" width="19.125" style="1274" customWidth="1"/>
    <col min="263" max="263" width="13.375" style="1274" customWidth="1"/>
    <col min="264" max="264" width="11.5" style="1274" customWidth="1"/>
    <col min="265" max="265" width="12.625" style="1274" customWidth="1"/>
    <col min="266" max="266" width="12.125" style="1274" customWidth="1"/>
    <col min="267" max="267" width="12.875" style="1274" customWidth="1"/>
    <col min="268" max="268" width="8" style="1274" customWidth="1"/>
    <col min="269" max="269" width="11.5" style="1274" customWidth="1"/>
    <col min="270" max="270" width="12.875" style="1274" customWidth="1"/>
    <col min="271" max="271" width="14.5" style="1274"/>
    <col min="272" max="272" width="16.875" style="1274" customWidth="1"/>
    <col min="273" max="273" width="20.5" style="1274" bestFit="1" customWidth="1"/>
    <col min="274" max="512" width="14.5" style="1274"/>
    <col min="513" max="513" width="6.5" style="1274" customWidth="1"/>
    <col min="514" max="514" width="16" style="1274" customWidth="1"/>
    <col min="515" max="515" width="13.125" style="1274" customWidth="1"/>
    <col min="516" max="516" width="11.625" style="1274" customWidth="1"/>
    <col min="517" max="517" width="14.5" style="1274"/>
    <col min="518" max="518" width="19.125" style="1274" customWidth="1"/>
    <col min="519" max="519" width="13.375" style="1274" customWidth="1"/>
    <col min="520" max="520" width="11.5" style="1274" customWidth="1"/>
    <col min="521" max="521" width="12.625" style="1274" customWidth="1"/>
    <col min="522" max="522" width="12.125" style="1274" customWidth="1"/>
    <col min="523" max="523" width="12.875" style="1274" customWidth="1"/>
    <col min="524" max="524" width="8" style="1274" customWidth="1"/>
    <col min="525" max="525" width="11.5" style="1274" customWidth="1"/>
    <col min="526" max="526" width="12.875" style="1274" customWidth="1"/>
    <col min="527" max="527" width="14.5" style="1274"/>
    <col min="528" max="528" width="16.875" style="1274" customWidth="1"/>
    <col min="529" max="529" width="20.5" style="1274" bestFit="1" customWidth="1"/>
    <col min="530" max="768" width="14.5" style="1274"/>
    <col min="769" max="769" width="6.5" style="1274" customWidth="1"/>
    <col min="770" max="770" width="16" style="1274" customWidth="1"/>
    <col min="771" max="771" width="13.125" style="1274" customWidth="1"/>
    <col min="772" max="772" width="11.625" style="1274" customWidth="1"/>
    <col min="773" max="773" width="14.5" style="1274"/>
    <col min="774" max="774" width="19.125" style="1274" customWidth="1"/>
    <col min="775" max="775" width="13.375" style="1274" customWidth="1"/>
    <col min="776" max="776" width="11.5" style="1274" customWidth="1"/>
    <col min="777" max="777" width="12.625" style="1274" customWidth="1"/>
    <col min="778" max="778" width="12.125" style="1274" customWidth="1"/>
    <col min="779" max="779" width="12.875" style="1274" customWidth="1"/>
    <col min="780" max="780" width="8" style="1274" customWidth="1"/>
    <col min="781" max="781" width="11.5" style="1274" customWidth="1"/>
    <col min="782" max="782" width="12.875" style="1274" customWidth="1"/>
    <col min="783" max="783" width="14.5" style="1274"/>
    <col min="784" max="784" width="16.875" style="1274" customWidth="1"/>
    <col min="785" max="785" width="20.5" style="1274" bestFit="1" customWidth="1"/>
    <col min="786" max="1024" width="14.5" style="1274"/>
    <col min="1025" max="1025" width="6.5" style="1274" customWidth="1"/>
    <col min="1026" max="1026" width="16" style="1274" customWidth="1"/>
    <col min="1027" max="1027" width="13.125" style="1274" customWidth="1"/>
    <col min="1028" max="1028" width="11.625" style="1274" customWidth="1"/>
    <col min="1029" max="1029" width="14.5" style="1274"/>
    <col min="1030" max="1030" width="19.125" style="1274" customWidth="1"/>
    <col min="1031" max="1031" width="13.375" style="1274" customWidth="1"/>
    <col min="1032" max="1032" width="11.5" style="1274" customWidth="1"/>
    <col min="1033" max="1033" width="12.625" style="1274" customWidth="1"/>
    <col min="1034" max="1034" width="12.125" style="1274" customWidth="1"/>
    <col min="1035" max="1035" width="12.875" style="1274" customWidth="1"/>
    <col min="1036" max="1036" width="8" style="1274" customWidth="1"/>
    <col min="1037" max="1037" width="11.5" style="1274" customWidth="1"/>
    <col min="1038" max="1038" width="12.875" style="1274" customWidth="1"/>
    <col min="1039" max="1039" width="14.5" style="1274"/>
    <col min="1040" max="1040" width="16.875" style="1274" customWidth="1"/>
    <col min="1041" max="1041" width="20.5" style="1274" bestFit="1" customWidth="1"/>
    <col min="1042" max="1280" width="14.5" style="1274"/>
    <col min="1281" max="1281" width="6.5" style="1274" customWidth="1"/>
    <col min="1282" max="1282" width="16" style="1274" customWidth="1"/>
    <col min="1283" max="1283" width="13.125" style="1274" customWidth="1"/>
    <col min="1284" max="1284" width="11.625" style="1274" customWidth="1"/>
    <col min="1285" max="1285" width="14.5" style="1274"/>
    <col min="1286" max="1286" width="19.125" style="1274" customWidth="1"/>
    <col min="1287" max="1287" width="13.375" style="1274" customWidth="1"/>
    <col min="1288" max="1288" width="11.5" style="1274" customWidth="1"/>
    <col min="1289" max="1289" width="12.625" style="1274" customWidth="1"/>
    <col min="1290" max="1290" width="12.125" style="1274" customWidth="1"/>
    <col min="1291" max="1291" width="12.875" style="1274" customWidth="1"/>
    <col min="1292" max="1292" width="8" style="1274" customWidth="1"/>
    <col min="1293" max="1293" width="11.5" style="1274" customWidth="1"/>
    <col min="1294" max="1294" width="12.875" style="1274" customWidth="1"/>
    <col min="1295" max="1295" width="14.5" style="1274"/>
    <col min="1296" max="1296" width="16.875" style="1274" customWidth="1"/>
    <col min="1297" max="1297" width="20.5" style="1274" bestFit="1" customWidth="1"/>
    <col min="1298" max="1536" width="14.5" style="1274"/>
    <col min="1537" max="1537" width="6.5" style="1274" customWidth="1"/>
    <col min="1538" max="1538" width="16" style="1274" customWidth="1"/>
    <col min="1539" max="1539" width="13.125" style="1274" customWidth="1"/>
    <col min="1540" max="1540" width="11.625" style="1274" customWidth="1"/>
    <col min="1541" max="1541" width="14.5" style="1274"/>
    <col min="1542" max="1542" width="19.125" style="1274" customWidth="1"/>
    <col min="1543" max="1543" width="13.375" style="1274" customWidth="1"/>
    <col min="1544" max="1544" width="11.5" style="1274" customWidth="1"/>
    <col min="1545" max="1545" width="12.625" style="1274" customWidth="1"/>
    <col min="1546" max="1546" width="12.125" style="1274" customWidth="1"/>
    <col min="1547" max="1547" width="12.875" style="1274" customWidth="1"/>
    <col min="1548" max="1548" width="8" style="1274" customWidth="1"/>
    <col min="1549" max="1549" width="11.5" style="1274" customWidth="1"/>
    <col min="1550" max="1550" width="12.875" style="1274" customWidth="1"/>
    <col min="1551" max="1551" width="14.5" style="1274"/>
    <col min="1552" max="1552" width="16.875" style="1274" customWidth="1"/>
    <col min="1553" max="1553" width="20.5" style="1274" bestFit="1" customWidth="1"/>
    <col min="1554" max="1792" width="14.5" style="1274"/>
    <col min="1793" max="1793" width="6.5" style="1274" customWidth="1"/>
    <col min="1794" max="1794" width="16" style="1274" customWidth="1"/>
    <col min="1795" max="1795" width="13.125" style="1274" customWidth="1"/>
    <col min="1796" max="1796" width="11.625" style="1274" customWidth="1"/>
    <col min="1797" max="1797" width="14.5" style="1274"/>
    <col min="1798" max="1798" width="19.125" style="1274" customWidth="1"/>
    <col min="1799" max="1799" width="13.375" style="1274" customWidth="1"/>
    <col min="1800" max="1800" width="11.5" style="1274" customWidth="1"/>
    <col min="1801" max="1801" width="12.625" style="1274" customWidth="1"/>
    <col min="1802" max="1802" width="12.125" style="1274" customWidth="1"/>
    <col min="1803" max="1803" width="12.875" style="1274" customWidth="1"/>
    <col min="1804" max="1804" width="8" style="1274" customWidth="1"/>
    <col min="1805" max="1805" width="11.5" style="1274" customWidth="1"/>
    <col min="1806" max="1806" width="12.875" style="1274" customWidth="1"/>
    <col min="1807" max="1807" width="14.5" style="1274"/>
    <col min="1808" max="1808" width="16.875" style="1274" customWidth="1"/>
    <col min="1809" max="1809" width="20.5" style="1274" bestFit="1" customWidth="1"/>
    <col min="1810" max="2048" width="14.5" style="1274"/>
    <col min="2049" max="2049" width="6.5" style="1274" customWidth="1"/>
    <col min="2050" max="2050" width="16" style="1274" customWidth="1"/>
    <col min="2051" max="2051" width="13.125" style="1274" customWidth="1"/>
    <col min="2052" max="2052" width="11.625" style="1274" customWidth="1"/>
    <col min="2053" max="2053" width="14.5" style="1274"/>
    <col min="2054" max="2054" width="19.125" style="1274" customWidth="1"/>
    <col min="2055" max="2055" width="13.375" style="1274" customWidth="1"/>
    <col min="2056" max="2056" width="11.5" style="1274" customWidth="1"/>
    <col min="2057" max="2057" width="12.625" style="1274" customWidth="1"/>
    <col min="2058" max="2058" width="12.125" style="1274" customWidth="1"/>
    <col min="2059" max="2059" width="12.875" style="1274" customWidth="1"/>
    <col min="2060" max="2060" width="8" style="1274" customWidth="1"/>
    <col min="2061" max="2061" width="11.5" style="1274" customWidth="1"/>
    <col min="2062" max="2062" width="12.875" style="1274" customWidth="1"/>
    <col min="2063" max="2063" width="14.5" style="1274"/>
    <col min="2064" max="2064" width="16.875" style="1274" customWidth="1"/>
    <col min="2065" max="2065" width="20.5" style="1274" bestFit="1" customWidth="1"/>
    <col min="2066" max="2304" width="14.5" style="1274"/>
    <col min="2305" max="2305" width="6.5" style="1274" customWidth="1"/>
    <col min="2306" max="2306" width="16" style="1274" customWidth="1"/>
    <col min="2307" max="2307" width="13.125" style="1274" customWidth="1"/>
    <col min="2308" max="2308" width="11.625" style="1274" customWidth="1"/>
    <col min="2309" max="2309" width="14.5" style="1274"/>
    <col min="2310" max="2310" width="19.125" style="1274" customWidth="1"/>
    <col min="2311" max="2311" width="13.375" style="1274" customWidth="1"/>
    <col min="2312" max="2312" width="11.5" style="1274" customWidth="1"/>
    <col min="2313" max="2313" width="12.625" style="1274" customWidth="1"/>
    <col min="2314" max="2314" width="12.125" style="1274" customWidth="1"/>
    <col min="2315" max="2315" width="12.875" style="1274" customWidth="1"/>
    <col min="2316" max="2316" width="8" style="1274" customWidth="1"/>
    <col min="2317" max="2317" width="11.5" style="1274" customWidth="1"/>
    <col min="2318" max="2318" width="12.875" style="1274" customWidth="1"/>
    <col min="2319" max="2319" width="14.5" style="1274"/>
    <col min="2320" max="2320" width="16.875" style="1274" customWidth="1"/>
    <col min="2321" max="2321" width="20.5" style="1274" bestFit="1" customWidth="1"/>
    <col min="2322" max="2560" width="14.5" style="1274"/>
    <col min="2561" max="2561" width="6.5" style="1274" customWidth="1"/>
    <col min="2562" max="2562" width="16" style="1274" customWidth="1"/>
    <col min="2563" max="2563" width="13.125" style="1274" customWidth="1"/>
    <col min="2564" max="2564" width="11.625" style="1274" customWidth="1"/>
    <col min="2565" max="2565" width="14.5" style="1274"/>
    <col min="2566" max="2566" width="19.125" style="1274" customWidth="1"/>
    <col min="2567" max="2567" width="13.375" style="1274" customWidth="1"/>
    <col min="2568" max="2568" width="11.5" style="1274" customWidth="1"/>
    <col min="2569" max="2569" width="12.625" style="1274" customWidth="1"/>
    <col min="2570" max="2570" width="12.125" style="1274" customWidth="1"/>
    <col min="2571" max="2571" width="12.875" style="1274" customWidth="1"/>
    <col min="2572" max="2572" width="8" style="1274" customWidth="1"/>
    <col min="2573" max="2573" width="11.5" style="1274" customWidth="1"/>
    <col min="2574" max="2574" width="12.875" style="1274" customWidth="1"/>
    <col min="2575" max="2575" width="14.5" style="1274"/>
    <col min="2576" max="2576" width="16.875" style="1274" customWidth="1"/>
    <col min="2577" max="2577" width="20.5" style="1274" bestFit="1" customWidth="1"/>
    <col min="2578" max="2816" width="14.5" style="1274"/>
    <col min="2817" max="2817" width="6.5" style="1274" customWidth="1"/>
    <col min="2818" max="2818" width="16" style="1274" customWidth="1"/>
    <col min="2819" max="2819" width="13.125" style="1274" customWidth="1"/>
    <col min="2820" max="2820" width="11.625" style="1274" customWidth="1"/>
    <col min="2821" max="2821" width="14.5" style="1274"/>
    <col min="2822" max="2822" width="19.125" style="1274" customWidth="1"/>
    <col min="2823" max="2823" width="13.375" style="1274" customWidth="1"/>
    <col min="2824" max="2824" width="11.5" style="1274" customWidth="1"/>
    <col min="2825" max="2825" width="12.625" style="1274" customWidth="1"/>
    <col min="2826" max="2826" width="12.125" style="1274" customWidth="1"/>
    <col min="2827" max="2827" width="12.875" style="1274" customWidth="1"/>
    <col min="2828" max="2828" width="8" style="1274" customWidth="1"/>
    <col min="2829" max="2829" width="11.5" style="1274" customWidth="1"/>
    <col min="2830" max="2830" width="12.875" style="1274" customWidth="1"/>
    <col min="2831" max="2831" width="14.5" style="1274"/>
    <col min="2832" max="2832" width="16.875" style="1274" customWidth="1"/>
    <col min="2833" max="2833" width="20.5" style="1274" bestFit="1" customWidth="1"/>
    <col min="2834" max="3072" width="14.5" style="1274"/>
    <col min="3073" max="3073" width="6.5" style="1274" customWidth="1"/>
    <col min="3074" max="3074" width="16" style="1274" customWidth="1"/>
    <col min="3075" max="3075" width="13.125" style="1274" customWidth="1"/>
    <col min="3076" max="3076" width="11.625" style="1274" customWidth="1"/>
    <col min="3077" max="3077" width="14.5" style="1274"/>
    <col min="3078" max="3078" width="19.125" style="1274" customWidth="1"/>
    <col min="3079" max="3079" width="13.375" style="1274" customWidth="1"/>
    <col min="3080" max="3080" width="11.5" style="1274" customWidth="1"/>
    <col min="3081" max="3081" width="12.625" style="1274" customWidth="1"/>
    <col min="3082" max="3082" width="12.125" style="1274" customWidth="1"/>
    <col min="3083" max="3083" width="12.875" style="1274" customWidth="1"/>
    <col min="3084" max="3084" width="8" style="1274" customWidth="1"/>
    <col min="3085" max="3085" width="11.5" style="1274" customWidth="1"/>
    <col min="3086" max="3086" width="12.875" style="1274" customWidth="1"/>
    <col min="3087" max="3087" width="14.5" style="1274"/>
    <col min="3088" max="3088" width="16.875" style="1274" customWidth="1"/>
    <col min="3089" max="3089" width="20.5" style="1274" bestFit="1" customWidth="1"/>
    <col min="3090" max="3328" width="14.5" style="1274"/>
    <col min="3329" max="3329" width="6.5" style="1274" customWidth="1"/>
    <col min="3330" max="3330" width="16" style="1274" customWidth="1"/>
    <col min="3331" max="3331" width="13.125" style="1274" customWidth="1"/>
    <col min="3332" max="3332" width="11.625" style="1274" customWidth="1"/>
    <col min="3333" max="3333" width="14.5" style="1274"/>
    <col min="3334" max="3334" width="19.125" style="1274" customWidth="1"/>
    <col min="3335" max="3335" width="13.375" style="1274" customWidth="1"/>
    <col min="3336" max="3336" width="11.5" style="1274" customWidth="1"/>
    <col min="3337" max="3337" width="12.625" style="1274" customWidth="1"/>
    <col min="3338" max="3338" width="12.125" style="1274" customWidth="1"/>
    <col min="3339" max="3339" width="12.875" style="1274" customWidth="1"/>
    <col min="3340" max="3340" width="8" style="1274" customWidth="1"/>
    <col min="3341" max="3341" width="11.5" style="1274" customWidth="1"/>
    <col min="3342" max="3342" width="12.875" style="1274" customWidth="1"/>
    <col min="3343" max="3343" width="14.5" style="1274"/>
    <col min="3344" max="3344" width="16.875" style="1274" customWidth="1"/>
    <col min="3345" max="3345" width="20.5" style="1274" bestFit="1" customWidth="1"/>
    <col min="3346" max="3584" width="14.5" style="1274"/>
    <col min="3585" max="3585" width="6.5" style="1274" customWidth="1"/>
    <col min="3586" max="3586" width="16" style="1274" customWidth="1"/>
    <col min="3587" max="3587" width="13.125" style="1274" customWidth="1"/>
    <col min="3588" max="3588" width="11.625" style="1274" customWidth="1"/>
    <col min="3589" max="3589" width="14.5" style="1274"/>
    <col min="3590" max="3590" width="19.125" style="1274" customWidth="1"/>
    <col min="3591" max="3591" width="13.375" style="1274" customWidth="1"/>
    <col min="3592" max="3592" width="11.5" style="1274" customWidth="1"/>
    <col min="3593" max="3593" width="12.625" style="1274" customWidth="1"/>
    <col min="3594" max="3594" width="12.125" style="1274" customWidth="1"/>
    <col min="3595" max="3595" width="12.875" style="1274" customWidth="1"/>
    <col min="3596" max="3596" width="8" style="1274" customWidth="1"/>
    <col min="3597" max="3597" width="11.5" style="1274" customWidth="1"/>
    <col min="3598" max="3598" width="12.875" style="1274" customWidth="1"/>
    <col min="3599" max="3599" width="14.5" style="1274"/>
    <col min="3600" max="3600" width="16.875" style="1274" customWidth="1"/>
    <col min="3601" max="3601" width="20.5" style="1274" bestFit="1" customWidth="1"/>
    <col min="3602" max="3840" width="14.5" style="1274"/>
    <col min="3841" max="3841" width="6.5" style="1274" customWidth="1"/>
    <col min="3842" max="3842" width="16" style="1274" customWidth="1"/>
    <col min="3843" max="3843" width="13.125" style="1274" customWidth="1"/>
    <col min="3844" max="3844" width="11.625" style="1274" customWidth="1"/>
    <col min="3845" max="3845" width="14.5" style="1274"/>
    <col min="3846" max="3846" width="19.125" style="1274" customWidth="1"/>
    <col min="3847" max="3847" width="13.375" style="1274" customWidth="1"/>
    <col min="3848" max="3848" width="11.5" style="1274" customWidth="1"/>
    <col min="3849" max="3849" width="12.625" style="1274" customWidth="1"/>
    <col min="3850" max="3850" width="12.125" style="1274" customWidth="1"/>
    <col min="3851" max="3851" width="12.875" style="1274" customWidth="1"/>
    <col min="3852" max="3852" width="8" style="1274" customWidth="1"/>
    <col min="3853" max="3853" width="11.5" style="1274" customWidth="1"/>
    <col min="3854" max="3854" width="12.875" style="1274" customWidth="1"/>
    <col min="3855" max="3855" width="14.5" style="1274"/>
    <col min="3856" max="3856" width="16.875" style="1274" customWidth="1"/>
    <col min="3857" max="3857" width="20.5" style="1274" bestFit="1" customWidth="1"/>
    <col min="3858" max="4096" width="14.5" style="1274"/>
    <col min="4097" max="4097" width="6.5" style="1274" customWidth="1"/>
    <col min="4098" max="4098" width="16" style="1274" customWidth="1"/>
    <col min="4099" max="4099" width="13.125" style="1274" customWidth="1"/>
    <col min="4100" max="4100" width="11.625" style="1274" customWidth="1"/>
    <col min="4101" max="4101" width="14.5" style="1274"/>
    <col min="4102" max="4102" width="19.125" style="1274" customWidth="1"/>
    <col min="4103" max="4103" width="13.375" style="1274" customWidth="1"/>
    <col min="4104" max="4104" width="11.5" style="1274" customWidth="1"/>
    <col min="4105" max="4105" width="12.625" style="1274" customWidth="1"/>
    <col min="4106" max="4106" width="12.125" style="1274" customWidth="1"/>
    <col min="4107" max="4107" width="12.875" style="1274" customWidth="1"/>
    <col min="4108" max="4108" width="8" style="1274" customWidth="1"/>
    <col min="4109" max="4109" width="11.5" style="1274" customWidth="1"/>
    <col min="4110" max="4110" width="12.875" style="1274" customWidth="1"/>
    <col min="4111" max="4111" width="14.5" style="1274"/>
    <col min="4112" max="4112" width="16.875" style="1274" customWidth="1"/>
    <col min="4113" max="4113" width="20.5" style="1274" bestFit="1" customWidth="1"/>
    <col min="4114" max="4352" width="14.5" style="1274"/>
    <col min="4353" max="4353" width="6.5" style="1274" customWidth="1"/>
    <col min="4354" max="4354" width="16" style="1274" customWidth="1"/>
    <col min="4355" max="4355" width="13.125" style="1274" customWidth="1"/>
    <col min="4356" max="4356" width="11.625" style="1274" customWidth="1"/>
    <col min="4357" max="4357" width="14.5" style="1274"/>
    <col min="4358" max="4358" width="19.125" style="1274" customWidth="1"/>
    <col min="4359" max="4359" width="13.375" style="1274" customWidth="1"/>
    <col min="4360" max="4360" width="11.5" style="1274" customWidth="1"/>
    <col min="4361" max="4361" width="12.625" style="1274" customWidth="1"/>
    <col min="4362" max="4362" width="12.125" style="1274" customWidth="1"/>
    <col min="4363" max="4363" width="12.875" style="1274" customWidth="1"/>
    <col min="4364" max="4364" width="8" style="1274" customWidth="1"/>
    <col min="4365" max="4365" width="11.5" style="1274" customWidth="1"/>
    <col min="4366" max="4366" width="12.875" style="1274" customWidth="1"/>
    <col min="4367" max="4367" width="14.5" style="1274"/>
    <col min="4368" max="4368" width="16.875" style="1274" customWidth="1"/>
    <col min="4369" max="4369" width="20.5" style="1274" bestFit="1" customWidth="1"/>
    <col min="4370" max="4608" width="14.5" style="1274"/>
    <col min="4609" max="4609" width="6.5" style="1274" customWidth="1"/>
    <col min="4610" max="4610" width="16" style="1274" customWidth="1"/>
    <col min="4611" max="4611" width="13.125" style="1274" customWidth="1"/>
    <col min="4612" max="4612" width="11.625" style="1274" customWidth="1"/>
    <col min="4613" max="4613" width="14.5" style="1274"/>
    <col min="4614" max="4614" width="19.125" style="1274" customWidth="1"/>
    <col min="4615" max="4615" width="13.375" style="1274" customWidth="1"/>
    <col min="4616" max="4616" width="11.5" style="1274" customWidth="1"/>
    <col min="4617" max="4617" width="12.625" style="1274" customWidth="1"/>
    <col min="4618" max="4618" width="12.125" style="1274" customWidth="1"/>
    <col min="4619" max="4619" width="12.875" style="1274" customWidth="1"/>
    <col min="4620" max="4620" width="8" style="1274" customWidth="1"/>
    <col min="4621" max="4621" width="11.5" style="1274" customWidth="1"/>
    <col min="4622" max="4622" width="12.875" style="1274" customWidth="1"/>
    <col min="4623" max="4623" width="14.5" style="1274"/>
    <col min="4624" max="4624" width="16.875" style="1274" customWidth="1"/>
    <col min="4625" max="4625" width="20.5" style="1274" bestFit="1" customWidth="1"/>
    <col min="4626" max="4864" width="14.5" style="1274"/>
    <col min="4865" max="4865" width="6.5" style="1274" customWidth="1"/>
    <col min="4866" max="4866" width="16" style="1274" customWidth="1"/>
    <col min="4867" max="4867" width="13.125" style="1274" customWidth="1"/>
    <col min="4868" max="4868" width="11.625" style="1274" customWidth="1"/>
    <col min="4869" max="4869" width="14.5" style="1274"/>
    <col min="4870" max="4870" width="19.125" style="1274" customWidth="1"/>
    <col min="4871" max="4871" width="13.375" style="1274" customWidth="1"/>
    <col min="4872" max="4872" width="11.5" style="1274" customWidth="1"/>
    <col min="4873" max="4873" width="12.625" style="1274" customWidth="1"/>
    <col min="4874" max="4874" width="12.125" style="1274" customWidth="1"/>
    <col min="4875" max="4875" width="12.875" style="1274" customWidth="1"/>
    <col min="4876" max="4876" width="8" style="1274" customWidth="1"/>
    <col min="4877" max="4877" width="11.5" style="1274" customWidth="1"/>
    <col min="4878" max="4878" width="12.875" style="1274" customWidth="1"/>
    <col min="4879" max="4879" width="14.5" style="1274"/>
    <col min="4880" max="4880" width="16.875" style="1274" customWidth="1"/>
    <col min="4881" max="4881" width="20.5" style="1274" bestFit="1" customWidth="1"/>
    <col min="4882" max="5120" width="14.5" style="1274"/>
    <col min="5121" max="5121" width="6.5" style="1274" customWidth="1"/>
    <col min="5122" max="5122" width="16" style="1274" customWidth="1"/>
    <col min="5123" max="5123" width="13.125" style="1274" customWidth="1"/>
    <col min="5124" max="5124" width="11.625" style="1274" customWidth="1"/>
    <col min="5125" max="5125" width="14.5" style="1274"/>
    <col min="5126" max="5126" width="19.125" style="1274" customWidth="1"/>
    <col min="5127" max="5127" width="13.375" style="1274" customWidth="1"/>
    <col min="5128" max="5128" width="11.5" style="1274" customWidth="1"/>
    <col min="5129" max="5129" width="12.625" style="1274" customWidth="1"/>
    <col min="5130" max="5130" width="12.125" style="1274" customWidth="1"/>
    <col min="5131" max="5131" width="12.875" style="1274" customWidth="1"/>
    <col min="5132" max="5132" width="8" style="1274" customWidth="1"/>
    <col min="5133" max="5133" width="11.5" style="1274" customWidth="1"/>
    <col min="5134" max="5134" width="12.875" style="1274" customWidth="1"/>
    <col min="5135" max="5135" width="14.5" style="1274"/>
    <col min="5136" max="5136" width="16.875" style="1274" customWidth="1"/>
    <col min="5137" max="5137" width="20.5" style="1274" bestFit="1" customWidth="1"/>
    <col min="5138" max="5376" width="14.5" style="1274"/>
    <col min="5377" max="5377" width="6.5" style="1274" customWidth="1"/>
    <col min="5378" max="5378" width="16" style="1274" customWidth="1"/>
    <col min="5379" max="5379" width="13.125" style="1274" customWidth="1"/>
    <col min="5380" max="5380" width="11.625" style="1274" customWidth="1"/>
    <col min="5381" max="5381" width="14.5" style="1274"/>
    <col min="5382" max="5382" width="19.125" style="1274" customWidth="1"/>
    <col min="5383" max="5383" width="13.375" style="1274" customWidth="1"/>
    <col min="5384" max="5384" width="11.5" style="1274" customWidth="1"/>
    <col min="5385" max="5385" width="12.625" style="1274" customWidth="1"/>
    <col min="5386" max="5386" width="12.125" style="1274" customWidth="1"/>
    <col min="5387" max="5387" width="12.875" style="1274" customWidth="1"/>
    <col min="5388" max="5388" width="8" style="1274" customWidth="1"/>
    <col min="5389" max="5389" width="11.5" style="1274" customWidth="1"/>
    <col min="5390" max="5390" width="12.875" style="1274" customWidth="1"/>
    <col min="5391" max="5391" width="14.5" style="1274"/>
    <col min="5392" max="5392" width="16.875" style="1274" customWidth="1"/>
    <col min="5393" max="5393" width="20.5" style="1274" bestFit="1" customWidth="1"/>
    <col min="5394" max="5632" width="14.5" style="1274"/>
    <col min="5633" max="5633" width="6.5" style="1274" customWidth="1"/>
    <col min="5634" max="5634" width="16" style="1274" customWidth="1"/>
    <col min="5635" max="5635" width="13.125" style="1274" customWidth="1"/>
    <col min="5636" max="5636" width="11.625" style="1274" customWidth="1"/>
    <col min="5637" max="5637" width="14.5" style="1274"/>
    <col min="5638" max="5638" width="19.125" style="1274" customWidth="1"/>
    <col min="5639" max="5639" width="13.375" style="1274" customWidth="1"/>
    <col min="5640" max="5640" width="11.5" style="1274" customWidth="1"/>
    <col min="5641" max="5641" width="12.625" style="1274" customWidth="1"/>
    <col min="5642" max="5642" width="12.125" style="1274" customWidth="1"/>
    <col min="5643" max="5643" width="12.875" style="1274" customWidth="1"/>
    <col min="5644" max="5644" width="8" style="1274" customWidth="1"/>
    <col min="5645" max="5645" width="11.5" style="1274" customWidth="1"/>
    <col min="5646" max="5646" width="12.875" style="1274" customWidth="1"/>
    <col min="5647" max="5647" width="14.5" style="1274"/>
    <col min="5648" max="5648" width="16.875" style="1274" customWidth="1"/>
    <col min="5649" max="5649" width="20.5" style="1274" bestFit="1" customWidth="1"/>
    <col min="5650" max="5888" width="14.5" style="1274"/>
    <col min="5889" max="5889" width="6.5" style="1274" customWidth="1"/>
    <col min="5890" max="5890" width="16" style="1274" customWidth="1"/>
    <col min="5891" max="5891" width="13.125" style="1274" customWidth="1"/>
    <col min="5892" max="5892" width="11.625" style="1274" customWidth="1"/>
    <col min="5893" max="5893" width="14.5" style="1274"/>
    <col min="5894" max="5894" width="19.125" style="1274" customWidth="1"/>
    <col min="5895" max="5895" width="13.375" style="1274" customWidth="1"/>
    <col min="5896" max="5896" width="11.5" style="1274" customWidth="1"/>
    <col min="5897" max="5897" width="12.625" style="1274" customWidth="1"/>
    <col min="5898" max="5898" width="12.125" style="1274" customWidth="1"/>
    <col min="5899" max="5899" width="12.875" style="1274" customWidth="1"/>
    <col min="5900" max="5900" width="8" style="1274" customWidth="1"/>
    <col min="5901" max="5901" width="11.5" style="1274" customWidth="1"/>
    <col min="5902" max="5902" width="12.875" style="1274" customWidth="1"/>
    <col min="5903" max="5903" width="14.5" style="1274"/>
    <col min="5904" max="5904" width="16.875" style="1274" customWidth="1"/>
    <col min="5905" max="5905" width="20.5" style="1274" bestFit="1" customWidth="1"/>
    <col min="5906" max="6144" width="14.5" style="1274"/>
    <col min="6145" max="6145" width="6.5" style="1274" customWidth="1"/>
    <col min="6146" max="6146" width="16" style="1274" customWidth="1"/>
    <col min="6147" max="6147" width="13.125" style="1274" customWidth="1"/>
    <col min="6148" max="6148" width="11.625" style="1274" customWidth="1"/>
    <col min="6149" max="6149" width="14.5" style="1274"/>
    <col min="6150" max="6150" width="19.125" style="1274" customWidth="1"/>
    <col min="6151" max="6151" width="13.375" style="1274" customWidth="1"/>
    <col min="6152" max="6152" width="11.5" style="1274" customWidth="1"/>
    <col min="6153" max="6153" width="12.625" style="1274" customWidth="1"/>
    <col min="6154" max="6154" width="12.125" style="1274" customWidth="1"/>
    <col min="6155" max="6155" width="12.875" style="1274" customWidth="1"/>
    <col min="6156" max="6156" width="8" style="1274" customWidth="1"/>
    <col min="6157" max="6157" width="11.5" style="1274" customWidth="1"/>
    <col min="6158" max="6158" width="12.875" style="1274" customWidth="1"/>
    <col min="6159" max="6159" width="14.5" style="1274"/>
    <col min="6160" max="6160" width="16.875" style="1274" customWidth="1"/>
    <col min="6161" max="6161" width="20.5" style="1274" bestFit="1" customWidth="1"/>
    <col min="6162" max="6400" width="14.5" style="1274"/>
    <col min="6401" max="6401" width="6.5" style="1274" customWidth="1"/>
    <col min="6402" max="6402" width="16" style="1274" customWidth="1"/>
    <col min="6403" max="6403" width="13.125" style="1274" customWidth="1"/>
    <col min="6404" max="6404" width="11.625" style="1274" customWidth="1"/>
    <col min="6405" max="6405" width="14.5" style="1274"/>
    <col min="6406" max="6406" width="19.125" style="1274" customWidth="1"/>
    <col min="6407" max="6407" width="13.375" style="1274" customWidth="1"/>
    <col min="6408" max="6408" width="11.5" style="1274" customWidth="1"/>
    <col min="6409" max="6409" width="12.625" style="1274" customWidth="1"/>
    <col min="6410" max="6410" width="12.125" style="1274" customWidth="1"/>
    <col min="6411" max="6411" width="12.875" style="1274" customWidth="1"/>
    <col min="6412" max="6412" width="8" style="1274" customWidth="1"/>
    <col min="6413" max="6413" width="11.5" style="1274" customWidth="1"/>
    <col min="6414" max="6414" width="12.875" style="1274" customWidth="1"/>
    <col min="6415" max="6415" width="14.5" style="1274"/>
    <col min="6416" max="6416" width="16.875" style="1274" customWidth="1"/>
    <col min="6417" max="6417" width="20.5" style="1274" bestFit="1" customWidth="1"/>
    <col min="6418" max="6656" width="14.5" style="1274"/>
    <col min="6657" max="6657" width="6.5" style="1274" customWidth="1"/>
    <col min="6658" max="6658" width="16" style="1274" customWidth="1"/>
    <col min="6659" max="6659" width="13.125" style="1274" customWidth="1"/>
    <col min="6660" max="6660" width="11.625" style="1274" customWidth="1"/>
    <col min="6661" max="6661" width="14.5" style="1274"/>
    <col min="6662" max="6662" width="19.125" style="1274" customWidth="1"/>
    <col min="6663" max="6663" width="13.375" style="1274" customWidth="1"/>
    <col min="6664" max="6664" width="11.5" style="1274" customWidth="1"/>
    <col min="6665" max="6665" width="12.625" style="1274" customWidth="1"/>
    <col min="6666" max="6666" width="12.125" style="1274" customWidth="1"/>
    <col min="6667" max="6667" width="12.875" style="1274" customWidth="1"/>
    <col min="6668" max="6668" width="8" style="1274" customWidth="1"/>
    <col min="6669" max="6669" width="11.5" style="1274" customWidth="1"/>
    <col min="6670" max="6670" width="12.875" style="1274" customWidth="1"/>
    <col min="6671" max="6671" width="14.5" style="1274"/>
    <col min="6672" max="6672" width="16.875" style="1274" customWidth="1"/>
    <col min="6673" max="6673" width="20.5" style="1274" bestFit="1" customWidth="1"/>
    <col min="6674" max="6912" width="14.5" style="1274"/>
    <col min="6913" max="6913" width="6.5" style="1274" customWidth="1"/>
    <col min="6914" max="6914" width="16" style="1274" customWidth="1"/>
    <col min="6915" max="6915" width="13.125" style="1274" customWidth="1"/>
    <col min="6916" max="6916" width="11.625" style="1274" customWidth="1"/>
    <col min="6917" max="6917" width="14.5" style="1274"/>
    <col min="6918" max="6918" width="19.125" style="1274" customWidth="1"/>
    <col min="6919" max="6919" width="13.375" style="1274" customWidth="1"/>
    <col min="6920" max="6920" width="11.5" style="1274" customWidth="1"/>
    <col min="6921" max="6921" width="12.625" style="1274" customWidth="1"/>
    <col min="6922" max="6922" width="12.125" style="1274" customWidth="1"/>
    <col min="6923" max="6923" width="12.875" style="1274" customWidth="1"/>
    <col min="6924" max="6924" width="8" style="1274" customWidth="1"/>
    <col min="6925" max="6925" width="11.5" style="1274" customWidth="1"/>
    <col min="6926" max="6926" width="12.875" style="1274" customWidth="1"/>
    <col min="6927" max="6927" width="14.5" style="1274"/>
    <col min="6928" max="6928" width="16.875" style="1274" customWidth="1"/>
    <col min="6929" max="6929" width="20.5" style="1274" bestFit="1" customWidth="1"/>
    <col min="6930" max="7168" width="14.5" style="1274"/>
    <col min="7169" max="7169" width="6.5" style="1274" customWidth="1"/>
    <col min="7170" max="7170" width="16" style="1274" customWidth="1"/>
    <col min="7171" max="7171" width="13.125" style="1274" customWidth="1"/>
    <col min="7172" max="7172" width="11.625" style="1274" customWidth="1"/>
    <col min="7173" max="7173" width="14.5" style="1274"/>
    <col min="7174" max="7174" width="19.125" style="1274" customWidth="1"/>
    <col min="7175" max="7175" width="13.375" style="1274" customWidth="1"/>
    <col min="7176" max="7176" width="11.5" style="1274" customWidth="1"/>
    <col min="7177" max="7177" width="12.625" style="1274" customWidth="1"/>
    <col min="7178" max="7178" width="12.125" style="1274" customWidth="1"/>
    <col min="7179" max="7179" width="12.875" style="1274" customWidth="1"/>
    <col min="7180" max="7180" width="8" style="1274" customWidth="1"/>
    <col min="7181" max="7181" width="11.5" style="1274" customWidth="1"/>
    <col min="7182" max="7182" width="12.875" style="1274" customWidth="1"/>
    <col min="7183" max="7183" width="14.5" style="1274"/>
    <col min="7184" max="7184" width="16.875" style="1274" customWidth="1"/>
    <col min="7185" max="7185" width="20.5" style="1274" bestFit="1" customWidth="1"/>
    <col min="7186" max="7424" width="14.5" style="1274"/>
    <col min="7425" max="7425" width="6.5" style="1274" customWidth="1"/>
    <col min="7426" max="7426" width="16" style="1274" customWidth="1"/>
    <col min="7427" max="7427" width="13.125" style="1274" customWidth="1"/>
    <col min="7428" max="7428" width="11.625" style="1274" customWidth="1"/>
    <col min="7429" max="7429" width="14.5" style="1274"/>
    <col min="7430" max="7430" width="19.125" style="1274" customWidth="1"/>
    <col min="7431" max="7431" width="13.375" style="1274" customWidth="1"/>
    <col min="7432" max="7432" width="11.5" style="1274" customWidth="1"/>
    <col min="7433" max="7433" width="12.625" style="1274" customWidth="1"/>
    <col min="7434" max="7434" width="12.125" style="1274" customWidth="1"/>
    <col min="7435" max="7435" width="12.875" style="1274" customWidth="1"/>
    <col min="7436" max="7436" width="8" style="1274" customWidth="1"/>
    <col min="7437" max="7437" width="11.5" style="1274" customWidth="1"/>
    <col min="7438" max="7438" width="12.875" style="1274" customWidth="1"/>
    <col min="7439" max="7439" width="14.5" style="1274"/>
    <col min="7440" max="7440" width="16.875" style="1274" customWidth="1"/>
    <col min="7441" max="7441" width="20.5" style="1274" bestFit="1" customWidth="1"/>
    <col min="7442" max="7680" width="14.5" style="1274"/>
    <col min="7681" max="7681" width="6.5" style="1274" customWidth="1"/>
    <col min="7682" max="7682" width="16" style="1274" customWidth="1"/>
    <col min="7683" max="7683" width="13.125" style="1274" customWidth="1"/>
    <col min="7684" max="7684" width="11.625" style="1274" customWidth="1"/>
    <col min="7685" max="7685" width="14.5" style="1274"/>
    <col min="7686" max="7686" width="19.125" style="1274" customWidth="1"/>
    <col min="7687" max="7687" width="13.375" style="1274" customWidth="1"/>
    <col min="7688" max="7688" width="11.5" style="1274" customWidth="1"/>
    <col min="7689" max="7689" width="12.625" style="1274" customWidth="1"/>
    <col min="7690" max="7690" width="12.125" style="1274" customWidth="1"/>
    <col min="7691" max="7691" width="12.875" style="1274" customWidth="1"/>
    <col min="7692" max="7692" width="8" style="1274" customWidth="1"/>
    <col min="7693" max="7693" width="11.5" style="1274" customWidth="1"/>
    <col min="7694" max="7694" width="12.875" style="1274" customWidth="1"/>
    <col min="7695" max="7695" width="14.5" style="1274"/>
    <col min="7696" max="7696" width="16.875" style="1274" customWidth="1"/>
    <col min="7697" max="7697" width="20.5" style="1274" bestFit="1" customWidth="1"/>
    <col min="7698" max="7936" width="14.5" style="1274"/>
    <col min="7937" max="7937" width="6.5" style="1274" customWidth="1"/>
    <col min="7938" max="7938" width="16" style="1274" customWidth="1"/>
    <col min="7939" max="7939" width="13.125" style="1274" customWidth="1"/>
    <col min="7940" max="7940" width="11.625" style="1274" customWidth="1"/>
    <col min="7941" max="7941" width="14.5" style="1274"/>
    <col min="7942" max="7942" width="19.125" style="1274" customWidth="1"/>
    <col min="7943" max="7943" width="13.375" style="1274" customWidth="1"/>
    <col min="7944" max="7944" width="11.5" style="1274" customWidth="1"/>
    <col min="7945" max="7945" width="12.625" style="1274" customWidth="1"/>
    <col min="7946" max="7946" width="12.125" style="1274" customWidth="1"/>
    <col min="7947" max="7947" width="12.875" style="1274" customWidth="1"/>
    <col min="7948" max="7948" width="8" style="1274" customWidth="1"/>
    <col min="7949" max="7949" width="11.5" style="1274" customWidth="1"/>
    <col min="7950" max="7950" width="12.875" style="1274" customWidth="1"/>
    <col min="7951" max="7951" width="14.5" style="1274"/>
    <col min="7952" max="7952" width="16.875" style="1274" customWidth="1"/>
    <col min="7953" max="7953" width="20.5" style="1274" bestFit="1" customWidth="1"/>
    <col min="7954" max="8192" width="14.5" style="1274"/>
    <col min="8193" max="8193" width="6.5" style="1274" customWidth="1"/>
    <col min="8194" max="8194" width="16" style="1274" customWidth="1"/>
    <col min="8195" max="8195" width="13.125" style="1274" customWidth="1"/>
    <col min="8196" max="8196" width="11.625" style="1274" customWidth="1"/>
    <col min="8197" max="8197" width="14.5" style="1274"/>
    <col min="8198" max="8198" width="19.125" style="1274" customWidth="1"/>
    <col min="8199" max="8199" width="13.375" style="1274" customWidth="1"/>
    <col min="8200" max="8200" width="11.5" style="1274" customWidth="1"/>
    <col min="8201" max="8201" width="12.625" style="1274" customWidth="1"/>
    <col min="8202" max="8202" width="12.125" style="1274" customWidth="1"/>
    <col min="8203" max="8203" width="12.875" style="1274" customWidth="1"/>
    <col min="8204" max="8204" width="8" style="1274" customWidth="1"/>
    <col min="8205" max="8205" width="11.5" style="1274" customWidth="1"/>
    <col min="8206" max="8206" width="12.875" style="1274" customWidth="1"/>
    <col min="8207" max="8207" width="14.5" style="1274"/>
    <col min="8208" max="8208" width="16.875" style="1274" customWidth="1"/>
    <col min="8209" max="8209" width="20.5" style="1274" bestFit="1" customWidth="1"/>
    <col min="8210" max="8448" width="14.5" style="1274"/>
    <col min="8449" max="8449" width="6.5" style="1274" customWidth="1"/>
    <col min="8450" max="8450" width="16" style="1274" customWidth="1"/>
    <col min="8451" max="8451" width="13.125" style="1274" customWidth="1"/>
    <col min="8452" max="8452" width="11.625" style="1274" customWidth="1"/>
    <col min="8453" max="8453" width="14.5" style="1274"/>
    <col min="8454" max="8454" width="19.125" style="1274" customWidth="1"/>
    <col min="8455" max="8455" width="13.375" style="1274" customWidth="1"/>
    <col min="8456" max="8456" width="11.5" style="1274" customWidth="1"/>
    <col min="8457" max="8457" width="12.625" style="1274" customWidth="1"/>
    <col min="8458" max="8458" width="12.125" style="1274" customWidth="1"/>
    <col min="8459" max="8459" width="12.875" style="1274" customWidth="1"/>
    <col min="8460" max="8460" width="8" style="1274" customWidth="1"/>
    <col min="8461" max="8461" width="11.5" style="1274" customWidth="1"/>
    <col min="8462" max="8462" width="12.875" style="1274" customWidth="1"/>
    <col min="8463" max="8463" width="14.5" style="1274"/>
    <col min="8464" max="8464" width="16.875" style="1274" customWidth="1"/>
    <col min="8465" max="8465" width="20.5" style="1274" bestFit="1" customWidth="1"/>
    <col min="8466" max="8704" width="14.5" style="1274"/>
    <col min="8705" max="8705" width="6.5" style="1274" customWidth="1"/>
    <col min="8706" max="8706" width="16" style="1274" customWidth="1"/>
    <col min="8707" max="8707" width="13.125" style="1274" customWidth="1"/>
    <col min="8708" max="8708" width="11.625" style="1274" customWidth="1"/>
    <col min="8709" max="8709" width="14.5" style="1274"/>
    <col min="8710" max="8710" width="19.125" style="1274" customWidth="1"/>
    <col min="8711" max="8711" width="13.375" style="1274" customWidth="1"/>
    <col min="8712" max="8712" width="11.5" style="1274" customWidth="1"/>
    <col min="8713" max="8713" width="12.625" style="1274" customWidth="1"/>
    <col min="8714" max="8714" width="12.125" style="1274" customWidth="1"/>
    <col min="8715" max="8715" width="12.875" style="1274" customWidth="1"/>
    <col min="8716" max="8716" width="8" style="1274" customWidth="1"/>
    <col min="8717" max="8717" width="11.5" style="1274" customWidth="1"/>
    <col min="8718" max="8718" width="12.875" style="1274" customWidth="1"/>
    <col min="8719" max="8719" width="14.5" style="1274"/>
    <col min="8720" max="8720" width="16.875" style="1274" customWidth="1"/>
    <col min="8721" max="8721" width="20.5" style="1274" bestFit="1" customWidth="1"/>
    <col min="8722" max="8960" width="14.5" style="1274"/>
    <col min="8961" max="8961" width="6.5" style="1274" customWidth="1"/>
    <col min="8962" max="8962" width="16" style="1274" customWidth="1"/>
    <col min="8963" max="8963" width="13.125" style="1274" customWidth="1"/>
    <col min="8964" max="8964" width="11.625" style="1274" customWidth="1"/>
    <col min="8965" max="8965" width="14.5" style="1274"/>
    <col min="8966" max="8966" width="19.125" style="1274" customWidth="1"/>
    <col min="8967" max="8967" width="13.375" style="1274" customWidth="1"/>
    <col min="8968" max="8968" width="11.5" style="1274" customWidth="1"/>
    <col min="8969" max="8969" width="12.625" style="1274" customWidth="1"/>
    <col min="8970" max="8970" width="12.125" style="1274" customWidth="1"/>
    <col min="8971" max="8971" width="12.875" style="1274" customWidth="1"/>
    <col min="8972" max="8972" width="8" style="1274" customWidth="1"/>
    <col min="8973" max="8973" width="11.5" style="1274" customWidth="1"/>
    <col min="8974" max="8974" width="12.875" style="1274" customWidth="1"/>
    <col min="8975" max="8975" width="14.5" style="1274"/>
    <col min="8976" max="8976" width="16.875" style="1274" customWidth="1"/>
    <col min="8977" max="8977" width="20.5" style="1274" bestFit="1" customWidth="1"/>
    <col min="8978" max="9216" width="14.5" style="1274"/>
    <col min="9217" max="9217" width="6.5" style="1274" customWidth="1"/>
    <col min="9218" max="9218" width="16" style="1274" customWidth="1"/>
    <col min="9219" max="9219" width="13.125" style="1274" customWidth="1"/>
    <col min="9220" max="9220" width="11.625" style="1274" customWidth="1"/>
    <col min="9221" max="9221" width="14.5" style="1274"/>
    <col min="9222" max="9222" width="19.125" style="1274" customWidth="1"/>
    <col min="9223" max="9223" width="13.375" style="1274" customWidth="1"/>
    <col min="9224" max="9224" width="11.5" style="1274" customWidth="1"/>
    <col min="9225" max="9225" width="12.625" style="1274" customWidth="1"/>
    <col min="9226" max="9226" width="12.125" style="1274" customWidth="1"/>
    <col min="9227" max="9227" width="12.875" style="1274" customWidth="1"/>
    <col min="9228" max="9228" width="8" style="1274" customWidth="1"/>
    <col min="9229" max="9229" width="11.5" style="1274" customWidth="1"/>
    <col min="9230" max="9230" width="12.875" style="1274" customWidth="1"/>
    <col min="9231" max="9231" width="14.5" style="1274"/>
    <col min="9232" max="9232" width="16.875" style="1274" customWidth="1"/>
    <col min="9233" max="9233" width="20.5" style="1274" bestFit="1" customWidth="1"/>
    <col min="9234" max="9472" width="14.5" style="1274"/>
    <col min="9473" max="9473" width="6.5" style="1274" customWidth="1"/>
    <col min="9474" max="9474" width="16" style="1274" customWidth="1"/>
    <col min="9475" max="9475" width="13.125" style="1274" customWidth="1"/>
    <col min="9476" max="9476" width="11.625" style="1274" customWidth="1"/>
    <col min="9477" max="9477" width="14.5" style="1274"/>
    <col min="9478" max="9478" width="19.125" style="1274" customWidth="1"/>
    <col min="9479" max="9479" width="13.375" style="1274" customWidth="1"/>
    <col min="9480" max="9480" width="11.5" style="1274" customWidth="1"/>
    <col min="9481" max="9481" width="12.625" style="1274" customWidth="1"/>
    <col min="9482" max="9482" width="12.125" style="1274" customWidth="1"/>
    <col min="9483" max="9483" width="12.875" style="1274" customWidth="1"/>
    <col min="9484" max="9484" width="8" style="1274" customWidth="1"/>
    <col min="9485" max="9485" width="11.5" style="1274" customWidth="1"/>
    <col min="9486" max="9486" width="12.875" style="1274" customWidth="1"/>
    <col min="9487" max="9487" width="14.5" style="1274"/>
    <col min="9488" max="9488" width="16.875" style="1274" customWidth="1"/>
    <col min="9489" max="9489" width="20.5" style="1274" bestFit="1" customWidth="1"/>
    <col min="9490" max="9728" width="14.5" style="1274"/>
    <col min="9729" max="9729" width="6.5" style="1274" customWidth="1"/>
    <col min="9730" max="9730" width="16" style="1274" customWidth="1"/>
    <col min="9731" max="9731" width="13.125" style="1274" customWidth="1"/>
    <col min="9732" max="9732" width="11.625" style="1274" customWidth="1"/>
    <col min="9733" max="9733" width="14.5" style="1274"/>
    <col min="9734" max="9734" width="19.125" style="1274" customWidth="1"/>
    <col min="9735" max="9735" width="13.375" style="1274" customWidth="1"/>
    <col min="9736" max="9736" width="11.5" style="1274" customWidth="1"/>
    <col min="9737" max="9737" width="12.625" style="1274" customWidth="1"/>
    <col min="9738" max="9738" width="12.125" style="1274" customWidth="1"/>
    <col min="9739" max="9739" width="12.875" style="1274" customWidth="1"/>
    <col min="9740" max="9740" width="8" style="1274" customWidth="1"/>
    <col min="9741" max="9741" width="11.5" style="1274" customWidth="1"/>
    <col min="9742" max="9742" width="12.875" style="1274" customWidth="1"/>
    <col min="9743" max="9743" width="14.5" style="1274"/>
    <col min="9744" max="9744" width="16.875" style="1274" customWidth="1"/>
    <col min="9745" max="9745" width="20.5" style="1274" bestFit="1" customWidth="1"/>
    <col min="9746" max="9984" width="14.5" style="1274"/>
    <col min="9985" max="9985" width="6.5" style="1274" customWidth="1"/>
    <col min="9986" max="9986" width="16" style="1274" customWidth="1"/>
    <col min="9987" max="9987" width="13.125" style="1274" customWidth="1"/>
    <col min="9988" max="9988" width="11.625" style="1274" customWidth="1"/>
    <col min="9989" max="9989" width="14.5" style="1274"/>
    <col min="9990" max="9990" width="19.125" style="1274" customWidth="1"/>
    <col min="9991" max="9991" width="13.375" style="1274" customWidth="1"/>
    <col min="9992" max="9992" width="11.5" style="1274" customWidth="1"/>
    <col min="9993" max="9993" width="12.625" style="1274" customWidth="1"/>
    <col min="9994" max="9994" width="12.125" style="1274" customWidth="1"/>
    <col min="9995" max="9995" width="12.875" style="1274" customWidth="1"/>
    <col min="9996" max="9996" width="8" style="1274" customWidth="1"/>
    <col min="9997" max="9997" width="11.5" style="1274" customWidth="1"/>
    <col min="9998" max="9998" width="12.875" style="1274" customWidth="1"/>
    <col min="9999" max="9999" width="14.5" style="1274"/>
    <col min="10000" max="10000" width="16.875" style="1274" customWidth="1"/>
    <col min="10001" max="10001" width="20.5" style="1274" bestFit="1" customWidth="1"/>
    <col min="10002" max="10240" width="14.5" style="1274"/>
    <col min="10241" max="10241" width="6.5" style="1274" customWidth="1"/>
    <col min="10242" max="10242" width="16" style="1274" customWidth="1"/>
    <col min="10243" max="10243" width="13.125" style="1274" customWidth="1"/>
    <col min="10244" max="10244" width="11.625" style="1274" customWidth="1"/>
    <col min="10245" max="10245" width="14.5" style="1274"/>
    <col min="10246" max="10246" width="19.125" style="1274" customWidth="1"/>
    <col min="10247" max="10247" width="13.375" style="1274" customWidth="1"/>
    <col min="10248" max="10248" width="11.5" style="1274" customWidth="1"/>
    <col min="10249" max="10249" width="12.625" style="1274" customWidth="1"/>
    <col min="10250" max="10250" width="12.125" style="1274" customWidth="1"/>
    <col min="10251" max="10251" width="12.875" style="1274" customWidth="1"/>
    <col min="10252" max="10252" width="8" style="1274" customWidth="1"/>
    <col min="10253" max="10253" width="11.5" style="1274" customWidth="1"/>
    <col min="10254" max="10254" width="12.875" style="1274" customWidth="1"/>
    <col min="10255" max="10255" width="14.5" style="1274"/>
    <col min="10256" max="10256" width="16.875" style="1274" customWidth="1"/>
    <col min="10257" max="10257" width="20.5" style="1274" bestFit="1" customWidth="1"/>
    <col min="10258" max="10496" width="14.5" style="1274"/>
    <col min="10497" max="10497" width="6.5" style="1274" customWidth="1"/>
    <col min="10498" max="10498" width="16" style="1274" customWidth="1"/>
    <col min="10499" max="10499" width="13.125" style="1274" customWidth="1"/>
    <col min="10500" max="10500" width="11.625" style="1274" customWidth="1"/>
    <col min="10501" max="10501" width="14.5" style="1274"/>
    <col min="10502" max="10502" width="19.125" style="1274" customWidth="1"/>
    <col min="10503" max="10503" width="13.375" style="1274" customWidth="1"/>
    <col min="10504" max="10504" width="11.5" style="1274" customWidth="1"/>
    <col min="10505" max="10505" width="12.625" style="1274" customWidth="1"/>
    <col min="10506" max="10506" width="12.125" style="1274" customWidth="1"/>
    <col min="10507" max="10507" width="12.875" style="1274" customWidth="1"/>
    <col min="10508" max="10508" width="8" style="1274" customWidth="1"/>
    <col min="10509" max="10509" width="11.5" style="1274" customWidth="1"/>
    <col min="10510" max="10510" width="12.875" style="1274" customWidth="1"/>
    <col min="10511" max="10511" width="14.5" style="1274"/>
    <col min="10512" max="10512" width="16.875" style="1274" customWidth="1"/>
    <col min="10513" max="10513" width="20.5" style="1274" bestFit="1" customWidth="1"/>
    <col min="10514" max="10752" width="14.5" style="1274"/>
    <col min="10753" max="10753" width="6.5" style="1274" customWidth="1"/>
    <col min="10754" max="10754" width="16" style="1274" customWidth="1"/>
    <col min="10755" max="10755" width="13.125" style="1274" customWidth="1"/>
    <col min="10756" max="10756" width="11.625" style="1274" customWidth="1"/>
    <col min="10757" max="10757" width="14.5" style="1274"/>
    <col min="10758" max="10758" width="19.125" style="1274" customWidth="1"/>
    <col min="10759" max="10759" width="13.375" style="1274" customWidth="1"/>
    <col min="10760" max="10760" width="11.5" style="1274" customWidth="1"/>
    <col min="10761" max="10761" width="12.625" style="1274" customWidth="1"/>
    <col min="10762" max="10762" width="12.125" style="1274" customWidth="1"/>
    <col min="10763" max="10763" width="12.875" style="1274" customWidth="1"/>
    <col min="10764" max="10764" width="8" style="1274" customWidth="1"/>
    <col min="10765" max="10765" width="11.5" style="1274" customWidth="1"/>
    <col min="10766" max="10766" width="12.875" style="1274" customWidth="1"/>
    <col min="10767" max="10767" width="14.5" style="1274"/>
    <col min="10768" max="10768" width="16.875" style="1274" customWidth="1"/>
    <col min="10769" max="10769" width="20.5" style="1274" bestFit="1" customWidth="1"/>
    <col min="10770" max="11008" width="14.5" style="1274"/>
    <col min="11009" max="11009" width="6.5" style="1274" customWidth="1"/>
    <col min="11010" max="11010" width="16" style="1274" customWidth="1"/>
    <col min="11011" max="11011" width="13.125" style="1274" customWidth="1"/>
    <col min="11012" max="11012" width="11.625" style="1274" customWidth="1"/>
    <col min="11013" max="11013" width="14.5" style="1274"/>
    <col min="11014" max="11014" width="19.125" style="1274" customWidth="1"/>
    <col min="11015" max="11015" width="13.375" style="1274" customWidth="1"/>
    <col min="11016" max="11016" width="11.5" style="1274" customWidth="1"/>
    <col min="11017" max="11017" width="12.625" style="1274" customWidth="1"/>
    <col min="11018" max="11018" width="12.125" style="1274" customWidth="1"/>
    <col min="11019" max="11019" width="12.875" style="1274" customWidth="1"/>
    <col min="11020" max="11020" width="8" style="1274" customWidth="1"/>
    <col min="11021" max="11021" width="11.5" style="1274" customWidth="1"/>
    <col min="11022" max="11022" width="12.875" style="1274" customWidth="1"/>
    <col min="11023" max="11023" width="14.5" style="1274"/>
    <col min="11024" max="11024" width="16.875" style="1274" customWidth="1"/>
    <col min="11025" max="11025" width="20.5" style="1274" bestFit="1" customWidth="1"/>
    <col min="11026" max="11264" width="14.5" style="1274"/>
    <col min="11265" max="11265" width="6.5" style="1274" customWidth="1"/>
    <col min="11266" max="11266" width="16" style="1274" customWidth="1"/>
    <col min="11267" max="11267" width="13.125" style="1274" customWidth="1"/>
    <col min="11268" max="11268" width="11.625" style="1274" customWidth="1"/>
    <col min="11269" max="11269" width="14.5" style="1274"/>
    <col min="11270" max="11270" width="19.125" style="1274" customWidth="1"/>
    <col min="11271" max="11271" width="13.375" style="1274" customWidth="1"/>
    <col min="11272" max="11272" width="11.5" style="1274" customWidth="1"/>
    <col min="11273" max="11273" width="12.625" style="1274" customWidth="1"/>
    <col min="11274" max="11274" width="12.125" style="1274" customWidth="1"/>
    <col min="11275" max="11275" width="12.875" style="1274" customWidth="1"/>
    <col min="11276" max="11276" width="8" style="1274" customWidth="1"/>
    <col min="11277" max="11277" width="11.5" style="1274" customWidth="1"/>
    <col min="11278" max="11278" width="12.875" style="1274" customWidth="1"/>
    <col min="11279" max="11279" width="14.5" style="1274"/>
    <col min="11280" max="11280" width="16.875" style="1274" customWidth="1"/>
    <col min="11281" max="11281" width="20.5" style="1274" bestFit="1" customWidth="1"/>
    <col min="11282" max="11520" width="14.5" style="1274"/>
    <col min="11521" max="11521" width="6.5" style="1274" customWidth="1"/>
    <col min="11522" max="11522" width="16" style="1274" customWidth="1"/>
    <col min="11523" max="11523" width="13.125" style="1274" customWidth="1"/>
    <col min="11524" max="11524" width="11.625" style="1274" customWidth="1"/>
    <col min="11525" max="11525" width="14.5" style="1274"/>
    <col min="11526" max="11526" width="19.125" style="1274" customWidth="1"/>
    <col min="11527" max="11527" width="13.375" style="1274" customWidth="1"/>
    <col min="11528" max="11528" width="11.5" style="1274" customWidth="1"/>
    <col min="11529" max="11529" width="12.625" style="1274" customWidth="1"/>
    <col min="11530" max="11530" width="12.125" style="1274" customWidth="1"/>
    <col min="11531" max="11531" width="12.875" style="1274" customWidth="1"/>
    <col min="11532" max="11532" width="8" style="1274" customWidth="1"/>
    <col min="11533" max="11533" width="11.5" style="1274" customWidth="1"/>
    <col min="11534" max="11534" width="12.875" style="1274" customWidth="1"/>
    <col min="11535" max="11535" width="14.5" style="1274"/>
    <col min="11536" max="11536" width="16.875" style="1274" customWidth="1"/>
    <col min="11537" max="11537" width="20.5" style="1274" bestFit="1" customWidth="1"/>
    <col min="11538" max="11776" width="14.5" style="1274"/>
    <col min="11777" max="11777" width="6.5" style="1274" customWidth="1"/>
    <col min="11778" max="11778" width="16" style="1274" customWidth="1"/>
    <col min="11779" max="11779" width="13.125" style="1274" customWidth="1"/>
    <col min="11780" max="11780" width="11.625" style="1274" customWidth="1"/>
    <col min="11781" max="11781" width="14.5" style="1274"/>
    <col min="11782" max="11782" width="19.125" style="1274" customWidth="1"/>
    <col min="11783" max="11783" width="13.375" style="1274" customWidth="1"/>
    <col min="11784" max="11784" width="11.5" style="1274" customWidth="1"/>
    <col min="11785" max="11785" width="12.625" style="1274" customWidth="1"/>
    <col min="11786" max="11786" width="12.125" style="1274" customWidth="1"/>
    <col min="11787" max="11787" width="12.875" style="1274" customWidth="1"/>
    <col min="11788" max="11788" width="8" style="1274" customWidth="1"/>
    <col min="11789" max="11789" width="11.5" style="1274" customWidth="1"/>
    <col min="11790" max="11790" width="12.875" style="1274" customWidth="1"/>
    <col min="11791" max="11791" width="14.5" style="1274"/>
    <col min="11792" max="11792" width="16.875" style="1274" customWidth="1"/>
    <col min="11793" max="11793" width="20.5" style="1274" bestFit="1" customWidth="1"/>
    <col min="11794" max="12032" width="14.5" style="1274"/>
    <col min="12033" max="12033" width="6.5" style="1274" customWidth="1"/>
    <col min="12034" max="12034" width="16" style="1274" customWidth="1"/>
    <col min="12035" max="12035" width="13.125" style="1274" customWidth="1"/>
    <col min="12036" max="12036" width="11.625" style="1274" customWidth="1"/>
    <col min="12037" max="12037" width="14.5" style="1274"/>
    <col min="12038" max="12038" width="19.125" style="1274" customWidth="1"/>
    <col min="12039" max="12039" width="13.375" style="1274" customWidth="1"/>
    <col min="12040" max="12040" width="11.5" style="1274" customWidth="1"/>
    <col min="12041" max="12041" width="12.625" style="1274" customWidth="1"/>
    <col min="12042" max="12042" width="12.125" style="1274" customWidth="1"/>
    <col min="12043" max="12043" width="12.875" style="1274" customWidth="1"/>
    <col min="12044" max="12044" width="8" style="1274" customWidth="1"/>
    <col min="12045" max="12045" width="11.5" style="1274" customWidth="1"/>
    <col min="12046" max="12046" width="12.875" style="1274" customWidth="1"/>
    <col min="12047" max="12047" width="14.5" style="1274"/>
    <col min="12048" max="12048" width="16.875" style="1274" customWidth="1"/>
    <col min="12049" max="12049" width="20.5" style="1274" bestFit="1" customWidth="1"/>
    <col min="12050" max="12288" width="14.5" style="1274"/>
    <col min="12289" max="12289" width="6.5" style="1274" customWidth="1"/>
    <col min="12290" max="12290" width="16" style="1274" customWidth="1"/>
    <col min="12291" max="12291" width="13.125" style="1274" customWidth="1"/>
    <col min="12292" max="12292" width="11.625" style="1274" customWidth="1"/>
    <col min="12293" max="12293" width="14.5" style="1274"/>
    <col min="12294" max="12294" width="19.125" style="1274" customWidth="1"/>
    <col min="12295" max="12295" width="13.375" style="1274" customWidth="1"/>
    <col min="12296" max="12296" width="11.5" style="1274" customWidth="1"/>
    <col min="12297" max="12297" width="12.625" style="1274" customWidth="1"/>
    <col min="12298" max="12298" width="12.125" style="1274" customWidth="1"/>
    <col min="12299" max="12299" width="12.875" style="1274" customWidth="1"/>
    <col min="12300" max="12300" width="8" style="1274" customWidth="1"/>
    <col min="12301" max="12301" width="11.5" style="1274" customWidth="1"/>
    <col min="12302" max="12302" width="12.875" style="1274" customWidth="1"/>
    <col min="12303" max="12303" width="14.5" style="1274"/>
    <col min="12304" max="12304" width="16.875" style="1274" customWidth="1"/>
    <col min="12305" max="12305" width="20.5" style="1274" bestFit="1" customWidth="1"/>
    <col min="12306" max="12544" width="14.5" style="1274"/>
    <col min="12545" max="12545" width="6.5" style="1274" customWidth="1"/>
    <col min="12546" max="12546" width="16" style="1274" customWidth="1"/>
    <col min="12547" max="12547" width="13.125" style="1274" customWidth="1"/>
    <col min="12548" max="12548" width="11.625" style="1274" customWidth="1"/>
    <col min="12549" max="12549" width="14.5" style="1274"/>
    <col min="12550" max="12550" width="19.125" style="1274" customWidth="1"/>
    <col min="12551" max="12551" width="13.375" style="1274" customWidth="1"/>
    <col min="12552" max="12552" width="11.5" style="1274" customWidth="1"/>
    <col min="12553" max="12553" width="12.625" style="1274" customWidth="1"/>
    <col min="12554" max="12554" width="12.125" style="1274" customWidth="1"/>
    <col min="12555" max="12555" width="12.875" style="1274" customWidth="1"/>
    <col min="12556" max="12556" width="8" style="1274" customWidth="1"/>
    <col min="12557" max="12557" width="11.5" style="1274" customWidth="1"/>
    <col min="12558" max="12558" width="12.875" style="1274" customWidth="1"/>
    <col min="12559" max="12559" width="14.5" style="1274"/>
    <col min="12560" max="12560" width="16.875" style="1274" customWidth="1"/>
    <col min="12561" max="12561" width="20.5" style="1274" bestFit="1" customWidth="1"/>
    <col min="12562" max="12800" width="14.5" style="1274"/>
    <col min="12801" max="12801" width="6.5" style="1274" customWidth="1"/>
    <col min="12802" max="12802" width="16" style="1274" customWidth="1"/>
    <col min="12803" max="12803" width="13.125" style="1274" customWidth="1"/>
    <col min="12804" max="12804" width="11.625" style="1274" customWidth="1"/>
    <col min="12805" max="12805" width="14.5" style="1274"/>
    <col min="12806" max="12806" width="19.125" style="1274" customWidth="1"/>
    <col min="12807" max="12807" width="13.375" style="1274" customWidth="1"/>
    <col min="12808" max="12808" width="11.5" style="1274" customWidth="1"/>
    <col min="12809" max="12809" width="12.625" style="1274" customWidth="1"/>
    <col min="12810" max="12810" width="12.125" style="1274" customWidth="1"/>
    <col min="12811" max="12811" width="12.875" style="1274" customWidth="1"/>
    <col min="12812" max="12812" width="8" style="1274" customWidth="1"/>
    <col min="12813" max="12813" width="11.5" style="1274" customWidth="1"/>
    <col min="12814" max="12814" width="12.875" style="1274" customWidth="1"/>
    <col min="12815" max="12815" width="14.5" style="1274"/>
    <col min="12816" max="12816" width="16.875" style="1274" customWidth="1"/>
    <col min="12817" max="12817" width="20.5" style="1274" bestFit="1" customWidth="1"/>
    <col min="12818" max="13056" width="14.5" style="1274"/>
    <col min="13057" max="13057" width="6.5" style="1274" customWidth="1"/>
    <col min="13058" max="13058" width="16" style="1274" customWidth="1"/>
    <col min="13059" max="13059" width="13.125" style="1274" customWidth="1"/>
    <col min="13060" max="13060" width="11.625" style="1274" customWidth="1"/>
    <col min="13061" max="13061" width="14.5" style="1274"/>
    <col min="13062" max="13062" width="19.125" style="1274" customWidth="1"/>
    <col min="13063" max="13063" width="13.375" style="1274" customWidth="1"/>
    <col min="13064" max="13064" width="11.5" style="1274" customWidth="1"/>
    <col min="13065" max="13065" width="12.625" style="1274" customWidth="1"/>
    <col min="13066" max="13066" width="12.125" style="1274" customWidth="1"/>
    <col min="13067" max="13067" width="12.875" style="1274" customWidth="1"/>
    <col min="13068" max="13068" width="8" style="1274" customWidth="1"/>
    <col min="13069" max="13069" width="11.5" style="1274" customWidth="1"/>
    <col min="13070" max="13070" width="12.875" style="1274" customWidth="1"/>
    <col min="13071" max="13071" width="14.5" style="1274"/>
    <col min="13072" max="13072" width="16.875" style="1274" customWidth="1"/>
    <col min="13073" max="13073" width="20.5" style="1274" bestFit="1" customWidth="1"/>
    <col min="13074" max="13312" width="14.5" style="1274"/>
    <col min="13313" max="13313" width="6.5" style="1274" customWidth="1"/>
    <col min="13314" max="13314" width="16" style="1274" customWidth="1"/>
    <col min="13315" max="13315" width="13.125" style="1274" customWidth="1"/>
    <col min="13316" max="13316" width="11.625" style="1274" customWidth="1"/>
    <col min="13317" max="13317" width="14.5" style="1274"/>
    <col min="13318" max="13318" width="19.125" style="1274" customWidth="1"/>
    <col min="13319" max="13319" width="13.375" style="1274" customWidth="1"/>
    <col min="13320" max="13320" width="11.5" style="1274" customWidth="1"/>
    <col min="13321" max="13321" width="12.625" style="1274" customWidth="1"/>
    <col min="13322" max="13322" width="12.125" style="1274" customWidth="1"/>
    <col min="13323" max="13323" width="12.875" style="1274" customWidth="1"/>
    <col min="13324" max="13324" width="8" style="1274" customWidth="1"/>
    <col min="13325" max="13325" width="11.5" style="1274" customWidth="1"/>
    <col min="13326" max="13326" width="12.875" style="1274" customWidth="1"/>
    <col min="13327" max="13327" width="14.5" style="1274"/>
    <col min="13328" max="13328" width="16.875" style="1274" customWidth="1"/>
    <col min="13329" max="13329" width="20.5" style="1274" bestFit="1" customWidth="1"/>
    <col min="13330" max="13568" width="14.5" style="1274"/>
    <col min="13569" max="13569" width="6.5" style="1274" customWidth="1"/>
    <col min="13570" max="13570" width="16" style="1274" customWidth="1"/>
    <col min="13571" max="13571" width="13.125" style="1274" customWidth="1"/>
    <col min="13572" max="13572" width="11.625" style="1274" customWidth="1"/>
    <col min="13573" max="13573" width="14.5" style="1274"/>
    <col min="13574" max="13574" width="19.125" style="1274" customWidth="1"/>
    <col min="13575" max="13575" width="13.375" style="1274" customWidth="1"/>
    <col min="13576" max="13576" width="11.5" style="1274" customWidth="1"/>
    <col min="13577" max="13577" width="12.625" style="1274" customWidth="1"/>
    <col min="13578" max="13578" width="12.125" style="1274" customWidth="1"/>
    <col min="13579" max="13579" width="12.875" style="1274" customWidth="1"/>
    <col min="13580" max="13580" width="8" style="1274" customWidth="1"/>
    <col min="13581" max="13581" width="11.5" style="1274" customWidth="1"/>
    <col min="13582" max="13582" width="12.875" style="1274" customWidth="1"/>
    <col min="13583" max="13583" width="14.5" style="1274"/>
    <col min="13584" max="13584" width="16.875" style="1274" customWidth="1"/>
    <col min="13585" max="13585" width="20.5" style="1274" bestFit="1" customWidth="1"/>
    <col min="13586" max="13824" width="14.5" style="1274"/>
    <col min="13825" max="13825" width="6.5" style="1274" customWidth="1"/>
    <col min="13826" max="13826" width="16" style="1274" customWidth="1"/>
    <col min="13827" max="13827" width="13.125" style="1274" customWidth="1"/>
    <col min="13828" max="13828" width="11.625" style="1274" customWidth="1"/>
    <col min="13829" max="13829" width="14.5" style="1274"/>
    <col min="13830" max="13830" width="19.125" style="1274" customWidth="1"/>
    <col min="13831" max="13831" width="13.375" style="1274" customWidth="1"/>
    <col min="13832" max="13832" width="11.5" style="1274" customWidth="1"/>
    <col min="13833" max="13833" width="12.625" style="1274" customWidth="1"/>
    <col min="13834" max="13834" width="12.125" style="1274" customWidth="1"/>
    <col min="13835" max="13835" width="12.875" style="1274" customWidth="1"/>
    <col min="13836" max="13836" width="8" style="1274" customWidth="1"/>
    <col min="13837" max="13837" width="11.5" style="1274" customWidth="1"/>
    <col min="13838" max="13838" width="12.875" style="1274" customWidth="1"/>
    <col min="13839" max="13839" width="14.5" style="1274"/>
    <col min="13840" max="13840" width="16.875" style="1274" customWidth="1"/>
    <col min="13841" max="13841" width="20.5" style="1274" bestFit="1" customWidth="1"/>
    <col min="13842" max="14080" width="14.5" style="1274"/>
    <col min="14081" max="14081" width="6.5" style="1274" customWidth="1"/>
    <col min="14082" max="14082" width="16" style="1274" customWidth="1"/>
    <col min="14083" max="14083" width="13.125" style="1274" customWidth="1"/>
    <col min="14084" max="14084" width="11.625" style="1274" customWidth="1"/>
    <col min="14085" max="14085" width="14.5" style="1274"/>
    <col min="14086" max="14086" width="19.125" style="1274" customWidth="1"/>
    <col min="14087" max="14087" width="13.375" style="1274" customWidth="1"/>
    <col min="14088" max="14088" width="11.5" style="1274" customWidth="1"/>
    <col min="14089" max="14089" width="12.625" style="1274" customWidth="1"/>
    <col min="14090" max="14090" width="12.125" style="1274" customWidth="1"/>
    <col min="14091" max="14091" width="12.875" style="1274" customWidth="1"/>
    <col min="14092" max="14092" width="8" style="1274" customWidth="1"/>
    <col min="14093" max="14093" width="11.5" style="1274" customWidth="1"/>
    <col min="14094" max="14094" width="12.875" style="1274" customWidth="1"/>
    <col min="14095" max="14095" width="14.5" style="1274"/>
    <col min="14096" max="14096" width="16.875" style="1274" customWidth="1"/>
    <col min="14097" max="14097" width="20.5" style="1274" bestFit="1" customWidth="1"/>
    <col min="14098" max="14336" width="14.5" style="1274"/>
    <col min="14337" max="14337" width="6.5" style="1274" customWidth="1"/>
    <col min="14338" max="14338" width="16" style="1274" customWidth="1"/>
    <col min="14339" max="14339" width="13.125" style="1274" customWidth="1"/>
    <col min="14340" max="14340" width="11.625" style="1274" customWidth="1"/>
    <col min="14341" max="14341" width="14.5" style="1274"/>
    <col min="14342" max="14342" width="19.125" style="1274" customWidth="1"/>
    <col min="14343" max="14343" width="13.375" style="1274" customWidth="1"/>
    <col min="14344" max="14344" width="11.5" style="1274" customWidth="1"/>
    <col min="14345" max="14345" width="12.625" style="1274" customWidth="1"/>
    <col min="14346" max="14346" width="12.125" style="1274" customWidth="1"/>
    <col min="14347" max="14347" width="12.875" style="1274" customWidth="1"/>
    <col min="14348" max="14348" width="8" style="1274" customWidth="1"/>
    <col min="14349" max="14349" width="11.5" style="1274" customWidth="1"/>
    <col min="14350" max="14350" width="12.875" style="1274" customWidth="1"/>
    <col min="14351" max="14351" width="14.5" style="1274"/>
    <col min="14352" max="14352" width="16.875" style="1274" customWidth="1"/>
    <col min="14353" max="14353" width="20.5" style="1274" bestFit="1" customWidth="1"/>
    <col min="14354" max="14592" width="14.5" style="1274"/>
    <col min="14593" max="14593" width="6.5" style="1274" customWidth="1"/>
    <col min="14594" max="14594" width="16" style="1274" customWidth="1"/>
    <col min="14595" max="14595" width="13.125" style="1274" customWidth="1"/>
    <col min="14596" max="14596" width="11.625" style="1274" customWidth="1"/>
    <col min="14597" max="14597" width="14.5" style="1274"/>
    <col min="14598" max="14598" width="19.125" style="1274" customWidth="1"/>
    <col min="14599" max="14599" width="13.375" style="1274" customWidth="1"/>
    <col min="14600" max="14600" width="11.5" style="1274" customWidth="1"/>
    <col min="14601" max="14601" width="12.625" style="1274" customWidth="1"/>
    <col min="14602" max="14602" width="12.125" style="1274" customWidth="1"/>
    <col min="14603" max="14603" width="12.875" style="1274" customWidth="1"/>
    <col min="14604" max="14604" width="8" style="1274" customWidth="1"/>
    <col min="14605" max="14605" width="11.5" style="1274" customWidth="1"/>
    <col min="14606" max="14606" width="12.875" style="1274" customWidth="1"/>
    <col min="14607" max="14607" width="14.5" style="1274"/>
    <col min="14608" max="14608" width="16.875" style="1274" customWidth="1"/>
    <col min="14609" max="14609" width="20.5" style="1274" bestFit="1" customWidth="1"/>
    <col min="14610" max="14848" width="14.5" style="1274"/>
    <col min="14849" max="14849" width="6.5" style="1274" customWidth="1"/>
    <col min="14850" max="14850" width="16" style="1274" customWidth="1"/>
    <col min="14851" max="14851" width="13.125" style="1274" customWidth="1"/>
    <col min="14852" max="14852" width="11.625" style="1274" customWidth="1"/>
    <col min="14853" max="14853" width="14.5" style="1274"/>
    <col min="14854" max="14854" width="19.125" style="1274" customWidth="1"/>
    <col min="14855" max="14855" width="13.375" style="1274" customWidth="1"/>
    <col min="14856" max="14856" width="11.5" style="1274" customWidth="1"/>
    <col min="14857" max="14857" width="12.625" style="1274" customWidth="1"/>
    <col min="14858" max="14858" width="12.125" style="1274" customWidth="1"/>
    <col min="14859" max="14859" width="12.875" style="1274" customWidth="1"/>
    <col min="14860" max="14860" width="8" style="1274" customWidth="1"/>
    <col min="14861" max="14861" width="11.5" style="1274" customWidth="1"/>
    <col min="14862" max="14862" width="12.875" style="1274" customWidth="1"/>
    <col min="14863" max="14863" width="14.5" style="1274"/>
    <col min="14864" max="14864" width="16.875" style="1274" customWidth="1"/>
    <col min="14865" max="14865" width="20.5" style="1274" bestFit="1" customWidth="1"/>
    <col min="14866" max="15104" width="14.5" style="1274"/>
    <col min="15105" max="15105" width="6.5" style="1274" customWidth="1"/>
    <col min="15106" max="15106" width="16" style="1274" customWidth="1"/>
    <col min="15107" max="15107" width="13.125" style="1274" customWidth="1"/>
    <col min="15108" max="15108" width="11.625" style="1274" customWidth="1"/>
    <col min="15109" max="15109" width="14.5" style="1274"/>
    <col min="15110" max="15110" width="19.125" style="1274" customWidth="1"/>
    <col min="15111" max="15111" width="13.375" style="1274" customWidth="1"/>
    <col min="15112" max="15112" width="11.5" style="1274" customWidth="1"/>
    <col min="15113" max="15113" width="12.625" style="1274" customWidth="1"/>
    <col min="15114" max="15114" width="12.125" style="1274" customWidth="1"/>
    <col min="15115" max="15115" width="12.875" style="1274" customWidth="1"/>
    <col min="15116" max="15116" width="8" style="1274" customWidth="1"/>
    <col min="15117" max="15117" width="11.5" style="1274" customWidth="1"/>
    <col min="15118" max="15118" width="12.875" style="1274" customWidth="1"/>
    <col min="15119" max="15119" width="14.5" style="1274"/>
    <col min="15120" max="15120" width="16.875" style="1274" customWidth="1"/>
    <col min="15121" max="15121" width="20.5" style="1274" bestFit="1" customWidth="1"/>
    <col min="15122" max="15360" width="14.5" style="1274"/>
    <col min="15361" max="15361" width="6.5" style="1274" customWidth="1"/>
    <col min="15362" max="15362" width="16" style="1274" customWidth="1"/>
    <col min="15363" max="15363" width="13.125" style="1274" customWidth="1"/>
    <col min="15364" max="15364" width="11.625" style="1274" customWidth="1"/>
    <col min="15365" max="15365" width="14.5" style="1274"/>
    <col min="15366" max="15366" width="19.125" style="1274" customWidth="1"/>
    <col min="15367" max="15367" width="13.375" style="1274" customWidth="1"/>
    <col min="15368" max="15368" width="11.5" style="1274" customWidth="1"/>
    <col min="15369" max="15369" width="12.625" style="1274" customWidth="1"/>
    <col min="15370" max="15370" width="12.125" style="1274" customWidth="1"/>
    <col min="15371" max="15371" width="12.875" style="1274" customWidth="1"/>
    <col min="15372" max="15372" width="8" style="1274" customWidth="1"/>
    <col min="15373" max="15373" width="11.5" style="1274" customWidth="1"/>
    <col min="15374" max="15374" width="12.875" style="1274" customWidth="1"/>
    <col min="15375" max="15375" width="14.5" style="1274"/>
    <col min="15376" max="15376" width="16.875" style="1274" customWidth="1"/>
    <col min="15377" max="15377" width="20.5" style="1274" bestFit="1" customWidth="1"/>
    <col min="15378" max="15616" width="14.5" style="1274"/>
    <col min="15617" max="15617" width="6.5" style="1274" customWidth="1"/>
    <col min="15618" max="15618" width="16" style="1274" customWidth="1"/>
    <col min="15619" max="15619" width="13.125" style="1274" customWidth="1"/>
    <col min="15620" max="15620" width="11.625" style="1274" customWidth="1"/>
    <col min="15621" max="15621" width="14.5" style="1274"/>
    <col min="15622" max="15622" width="19.125" style="1274" customWidth="1"/>
    <col min="15623" max="15623" width="13.375" style="1274" customWidth="1"/>
    <col min="15624" max="15624" width="11.5" style="1274" customWidth="1"/>
    <col min="15625" max="15625" width="12.625" style="1274" customWidth="1"/>
    <col min="15626" max="15626" width="12.125" style="1274" customWidth="1"/>
    <col min="15627" max="15627" width="12.875" style="1274" customWidth="1"/>
    <col min="15628" max="15628" width="8" style="1274" customWidth="1"/>
    <col min="15629" max="15629" width="11.5" style="1274" customWidth="1"/>
    <col min="15630" max="15630" width="12.875" style="1274" customWidth="1"/>
    <col min="15631" max="15631" width="14.5" style="1274"/>
    <col min="15632" max="15632" width="16.875" style="1274" customWidth="1"/>
    <col min="15633" max="15633" width="20.5" style="1274" bestFit="1" customWidth="1"/>
    <col min="15634" max="15872" width="14.5" style="1274"/>
    <col min="15873" max="15873" width="6.5" style="1274" customWidth="1"/>
    <col min="15874" max="15874" width="16" style="1274" customWidth="1"/>
    <col min="15875" max="15875" width="13.125" style="1274" customWidth="1"/>
    <col min="15876" max="15876" width="11.625" style="1274" customWidth="1"/>
    <col min="15877" max="15877" width="14.5" style="1274"/>
    <col min="15878" max="15878" width="19.125" style="1274" customWidth="1"/>
    <col min="15879" max="15879" width="13.375" style="1274" customWidth="1"/>
    <col min="15880" max="15880" width="11.5" style="1274" customWidth="1"/>
    <col min="15881" max="15881" width="12.625" style="1274" customWidth="1"/>
    <col min="15882" max="15882" width="12.125" style="1274" customWidth="1"/>
    <col min="15883" max="15883" width="12.875" style="1274" customWidth="1"/>
    <col min="15884" max="15884" width="8" style="1274" customWidth="1"/>
    <col min="15885" max="15885" width="11.5" style="1274" customWidth="1"/>
    <col min="15886" max="15886" width="12.875" style="1274" customWidth="1"/>
    <col min="15887" max="15887" width="14.5" style="1274"/>
    <col min="15888" max="15888" width="16.875" style="1274" customWidth="1"/>
    <col min="15889" max="15889" width="20.5" style="1274" bestFit="1" customWidth="1"/>
    <col min="15890" max="16128" width="14.5" style="1274"/>
    <col min="16129" max="16129" width="6.5" style="1274" customWidth="1"/>
    <col min="16130" max="16130" width="16" style="1274" customWidth="1"/>
    <col min="16131" max="16131" width="13.125" style="1274" customWidth="1"/>
    <col min="16132" max="16132" width="11.625" style="1274" customWidth="1"/>
    <col min="16133" max="16133" width="14.5" style="1274"/>
    <col min="16134" max="16134" width="19.125" style="1274" customWidth="1"/>
    <col min="16135" max="16135" width="13.375" style="1274" customWidth="1"/>
    <col min="16136" max="16136" width="11.5" style="1274" customWidth="1"/>
    <col min="16137" max="16137" width="12.625" style="1274" customWidth="1"/>
    <col min="16138" max="16138" width="12.125" style="1274" customWidth="1"/>
    <col min="16139" max="16139" width="12.875" style="1274" customWidth="1"/>
    <col min="16140" max="16140" width="8" style="1274" customWidth="1"/>
    <col min="16141" max="16141" width="11.5" style="1274" customWidth="1"/>
    <col min="16142" max="16142" width="12.875" style="1274" customWidth="1"/>
    <col min="16143" max="16143" width="14.5" style="1274"/>
    <col min="16144" max="16144" width="16.875" style="1274" customWidth="1"/>
    <col min="16145" max="16145" width="20.5" style="1274" bestFit="1" customWidth="1"/>
    <col min="16146" max="16384" width="14.5" style="1274"/>
  </cols>
  <sheetData>
    <row r="1" spans="1:18" x14ac:dyDescent="0.25">
      <c r="A1" s="1765" t="s">
        <v>411</v>
      </c>
      <c r="B1" s="1765"/>
      <c r="C1" s="1765"/>
      <c r="D1" s="1765"/>
      <c r="E1" s="1765"/>
      <c r="F1" s="1765"/>
      <c r="G1" s="1765"/>
      <c r="H1" s="1765"/>
      <c r="I1" s="1765"/>
      <c r="J1" s="1765"/>
      <c r="K1" s="1765"/>
      <c r="L1" s="1765"/>
      <c r="M1" s="1765"/>
      <c r="N1" s="1765"/>
      <c r="O1" s="1765"/>
      <c r="P1" s="1765"/>
      <c r="Q1" s="1765"/>
    </row>
    <row r="2" spans="1:18" x14ac:dyDescent="0.25">
      <c r="A2" s="1765" t="s">
        <v>412</v>
      </c>
      <c r="B2" s="1765"/>
      <c r="C2" s="1765"/>
      <c r="D2" s="1765"/>
      <c r="E2" s="1765"/>
      <c r="F2" s="1765"/>
      <c r="G2" s="1765"/>
      <c r="H2" s="1765"/>
      <c r="I2" s="1765"/>
      <c r="J2" s="1765"/>
      <c r="K2" s="1765"/>
      <c r="L2" s="1765"/>
      <c r="M2" s="1765"/>
      <c r="N2" s="1765"/>
      <c r="O2" s="1765"/>
      <c r="P2" s="1765"/>
      <c r="Q2" s="1765"/>
    </row>
    <row r="3" spans="1:18" x14ac:dyDescent="0.25">
      <c r="A3" s="1762" t="s">
        <v>413</v>
      </c>
      <c r="B3" s="1762"/>
      <c r="C3" s="1762"/>
      <c r="D3" s="1762"/>
      <c r="E3" s="1762"/>
      <c r="F3" s="1762"/>
      <c r="G3" s="1762"/>
      <c r="H3" s="1762"/>
      <c r="I3" s="1762"/>
      <c r="J3" s="1762"/>
      <c r="K3" s="1762"/>
      <c r="L3" s="1762"/>
      <c r="M3" s="1762"/>
      <c r="N3" s="1762"/>
      <c r="O3" s="1762"/>
      <c r="P3" s="1762"/>
      <c r="Q3" s="1762"/>
    </row>
    <row r="4" spans="1:18" x14ac:dyDescent="0.25">
      <c r="A4" s="1765" t="s">
        <v>981</v>
      </c>
      <c r="B4" s="1765"/>
      <c r="C4" s="1765"/>
      <c r="D4" s="1765"/>
      <c r="E4" s="1765"/>
      <c r="F4" s="1765"/>
      <c r="G4" s="1765"/>
      <c r="H4" s="1765"/>
      <c r="I4" s="1765"/>
      <c r="J4" s="1765"/>
      <c r="K4" s="1765"/>
      <c r="L4" s="1765"/>
      <c r="M4" s="1765"/>
      <c r="N4" s="1765"/>
      <c r="O4" s="1765"/>
      <c r="P4" s="1765"/>
      <c r="Q4" s="1765"/>
    </row>
    <row r="5" spans="1:18" x14ac:dyDescent="0.25">
      <c r="A5" s="1765" t="s">
        <v>982</v>
      </c>
      <c r="B5" s="1765"/>
      <c r="C5" s="1765"/>
      <c r="D5" s="1765"/>
      <c r="E5" s="1765"/>
      <c r="F5" s="1765"/>
      <c r="G5" s="1765"/>
      <c r="H5" s="1765"/>
      <c r="I5" s="1765"/>
      <c r="J5" s="1765"/>
      <c r="K5" s="1765"/>
      <c r="L5" s="1765"/>
      <c r="M5" s="1765"/>
      <c r="N5" s="1765"/>
      <c r="O5" s="1765"/>
      <c r="P5" s="1765"/>
      <c r="Q5" s="1765"/>
    </row>
    <row r="6" spans="1:18" x14ac:dyDescent="0.25">
      <c r="A6" s="1765" t="s">
        <v>983</v>
      </c>
      <c r="B6" s="1765"/>
      <c r="C6" s="1765"/>
      <c r="D6" s="1765"/>
      <c r="E6" s="1765"/>
      <c r="F6" s="1765"/>
      <c r="G6" s="1765"/>
      <c r="H6" s="1765"/>
      <c r="I6" s="1765"/>
      <c r="J6" s="1765"/>
      <c r="K6" s="1765"/>
      <c r="L6" s="1765"/>
      <c r="M6" s="1765"/>
      <c r="N6" s="1765"/>
      <c r="O6" s="1765"/>
      <c r="P6" s="1765"/>
      <c r="Q6" s="1765"/>
    </row>
    <row r="7" spans="1:18" x14ac:dyDescent="0.25">
      <c r="A7" s="1765"/>
      <c r="B7" s="1765"/>
      <c r="C7" s="1765"/>
      <c r="D7" s="1765"/>
      <c r="E7" s="1765"/>
      <c r="F7" s="1765"/>
      <c r="G7" s="1765"/>
      <c r="H7" s="1765"/>
      <c r="I7" s="1765"/>
      <c r="J7" s="1765"/>
      <c r="K7" s="1765"/>
      <c r="L7" s="1765"/>
      <c r="M7" s="1765"/>
      <c r="N7" s="1765"/>
      <c r="O7" s="1765"/>
      <c r="P7" s="1765"/>
      <c r="Q7" s="1765"/>
    </row>
    <row r="9" spans="1:18" x14ac:dyDescent="0.25">
      <c r="A9" s="1275" t="s">
        <v>417</v>
      </c>
      <c r="B9" s="1276"/>
      <c r="C9" s="1276"/>
      <c r="D9" s="1276"/>
      <c r="E9" s="1277"/>
      <c r="F9" s="1276"/>
      <c r="G9" s="1276"/>
      <c r="H9" s="1276"/>
      <c r="I9" s="1276"/>
      <c r="J9" s="1276"/>
      <c r="K9" s="1278"/>
      <c r="L9" s="1279" t="s">
        <v>418</v>
      </c>
      <c r="M9" s="1280"/>
      <c r="N9" s="1280"/>
      <c r="O9" s="1280"/>
      <c r="P9" s="1280"/>
      <c r="Q9" s="1280"/>
      <c r="R9" s="1274" t="s">
        <v>419</v>
      </c>
    </row>
    <row r="10" spans="1:18" x14ac:dyDescent="0.25">
      <c r="A10" s="1281" t="s">
        <v>984</v>
      </c>
      <c r="B10" s="1282"/>
      <c r="C10" s="1282"/>
      <c r="D10" s="1282"/>
      <c r="E10" s="1283"/>
      <c r="F10" s="1282"/>
      <c r="G10" s="1282"/>
      <c r="H10" s="1282"/>
      <c r="I10" s="1282"/>
      <c r="J10" s="1282"/>
      <c r="K10" s="1284"/>
      <c r="L10" s="1285" t="s">
        <v>421</v>
      </c>
      <c r="M10" s="1276"/>
      <c r="N10" s="1285"/>
      <c r="O10" s="1276" t="s">
        <v>422</v>
      </c>
      <c r="P10" s="1276"/>
      <c r="Q10" s="1278"/>
    </row>
    <row r="11" spans="1:18" x14ac:dyDescent="0.25">
      <c r="A11" s="1281"/>
      <c r="B11" s="1282"/>
      <c r="C11" s="1282"/>
      <c r="D11" s="1282"/>
      <c r="E11" s="1283"/>
      <c r="F11" s="1282"/>
      <c r="G11" s="1282"/>
      <c r="H11" s="1282"/>
      <c r="I11" s="1282"/>
      <c r="J11" s="1282"/>
      <c r="K11" s="1284"/>
      <c r="L11" s="1281"/>
      <c r="M11" s="1282" t="s">
        <v>985</v>
      </c>
      <c r="N11" s="1281"/>
      <c r="O11" s="1282" t="s">
        <v>760</v>
      </c>
      <c r="P11" s="1282"/>
      <c r="Q11" s="1284"/>
    </row>
    <row r="12" spans="1:18" x14ac:dyDescent="0.25">
      <c r="A12" s="1281"/>
      <c r="B12" s="1282"/>
      <c r="C12" s="1282"/>
      <c r="D12" s="1282"/>
      <c r="E12" s="1283"/>
      <c r="F12" s="1282"/>
      <c r="G12" s="1282"/>
      <c r="H12" s="1282"/>
      <c r="I12" s="1282"/>
      <c r="J12" s="1282"/>
      <c r="K12" s="1284"/>
      <c r="L12" s="1281"/>
      <c r="M12" s="1282" t="s">
        <v>986</v>
      </c>
      <c r="N12" s="1281"/>
      <c r="O12" s="1282" t="s">
        <v>762</v>
      </c>
      <c r="P12" s="1282"/>
      <c r="Q12" s="1284"/>
    </row>
    <row r="13" spans="1:18" x14ac:dyDescent="0.25">
      <c r="A13" s="1286"/>
      <c r="B13" s="1287"/>
      <c r="C13" s="1287"/>
      <c r="D13" s="1287"/>
      <c r="E13" s="1288"/>
      <c r="F13" s="1287"/>
      <c r="G13" s="1287"/>
      <c r="H13" s="1287"/>
      <c r="I13" s="1287"/>
      <c r="J13" s="1287"/>
      <c r="K13" s="1289"/>
      <c r="L13" s="1290"/>
      <c r="M13" s="1287" t="s">
        <v>987</v>
      </c>
      <c r="N13" s="1286"/>
      <c r="O13" s="1287" t="s">
        <v>988</v>
      </c>
      <c r="P13" s="1287"/>
      <c r="Q13" s="1289"/>
    </row>
    <row r="14" spans="1:18" x14ac:dyDescent="0.25">
      <c r="A14" s="1279" t="s">
        <v>430</v>
      </c>
      <c r="B14" s="1280"/>
      <c r="C14" s="1280"/>
      <c r="D14" s="1280"/>
      <c r="E14" s="1291"/>
      <c r="F14" s="1280"/>
      <c r="G14" s="1280"/>
      <c r="H14" s="1280"/>
      <c r="I14" s="1280"/>
      <c r="J14" s="1280"/>
      <c r="K14" s="1280"/>
      <c r="L14" s="1280"/>
      <c r="M14" s="1280"/>
      <c r="N14" s="1280"/>
      <c r="O14" s="1280"/>
      <c r="P14" s="1280"/>
      <c r="Q14" s="1280"/>
    </row>
    <row r="15" spans="1:18" ht="15.75" customHeight="1" x14ac:dyDescent="0.25">
      <c r="A15" s="1763" t="s">
        <v>431</v>
      </c>
      <c r="B15" s="1764" t="s">
        <v>432</v>
      </c>
      <c r="C15" s="1763" t="s">
        <v>668</v>
      </c>
      <c r="D15" s="1763" t="s">
        <v>434</v>
      </c>
      <c r="E15" s="1766" t="s">
        <v>435</v>
      </c>
      <c r="F15" s="1763" t="s">
        <v>436</v>
      </c>
      <c r="G15" s="1763" t="s">
        <v>956</v>
      </c>
      <c r="H15" s="1763"/>
      <c r="I15" s="1763"/>
      <c r="J15" s="1767" t="s">
        <v>863</v>
      </c>
      <c r="K15" s="1768"/>
      <c r="L15" s="1769" t="s">
        <v>439</v>
      </c>
      <c r="M15" s="1763" t="s">
        <v>957</v>
      </c>
      <c r="N15" s="1764" t="s">
        <v>440</v>
      </c>
      <c r="O15" s="1764"/>
      <c r="P15" s="1764"/>
      <c r="Q15" s="1764"/>
    </row>
    <row r="16" spans="1:18" ht="14.25" customHeight="1" x14ac:dyDescent="0.25">
      <c r="A16" s="1763"/>
      <c r="B16" s="1764"/>
      <c r="C16" s="1763"/>
      <c r="D16" s="1763"/>
      <c r="E16" s="1766"/>
      <c r="F16" s="1763"/>
      <c r="G16" s="1764" t="s">
        <v>447</v>
      </c>
      <c r="H16" s="1763" t="s">
        <v>448</v>
      </c>
      <c r="I16" s="1763" t="s">
        <v>449</v>
      </c>
      <c r="J16" s="1763" t="s">
        <v>441</v>
      </c>
      <c r="K16" s="1763" t="s">
        <v>442</v>
      </c>
      <c r="L16" s="1770"/>
      <c r="M16" s="1763"/>
      <c r="N16" s="1763" t="s">
        <v>450</v>
      </c>
      <c r="O16" s="1764" t="s">
        <v>958</v>
      </c>
      <c r="P16" s="1764"/>
      <c r="Q16" s="1764" t="s">
        <v>865</v>
      </c>
    </row>
    <row r="17" spans="1:17" ht="47.25" customHeight="1" x14ac:dyDescent="0.25">
      <c r="A17" s="1763"/>
      <c r="B17" s="1764"/>
      <c r="C17" s="1763"/>
      <c r="D17" s="1763"/>
      <c r="E17" s="1766"/>
      <c r="F17" s="1763"/>
      <c r="G17" s="1764"/>
      <c r="H17" s="1763"/>
      <c r="I17" s="1763"/>
      <c r="J17" s="1763"/>
      <c r="K17" s="1763"/>
      <c r="L17" s="1771"/>
      <c r="M17" s="1763"/>
      <c r="N17" s="1763"/>
      <c r="O17" s="1543" t="s">
        <v>959</v>
      </c>
      <c r="P17" s="1543" t="s">
        <v>960</v>
      </c>
      <c r="Q17" s="1764"/>
    </row>
    <row r="18" spans="1:17" x14ac:dyDescent="0.25">
      <c r="A18" s="1292" t="s">
        <v>454</v>
      </c>
      <c r="B18" s="1292">
        <v>1</v>
      </c>
      <c r="C18" s="1292">
        <v>2</v>
      </c>
      <c r="D18" s="1292">
        <v>3</v>
      </c>
      <c r="E18" s="1292">
        <v>4</v>
      </c>
      <c r="F18" s="1292">
        <v>5</v>
      </c>
      <c r="G18" s="1292">
        <v>6</v>
      </c>
      <c r="H18" s="1292">
        <v>7</v>
      </c>
      <c r="I18" s="1292">
        <v>8</v>
      </c>
      <c r="J18" s="1292">
        <v>9</v>
      </c>
      <c r="K18" s="1292">
        <v>10</v>
      </c>
      <c r="L18" s="1292">
        <v>11</v>
      </c>
      <c r="M18" s="1292">
        <v>12</v>
      </c>
      <c r="N18" s="1292">
        <v>13</v>
      </c>
      <c r="O18" s="1292">
        <v>14</v>
      </c>
      <c r="P18" s="1292">
        <v>15</v>
      </c>
      <c r="Q18" s="1292">
        <v>16</v>
      </c>
    </row>
    <row r="19" spans="1:17" x14ac:dyDescent="0.25">
      <c r="A19" s="1292"/>
      <c r="B19" s="1294" t="s">
        <v>470</v>
      </c>
      <c r="C19" s="1292"/>
      <c r="D19" s="1292"/>
      <c r="E19" s="1293"/>
      <c r="F19" s="1292"/>
      <c r="G19" s="1295">
        <f>SUM(G21+G42+G121+G141)</f>
        <v>27804.1</v>
      </c>
      <c r="H19" s="1295">
        <f>SUM(H21+H42+H121+H141)</f>
        <v>2890.94</v>
      </c>
      <c r="I19" s="1295">
        <f>SUM(I21+I42+I121+I141)</f>
        <v>24913.159999999996</v>
      </c>
      <c r="J19" s="1295"/>
      <c r="K19" s="1295"/>
      <c r="L19" s="1295"/>
      <c r="M19" s="1295"/>
      <c r="N19" s="1295">
        <f>SUM(N21+N42+N121+N141)</f>
        <v>19290.620570000003</v>
      </c>
      <c r="O19" s="1295"/>
      <c r="P19" s="1295"/>
      <c r="Q19" s="1295">
        <f>SUM(Q21+Q42+Q121+Q141)</f>
        <v>335435507.8046</v>
      </c>
    </row>
    <row r="20" spans="1:17" x14ac:dyDescent="0.25">
      <c r="A20" s="1292"/>
      <c r="B20" s="1294"/>
      <c r="C20" s="1292"/>
      <c r="D20" s="1292"/>
      <c r="E20" s="1293"/>
      <c r="F20" s="1292"/>
      <c r="G20" s="1295"/>
      <c r="H20" s="1295"/>
      <c r="I20" s="1295"/>
      <c r="J20" s="1295"/>
      <c r="K20" s="1295"/>
      <c r="L20" s="1295"/>
      <c r="M20" s="1295"/>
      <c r="N20" s="1295"/>
      <c r="O20" s="1295"/>
      <c r="P20" s="1295"/>
      <c r="Q20" s="1295"/>
    </row>
    <row r="21" spans="1:17" s="1404" customFormat="1" x14ac:dyDescent="0.25">
      <c r="A21" s="1406"/>
      <c r="B21" s="1407" t="s">
        <v>537</v>
      </c>
      <c r="C21" s="1406"/>
      <c r="D21" s="1406"/>
      <c r="E21" s="1408"/>
      <c r="F21" s="1406"/>
      <c r="G21" s="1409">
        <f>G22+G26</f>
        <v>968.65</v>
      </c>
      <c r="H21" s="1409">
        <f>H22+H26</f>
        <v>132.25</v>
      </c>
      <c r="I21" s="1409">
        <f>I22+I26</f>
        <v>836.4</v>
      </c>
      <c r="J21" s="1409"/>
      <c r="K21" s="1409"/>
      <c r="L21" s="1409"/>
      <c r="M21" s="1409"/>
      <c r="N21" s="1409">
        <f>N22+N26</f>
        <v>1280.8187</v>
      </c>
      <c r="O21" s="1409"/>
      <c r="P21" s="1409"/>
      <c r="Q21" s="1409">
        <f>Q22+Q26</f>
        <v>21927616.143999998</v>
      </c>
    </row>
    <row r="22" spans="1:17" x14ac:dyDescent="0.25">
      <c r="A22" s="1292"/>
      <c r="B22" s="1297" t="s">
        <v>777</v>
      </c>
      <c r="C22" s="1292"/>
      <c r="D22" s="1292"/>
      <c r="E22" s="1293"/>
      <c r="F22" s="1292"/>
      <c r="G22" s="1295">
        <f>SUM(G23:G24)</f>
        <v>36.85</v>
      </c>
      <c r="H22" s="1295">
        <f>SUM(H23:H24)</f>
        <v>0.25</v>
      </c>
      <c r="I22" s="1295">
        <f>SUM(I23:I24)</f>
        <v>36.6</v>
      </c>
      <c r="J22" s="1292"/>
      <c r="K22" s="1292"/>
      <c r="L22" s="1292"/>
      <c r="M22" s="1292"/>
      <c r="N22" s="1295">
        <f>SUM(N23:N24)</f>
        <v>28.527799999999996</v>
      </c>
      <c r="O22" s="1295"/>
      <c r="P22" s="1295"/>
      <c r="Q22" s="1295">
        <f>SUM(Q23:Q24)</f>
        <v>488395.93599999993</v>
      </c>
    </row>
    <row r="23" spans="1:17" x14ac:dyDescent="0.25">
      <c r="A23" s="1292"/>
      <c r="B23" s="1298" t="s">
        <v>719</v>
      </c>
      <c r="C23" s="1298" t="s">
        <v>713</v>
      </c>
      <c r="D23" s="1293">
        <v>2</v>
      </c>
      <c r="E23" s="1293">
        <v>10</v>
      </c>
      <c r="F23" s="1299" t="s">
        <v>539</v>
      </c>
      <c r="G23" s="1280">
        <f>SUM(H23:I23)</f>
        <v>0.25</v>
      </c>
      <c r="H23" s="1292">
        <v>0.25</v>
      </c>
      <c r="I23" s="1295"/>
      <c r="J23" s="1292">
        <v>4.97</v>
      </c>
      <c r="K23" s="1292"/>
      <c r="L23" s="1292">
        <v>1</v>
      </c>
      <c r="M23" s="1292"/>
      <c r="N23" s="1280">
        <f>J23*H23</f>
        <v>1.2424999999999999</v>
      </c>
      <c r="O23" s="1280"/>
      <c r="P23" s="1280">
        <v>17.12</v>
      </c>
      <c r="Q23" s="1280">
        <f>P23*N23*1000</f>
        <v>21271.599999999999</v>
      </c>
    </row>
    <row r="24" spans="1:17" x14ac:dyDescent="0.25">
      <c r="A24" s="1292"/>
      <c r="B24" s="1298" t="s">
        <v>827</v>
      </c>
      <c r="C24" s="1298" t="s">
        <v>713</v>
      </c>
      <c r="D24" s="1293">
        <v>50</v>
      </c>
      <c r="E24" s="1293">
        <v>2739</v>
      </c>
      <c r="F24" s="1299" t="s">
        <v>586</v>
      </c>
      <c r="G24" s="1280">
        <v>36.6</v>
      </c>
      <c r="H24" s="1292"/>
      <c r="I24" s="1292">
        <v>36.6</v>
      </c>
      <c r="J24" s="1292">
        <v>4.97</v>
      </c>
      <c r="K24" s="1292">
        <v>4.22</v>
      </c>
      <c r="L24" s="1292">
        <v>0.15</v>
      </c>
      <c r="M24" s="1292"/>
      <c r="N24" s="1280">
        <f>I24*J24*L24</f>
        <v>27.285299999999996</v>
      </c>
      <c r="O24" s="1280"/>
      <c r="P24" s="1280">
        <v>17.12</v>
      </c>
      <c r="Q24" s="1280">
        <f>P24*N24*1000</f>
        <v>467124.33599999995</v>
      </c>
    </row>
    <row r="25" spans="1:17" x14ac:dyDescent="0.25">
      <c r="A25" s="1292"/>
      <c r="B25" s="1298"/>
      <c r="C25" s="1298"/>
      <c r="D25" s="1293"/>
      <c r="E25" s="1293"/>
      <c r="F25" s="1299"/>
      <c r="G25" s="1280"/>
      <c r="H25" s="1292"/>
      <c r="I25" s="1295"/>
      <c r="J25" s="1292"/>
      <c r="K25" s="1292"/>
      <c r="L25" s="1292"/>
      <c r="M25" s="1292"/>
      <c r="N25" s="1280"/>
      <c r="O25" s="1280"/>
      <c r="P25" s="1280"/>
      <c r="Q25" s="1280"/>
    </row>
    <row r="26" spans="1:17" x14ac:dyDescent="0.25">
      <c r="A26" s="1292"/>
      <c r="B26" s="1297" t="s">
        <v>475</v>
      </c>
      <c r="C26" s="1300"/>
      <c r="D26" s="1293"/>
      <c r="E26" s="1293"/>
      <c r="F26" s="1292"/>
      <c r="G26" s="1295">
        <f>SUM(G28:G40)</f>
        <v>931.8</v>
      </c>
      <c r="H26" s="1295">
        <f>SUM(H28:H40)</f>
        <v>132</v>
      </c>
      <c r="I26" s="1295">
        <f>SUM(I28:I40)</f>
        <v>799.8</v>
      </c>
      <c r="J26" s="1295"/>
      <c r="K26" s="1295"/>
      <c r="L26" s="1295"/>
      <c r="M26" s="1295"/>
      <c r="N26" s="1295">
        <f>SUM(N28:N40)</f>
        <v>1252.2909</v>
      </c>
      <c r="O26" s="1295"/>
      <c r="P26" s="1295"/>
      <c r="Q26" s="1295">
        <f>SUM(Q28:Q40)</f>
        <v>21439220.207999997</v>
      </c>
    </row>
    <row r="27" spans="1:17" s="1305" customFormat="1" x14ac:dyDescent="0.25">
      <c r="A27" s="1301"/>
      <c r="B27" s="1298" t="s">
        <v>732</v>
      </c>
      <c r="C27" s="1302"/>
      <c r="D27" s="1303"/>
      <c r="E27" s="1303"/>
      <c r="F27" s="1301"/>
      <c r="G27" s="1304">
        <f>SUM(G28:G29)</f>
        <v>18.8</v>
      </c>
      <c r="H27" s="1304">
        <f t="shared" ref="H27:Q27" si="0">SUM(H28:H29)</f>
        <v>3</v>
      </c>
      <c r="I27" s="1304">
        <f t="shared" si="0"/>
        <v>15.8</v>
      </c>
      <c r="J27" s="1304">
        <f t="shared" si="0"/>
        <v>9.94</v>
      </c>
      <c r="K27" s="1304">
        <f t="shared" si="0"/>
        <v>4.2244999999999999</v>
      </c>
      <c r="L27" s="1304">
        <f t="shared" si="0"/>
        <v>1.1499999999999999</v>
      </c>
      <c r="M27" s="1304">
        <f t="shared" si="0"/>
        <v>0</v>
      </c>
      <c r="N27" s="1304">
        <f t="shared" si="0"/>
        <v>26.688899999999997</v>
      </c>
      <c r="O27" s="1304">
        <f t="shared" si="0"/>
        <v>0</v>
      </c>
      <c r="P27" s="1304">
        <f t="shared" si="0"/>
        <v>34.24</v>
      </c>
      <c r="Q27" s="1304">
        <f t="shared" si="0"/>
        <v>456913.96799999999</v>
      </c>
    </row>
    <row r="28" spans="1:17" x14ac:dyDescent="0.25">
      <c r="A28" s="1292"/>
      <c r="C28" s="1298" t="s">
        <v>713</v>
      </c>
      <c r="D28" s="1293">
        <v>11</v>
      </c>
      <c r="E28" s="1293">
        <v>20</v>
      </c>
      <c r="F28" s="1299" t="s">
        <v>539</v>
      </c>
      <c r="G28" s="1280">
        <v>15.8</v>
      </c>
      <c r="H28" s="1295"/>
      <c r="I28" s="1292">
        <v>15.8</v>
      </c>
      <c r="J28" s="1292">
        <v>4.97</v>
      </c>
      <c r="K28" s="1280">
        <f>J28-(J28*L28)</f>
        <v>4.2244999999999999</v>
      </c>
      <c r="L28" s="1292">
        <v>0.15</v>
      </c>
      <c r="M28" s="1292"/>
      <c r="N28" s="1280">
        <f>I28*J28*L28</f>
        <v>11.778899999999998</v>
      </c>
      <c r="O28" s="1280"/>
      <c r="P28" s="1280">
        <v>17.12</v>
      </c>
      <c r="Q28" s="1280">
        <f t="shared" ref="Q28:Q40" si="1">P28*N28*1000</f>
        <v>201654.76799999998</v>
      </c>
    </row>
    <row r="29" spans="1:17" x14ac:dyDescent="0.25">
      <c r="A29" s="1292"/>
      <c r="B29" s="1298"/>
      <c r="C29" s="1298"/>
      <c r="D29" s="1293"/>
      <c r="E29" s="1293"/>
      <c r="F29" s="1299"/>
      <c r="G29" s="1280">
        <v>3</v>
      </c>
      <c r="H29" s="1292">
        <v>3</v>
      </c>
      <c r="I29" s="1292"/>
      <c r="J29" s="1292">
        <v>4.97</v>
      </c>
      <c r="K29" s="1292"/>
      <c r="L29" s="1292">
        <v>1</v>
      </c>
      <c r="M29" s="1292"/>
      <c r="N29" s="1280">
        <f>J29*H29</f>
        <v>14.91</v>
      </c>
      <c r="O29" s="1280"/>
      <c r="P29" s="1280">
        <v>17.12</v>
      </c>
      <c r="Q29" s="1280">
        <f t="shared" si="1"/>
        <v>255259.2</v>
      </c>
    </row>
    <row r="30" spans="1:17" s="1305" customFormat="1" x14ac:dyDescent="0.25">
      <c r="A30" s="1301"/>
      <c r="B30" s="1298" t="s">
        <v>735</v>
      </c>
      <c r="C30" s="1306"/>
      <c r="D30" s="1303"/>
      <c r="E30" s="1303"/>
      <c r="F30" s="1307"/>
      <c r="G30" s="1304">
        <f>SUM(G31:G32)</f>
        <v>140</v>
      </c>
      <c r="H30" s="1304">
        <f t="shared" ref="H30:Q30" si="2">SUM(H31:H32)</f>
        <v>35</v>
      </c>
      <c r="I30" s="1304">
        <f t="shared" si="2"/>
        <v>105</v>
      </c>
      <c r="J30" s="1304">
        <f t="shared" si="2"/>
        <v>9.94</v>
      </c>
      <c r="K30" s="1304">
        <f t="shared" si="2"/>
        <v>4.2244999999999999</v>
      </c>
      <c r="L30" s="1304">
        <f t="shared" si="2"/>
        <v>1.1499999999999999</v>
      </c>
      <c r="M30" s="1304">
        <f t="shared" si="2"/>
        <v>0</v>
      </c>
      <c r="N30" s="1304">
        <f t="shared" si="2"/>
        <v>252.22749999999999</v>
      </c>
      <c r="O30" s="1304">
        <f t="shared" si="2"/>
        <v>0</v>
      </c>
      <c r="P30" s="1304">
        <f t="shared" si="2"/>
        <v>34.24</v>
      </c>
      <c r="Q30" s="1304">
        <f t="shared" si="2"/>
        <v>4318134.8</v>
      </c>
    </row>
    <row r="31" spans="1:17" x14ac:dyDescent="0.25">
      <c r="A31" s="1292"/>
      <c r="C31" s="1298" t="s">
        <v>713</v>
      </c>
      <c r="D31" s="1293">
        <v>250</v>
      </c>
      <c r="E31" s="1293">
        <v>1195</v>
      </c>
      <c r="F31" s="1299" t="s">
        <v>539</v>
      </c>
      <c r="G31" s="1280">
        <v>35</v>
      </c>
      <c r="H31" s="1292">
        <v>35</v>
      </c>
      <c r="I31" s="1292"/>
      <c r="J31" s="1292">
        <v>4.97</v>
      </c>
      <c r="K31" s="1292"/>
      <c r="L31" s="1292">
        <v>1</v>
      </c>
      <c r="M31" s="1292"/>
      <c r="N31" s="1280">
        <f>J31*H31</f>
        <v>173.95</v>
      </c>
      <c r="O31" s="1280"/>
      <c r="P31" s="1280">
        <v>17.12</v>
      </c>
      <c r="Q31" s="1280">
        <f t="shared" si="1"/>
        <v>2978024</v>
      </c>
    </row>
    <row r="32" spans="1:17" x14ac:dyDescent="0.25">
      <c r="A32" s="1292"/>
      <c r="B32" s="1292"/>
      <c r="C32" s="1300"/>
      <c r="D32" s="1293"/>
      <c r="E32" s="1293"/>
      <c r="F32" s="1299" t="s">
        <v>539</v>
      </c>
      <c r="G32" s="1280">
        <v>105</v>
      </c>
      <c r="H32" s="1292"/>
      <c r="I32" s="1292">
        <v>105</v>
      </c>
      <c r="J32" s="1292">
        <v>4.97</v>
      </c>
      <c r="K32" s="1280">
        <f>J32-(J32*L32)</f>
        <v>4.2244999999999999</v>
      </c>
      <c r="L32" s="1292">
        <v>0.15</v>
      </c>
      <c r="M32" s="1292"/>
      <c r="N32" s="1280">
        <f>I32*J32*L32</f>
        <v>78.277500000000003</v>
      </c>
      <c r="O32" s="1280"/>
      <c r="P32" s="1280">
        <v>17.12</v>
      </c>
      <c r="Q32" s="1280">
        <f t="shared" si="1"/>
        <v>1340110.8</v>
      </c>
    </row>
    <row r="33" spans="1:17" s="1305" customFormat="1" x14ac:dyDescent="0.25">
      <c r="A33" s="1301"/>
      <c r="B33" s="1298" t="s">
        <v>728</v>
      </c>
      <c r="C33" s="1302"/>
      <c r="D33" s="1303"/>
      <c r="E33" s="1303"/>
      <c r="F33" s="1307"/>
      <c r="G33" s="1304">
        <f>SUM(G34:G35)</f>
        <v>30</v>
      </c>
      <c r="H33" s="1304">
        <f t="shared" ref="H33:Q33" si="3">SUM(H34:H35)</f>
        <v>10</v>
      </c>
      <c r="I33" s="1304">
        <f t="shared" si="3"/>
        <v>20</v>
      </c>
      <c r="J33" s="1304">
        <f t="shared" si="3"/>
        <v>9.94</v>
      </c>
      <c r="K33" s="1304">
        <f t="shared" si="3"/>
        <v>4.2244999999999999</v>
      </c>
      <c r="L33" s="1304">
        <f t="shared" si="3"/>
        <v>1.1499999999999999</v>
      </c>
      <c r="M33" s="1304">
        <f t="shared" si="3"/>
        <v>0</v>
      </c>
      <c r="N33" s="1304">
        <f t="shared" si="3"/>
        <v>64.61</v>
      </c>
      <c r="O33" s="1304">
        <f t="shared" si="3"/>
        <v>0</v>
      </c>
      <c r="P33" s="1304">
        <f t="shared" si="3"/>
        <v>34.24</v>
      </c>
      <c r="Q33" s="1304">
        <f t="shared" si="3"/>
        <v>1106123.2</v>
      </c>
    </row>
    <row r="34" spans="1:17" x14ac:dyDescent="0.25">
      <c r="A34" s="1292"/>
      <c r="C34" s="1300"/>
      <c r="D34" s="1293"/>
      <c r="E34" s="1293"/>
      <c r="F34" s="1299" t="s">
        <v>586</v>
      </c>
      <c r="G34" s="1280">
        <v>10</v>
      </c>
      <c r="H34" s="1292">
        <v>10</v>
      </c>
      <c r="I34" s="1295"/>
      <c r="J34" s="1292">
        <v>4.97</v>
      </c>
      <c r="K34" s="1280"/>
      <c r="L34" s="1292">
        <v>1</v>
      </c>
      <c r="M34" s="1292"/>
      <c r="N34" s="1280">
        <f>J34*H34</f>
        <v>49.699999999999996</v>
      </c>
      <c r="O34" s="1280"/>
      <c r="P34" s="1280">
        <v>17.12</v>
      </c>
      <c r="Q34" s="1280">
        <f t="shared" si="1"/>
        <v>850864</v>
      </c>
    </row>
    <row r="35" spans="1:17" x14ac:dyDescent="0.25">
      <c r="A35" s="1292"/>
      <c r="B35" s="1292"/>
      <c r="C35" s="1300"/>
      <c r="D35" s="1293"/>
      <c r="E35" s="1293"/>
      <c r="F35" s="1299" t="s">
        <v>586</v>
      </c>
      <c r="G35" s="1280">
        <v>20</v>
      </c>
      <c r="H35" s="1292"/>
      <c r="I35" s="1292">
        <v>20</v>
      </c>
      <c r="J35" s="1292">
        <v>4.97</v>
      </c>
      <c r="K35" s="1280">
        <f>J35-(J35*L35)</f>
        <v>4.2244999999999999</v>
      </c>
      <c r="L35" s="1292">
        <v>0.15</v>
      </c>
      <c r="M35" s="1292"/>
      <c r="N35" s="1280">
        <f>I35*J35*L35</f>
        <v>14.909999999999998</v>
      </c>
      <c r="O35" s="1280"/>
      <c r="P35" s="1280">
        <v>17.12</v>
      </c>
      <c r="Q35" s="1280">
        <f t="shared" si="1"/>
        <v>255259.19999999998</v>
      </c>
    </row>
    <row r="36" spans="1:17" x14ac:dyDescent="0.25">
      <c r="A36" s="1292"/>
      <c r="B36" s="1292"/>
      <c r="C36" s="1300"/>
      <c r="D36" s="1293"/>
      <c r="E36" s="1293"/>
      <c r="F36" s="1299"/>
      <c r="G36" s="1280"/>
      <c r="H36" s="1292"/>
      <c r="I36" s="1292"/>
      <c r="J36" s="1292"/>
      <c r="K36" s="1280"/>
      <c r="L36" s="1292"/>
      <c r="M36" s="1292"/>
      <c r="N36" s="1280"/>
      <c r="O36" s="1280"/>
      <c r="P36" s="1280"/>
      <c r="Q36" s="1280"/>
    </row>
    <row r="37" spans="1:17" x14ac:dyDescent="0.25">
      <c r="A37" s="1292"/>
      <c r="B37" s="185" t="s">
        <v>59</v>
      </c>
      <c r="C37" s="1298" t="s">
        <v>713</v>
      </c>
      <c r="D37" s="1293">
        <v>150</v>
      </c>
      <c r="E37" s="1293">
        <v>2540</v>
      </c>
      <c r="F37" s="1299" t="s">
        <v>539</v>
      </c>
      <c r="G37" s="1280">
        <v>39</v>
      </c>
      <c r="H37" s="1292">
        <v>39</v>
      </c>
      <c r="I37" s="1292"/>
      <c r="J37" s="1292">
        <v>4.97</v>
      </c>
      <c r="K37" s="1280"/>
      <c r="L37" s="1292">
        <v>1</v>
      </c>
      <c r="M37" s="1292"/>
      <c r="N37" s="1280">
        <f>J37*H37</f>
        <v>193.82999999999998</v>
      </c>
      <c r="O37" s="1280"/>
      <c r="P37" s="1280">
        <v>17.12</v>
      </c>
      <c r="Q37" s="1280">
        <f t="shared" si="1"/>
        <v>3318369.6</v>
      </c>
    </row>
    <row r="38" spans="1:17" x14ac:dyDescent="0.25">
      <c r="A38" s="1292"/>
      <c r="B38" s="1292"/>
      <c r="C38" s="1300"/>
      <c r="D38" s="1293"/>
      <c r="E38" s="1293"/>
      <c r="F38" s="1299" t="s">
        <v>539</v>
      </c>
      <c r="G38" s="1280">
        <v>201</v>
      </c>
      <c r="H38" s="1292"/>
      <c r="I38" s="1292">
        <v>201</v>
      </c>
      <c r="J38" s="1292">
        <v>4.97</v>
      </c>
      <c r="K38" s="1280">
        <f>J38-(J38*L38)</f>
        <v>4.2244999999999999</v>
      </c>
      <c r="L38" s="1292">
        <v>0.15</v>
      </c>
      <c r="M38" s="1292"/>
      <c r="N38" s="1280">
        <f>I38*J38*L38</f>
        <v>149.84549999999999</v>
      </c>
      <c r="O38" s="1280"/>
      <c r="P38" s="1280">
        <v>17.12</v>
      </c>
      <c r="Q38" s="1280">
        <f t="shared" si="1"/>
        <v>2565354.96</v>
      </c>
    </row>
    <row r="39" spans="1:17" x14ac:dyDescent="0.25">
      <c r="A39" s="1292"/>
      <c r="B39" s="1298" t="s">
        <v>737</v>
      </c>
      <c r="C39" s="1298" t="s">
        <v>713</v>
      </c>
      <c r="D39" s="1293">
        <v>315</v>
      </c>
      <c r="E39" s="1293">
        <v>6664.5</v>
      </c>
      <c r="F39" s="1299" t="s">
        <v>586</v>
      </c>
      <c r="G39" s="1280">
        <v>233</v>
      </c>
      <c r="H39" s="1292"/>
      <c r="I39" s="1292">
        <v>233</v>
      </c>
      <c r="J39" s="1292">
        <v>4.97</v>
      </c>
      <c r="K39" s="1280">
        <v>4.22</v>
      </c>
      <c r="L39" s="1292">
        <v>0.15</v>
      </c>
      <c r="M39" s="1292"/>
      <c r="N39" s="1280">
        <f>I39*J39*L39</f>
        <v>173.70149999999998</v>
      </c>
      <c r="O39" s="1280"/>
      <c r="P39" s="1280">
        <v>17.12</v>
      </c>
      <c r="Q39" s="1280">
        <f t="shared" si="1"/>
        <v>2973769.6799999997</v>
      </c>
    </row>
    <row r="40" spans="1:17" x14ac:dyDescent="0.25">
      <c r="A40" s="1292"/>
      <c r="B40" s="1298" t="s">
        <v>734</v>
      </c>
      <c r="C40" s="1298" t="s">
        <v>713</v>
      </c>
      <c r="D40" s="1293">
        <v>135</v>
      </c>
      <c r="E40" s="1293">
        <v>971</v>
      </c>
      <c r="F40" s="1299" t="s">
        <v>586</v>
      </c>
      <c r="G40" s="1280">
        <v>100</v>
      </c>
      <c r="H40" s="1292"/>
      <c r="I40" s="1292">
        <v>100</v>
      </c>
      <c r="J40" s="1292">
        <v>4.97</v>
      </c>
      <c r="K40" s="1280">
        <v>4.22</v>
      </c>
      <c r="L40" s="1292">
        <v>0.15</v>
      </c>
      <c r="M40" s="1292"/>
      <c r="N40" s="1280">
        <f>I40*J40*L40</f>
        <v>74.55</v>
      </c>
      <c r="O40" s="1280"/>
      <c r="P40" s="1280">
        <v>17.12</v>
      </c>
      <c r="Q40" s="1280">
        <f t="shared" si="1"/>
        <v>1276296</v>
      </c>
    </row>
    <row r="41" spans="1:17" x14ac:dyDescent="0.25">
      <c r="A41" s="1292"/>
      <c r="B41" s="1292"/>
      <c r="C41" s="1292"/>
      <c r="D41" s="1292"/>
      <c r="E41" s="1293"/>
      <c r="F41" s="1299"/>
      <c r="G41" s="1280"/>
      <c r="H41" s="1292"/>
      <c r="I41" s="1295"/>
      <c r="J41" s="1292"/>
      <c r="K41" s="1292"/>
      <c r="L41" s="1292"/>
      <c r="M41" s="1292"/>
      <c r="N41" s="1280"/>
      <c r="O41" s="1280"/>
      <c r="P41" s="1280"/>
      <c r="Q41" s="1280"/>
    </row>
    <row r="42" spans="1:17" s="1404" customFormat="1" x14ac:dyDescent="0.25">
      <c r="A42" s="1400"/>
      <c r="B42" s="1401" t="s">
        <v>540</v>
      </c>
      <c r="C42" s="1400"/>
      <c r="D42" s="1400"/>
      <c r="E42" s="1402"/>
      <c r="F42" s="1403"/>
      <c r="G42" s="1402">
        <f>G43+G71</f>
        <v>1554.3299999999995</v>
      </c>
      <c r="H42" s="1402">
        <f>H43+H71</f>
        <v>183.82</v>
      </c>
      <c r="I42" s="1402">
        <f>I43+I71</f>
        <v>1370.5099999999998</v>
      </c>
      <c r="J42" s="1402"/>
      <c r="K42" s="1402"/>
      <c r="L42" s="1402"/>
      <c r="M42" s="1402"/>
      <c r="N42" s="1402">
        <f>N43+N71</f>
        <v>1478.7234100000001</v>
      </c>
      <c r="O42" s="1402"/>
      <c r="P42" s="1402"/>
      <c r="Q42" s="1402">
        <f>Q43+Q71</f>
        <v>25700212.865799997</v>
      </c>
    </row>
    <row r="43" spans="1:17" x14ac:dyDescent="0.25">
      <c r="A43" s="1280"/>
      <c r="B43" s="1308" t="s">
        <v>471</v>
      </c>
      <c r="C43" s="1309"/>
      <c r="D43" s="1309"/>
      <c r="E43" s="1310"/>
      <c r="F43" s="1311"/>
      <c r="G43" s="1310">
        <f>SUM(G44:G70)</f>
        <v>455.4</v>
      </c>
      <c r="H43" s="1310">
        <f>SUM(H44:H70)</f>
        <v>12.64</v>
      </c>
      <c r="I43" s="1310">
        <f>SUM(I44:I70)</f>
        <v>442.76</v>
      </c>
      <c r="J43" s="1310"/>
      <c r="K43" s="1310"/>
      <c r="L43" s="1310"/>
      <c r="M43" s="1310"/>
      <c r="N43" s="1310">
        <f>SUM(N44:N70)</f>
        <v>336.21232000000003</v>
      </c>
      <c r="O43" s="1310"/>
      <c r="P43" s="1310"/>
      <c r="Q43" s="1310">
        <f>SUM(Q44:Q70)</f>
        <v>5843370.1215999993</v>
      </c>
    </row>
    <row r="44" spans="1:17" x14ac:dyDescent="0.25">
      <c r="A44" s="1280"/>
      <c r="B44" s="1312" t="s">
        <v>904</v>
      </c>
      <c r="C44" s="1280" t="s">
        <v>713</v>
      </c>
      <c r="D44" s="1280"/>
      <c r="E44" s="1291"/>
      <c r="F44" s="1299" t="s">
        <v>539</v>
      </c>
      <c r="G44" s="1280">
        <v>15</v>
      </c>
      <c r="H44" s="1280">
        <v>0</v>
      </c>
      <c r="I44" s="1280">
        <v>15</v>
      </c>
      <c r="J44" s="1280">
        <v>4.3600000000000003</v>
      </c>
      <c r="K44" s="1280">
        <v>4.1420000000000003</v>
      </c>
      <c r="L44" s="1280">
        <v>0.05</v>
      </c>
      <c r="M44" s="1313"/>
      <c r="N44" s="1280">
        <f>I44*J44*L44</f>
        <v>3.2700000000000005</v>
      </c>
      <c r="O44" s="1280"/>
      <c r="P44" s="1280">
        <v>17.38</v>
      </c>
      <c r="Q44" s="1280">
        <f t="shared" ref="Q44:Q63" si="4">P44*N44*1000</f>
        <v>56832.600000000006</v>
      </c>
    </row>
    <row r="45" spans="1:17" s="1305" customFormat="1" x14ac:dyDescent="0.25">
      <c r="A45" s="1304"/>
      <c r="B45" s="1312" t="s">
        <v>555</v>
      </c>
      <c r="C45" s="1304"/>
      <c r="D45" s="1304"/>
      <c r="E45" s="1314"/>
      <c r="F45" s="1307"/>
      <c r="G45" s="1304">
        <f>SUM(G46:G51)</f>
        <v>40.18</v>
      </c>
      <c r="H45" s="1304">
        <f t="shared" ref="H45:Q45" si="5">SUM(H46:H51)</f>
        <v>3.9</v>
      </c>
      <c r="I45" s="1304">
        <f t="shared" si="5"/>
        <v>36.28</v>
      </c>
      <c r="J45" s="1304">
        <f t="shared" si="5"/>
        <v>25.1</v>
      </c>
      <c r="K45" s="1304">
        <f t="shared" si="5"/>
        <v>8.9440000000000008</v>
      </c>
      <c r="L45" s="1304">
        <f t="shared" si="5"/>
        <v>3</v>
      </c>
      <c r="M45" s="1304">
        <f t="shared" si="5"/>
        <v>0</v>
      </c>
      <c r="N45" s="1304">
        <f t="shared" si="5"/>
        <v>45.046160000000015</v>
      </c>
      <c r="O45" s="1304">
        <f t="shared" si="5"/>
        <v>0</v>
      </c>
      <c r="P45" s="1304">
        <f t="shared" si="5"/>
        <v>104.27999999999999</v>
      </c>
      <c r="Q45" s="1304">
        <f t="shared" si="5"/>
        <v>782902.26080000005</v>
      </c>
    </row>
    <row r="46" spans="1:17" x14ac:dyDescent="0.25">
      <c r="A46" s="1280"/>
      <c r="C46" s="1280" t="s">
        <v>713</v>
      </c>
      <c r="D46" s="1280"/>
      <c r="E46" s="1291"/>
      <c r="F46" s="1299" t="s">
        <v>539</v>
      </c>
      <c r="G46" s="1280">
        <v>17.2</v>
      </c>
      <c r="H46" s="1280"/>
      <c r="I46" s="1280">
        <v>17.2</v>
      </c>
      <c r="J46" s="1280">
        <v>4.3600000000000003</v>
      </c>
      <c r="K46" s="1280">
        <v>3.4880000000000004</v>
      </c>
      <c r="L46" s="1280">
        <v>0.2</v>
      </c>
      <c r="M46" s="1313"/>
      <c r="N46" s="1280">
        <v>14.998400000000002</v>
      </c>
      <c r="O46" s="1280"/>
      <c r="P46" s="1280">
        <v>17.38</v>
      </c>
      <c r="Q46" s="1280">
        <v>260672.19199999998</v>
      </c>
    </row>
    <row r="47" spans="1:17" x14ac:dyDescent="0.25">
      <c r="A47" s="1280"/>
      <c r="B47" s="1312"/>
      <c r="C47" s="1280"/>
      <c r="D47" s="1280"/>
      <c r="E47" s="1291"/>
      <c r="F47" s="1299" t="s">
        <v>586</v>
      </c>
      <c r="G47" s="1280">
        <v>2.56</v>
      </c>
      <c r="H47" s="1280">
        <v>2.56</v>
      </c>
      <c r="I47" s="1280"/>
      <c r="J47" s="1280">
        <v>4.3600000000000003</v>
      </c>
      <c r="K47" s="1280"/>
      <c r="L47" s="1280">
        <v>1</v>
      </c>
      <c r="M47" s="1313"/>
      <c r="N47" s="1280">
        <f>J47*H47</f>
        <v>11.161600000000002</v>
      </c>
      <c r="O47" s="1280"/>
      <c r="P47" s="1280">
        <v>17.38</v>
      </c>
      <c r="Q47" s="1280">
        <f t="shared" si="4"/>
        <v>193988.60800000004</v>
      </c>
    </row>
    <row r="48" spans="1:17" x14ac:dyDescent="0.25">
      <c r="A48" s="1280"/>
      <c r="B48" s="1312"/>
      <c r="C48" s="1280"/>
      <c r="D48" s="1280"/>
      <c r="E48" s="1291"/>
      <c r="F48" s="1299" t="s">
        <v>586</v>
      </c>
      <c r="G48" s="1280">
        <v>16.440000000000001</v>
      </c>
      <c r="H48" s="1280"/>
      <c r="I48" s="1280">
        <v>16.440000000000001</v>
      </c>
      <c r="J48" s="1280">
        <v>4.3600000000000003</v>
      </c>
      <c r="K48" s="1280">
        <f>J48-(J48*L48)</f>
        <v>3.9240000000000004</v>
      </c>
      <c r="L48" s="1280">
        <v>0.1</v>
      </c>
      <c r="M48" s="1313"/>
      <c r="N48" s="1280">
        <f>I48*J48*L48</f>
        <v>7.1678400000000018</v>
      </c>
      <c r="O48" s="1280"/>
      <c r="P48" s="1280">
        <v>17.38</v>
      </c>
      <c r="Q48" s="1280">
        <f>P48*N48*1000</f>
        <v>124577.05920000002</v>
      </c>
    </row>
    <row r="49" spans="1:17" x14ac:dyDescent="0.25">
      <c r="A49" s="1280"/>
      <c r="B49" s="1312"/>
      <c r="C49" s="1280" t="s">
        <v>716</v>
      </c>
      <c r="D49" s="1280"/>
      <c r="E49" s="1291"/>
      <c r="F49" s="1299" t="s">
        <v>539</v>
      </c>
      <c r="G49" s="1280">
        <v>0.98</v>
      </c>
      <c r="H49" s="1280">
        <v>0.98</v>
      </c>
      <c r="I49" s="1280"/>
      <c r="J49" s="1280">
        <v>4.3600000000000003</v>
      </c>
      <c r="K49" s="1280"/>
      <c r="L49" s="1280">
        <v>0.1</v>
      </c>
      <c r="M49" s="1313"/>
      <c r="N49" s="1280">
        <f>J49*H49</f>
        <v>4.2728000000000002</v>
      </c>
      <c r="O49" s="1280"/>
      <c r="P49" s="1280">
        <v>17.38</v>
      </c>
      <c r="Q49" s="1280">
        <f>P49*N49*1000</f>
        <v>74261.263999999996</v>
      </c>
    </row>
    <row r="50" spans="1:17" x14ac:dyDescent="0.25">
      <c r="A50" s="1280"/>
      <c r="B50" s="1312"/>
      <c r="C50" s="1280"/>
      <c r="D50" s="1280"/>
      <c r="E50" s="1291"/>
      <c r="F50" s="1299" t="s">
        <v>586</v>
      </c>
      <c r="G50" s="1280">
        <v>2.64</v>
      </c>
      <c r="H50" s="1280"/>
      <c r="I50" s="1280">
        <v>2.64</v>
      </c>
      <c r="J50" s="1280">
        <v>3.83</v>
      </c>
      <c r="K50" s="1280">
        <f>J50-(J50*L50)</f>
        <v>1.532</v>
      </c>
      <c r="L50" s="1280">
        <v>0.6</v>
      </c>
      <c r="M50" s="1313"/>
      <c r="N50" s="1280">
        <f>I50*J50*L50</f>
        <v>6.0667200000000001</v>
      </c>
      <c r="O50" s="1280"/>
      <c r="P50" s="1280">
        <v>17.38</v>
      </c>
      <c r="Q50" s="1280">
        <f>P50*N50*1000</f>
        <v>105439.59359999999</v>
      </c>
    </row>
    <row r="51" spans="1:17" x14ac:dyDescent="0.25">
      <c r="A51" s="1280"/>
      <c r="B51" s="1312"/>
      <c r="C51" s="1280"/>
      <c r="D51" s="1280"/>
      <c r="E51" s="1291"/>
      <c r="F51" s="1299" t="s">
        <v>586</v>
      </c>
      <c r="G51" s="1280">
        <v>0.36</v>
      </c>
      <c r="H51" s="1280">
        <v>0.36</v>
      </c>
      <c r="I51" s="1280"/>
      <c r="J51" s="1280">
        <v>3.83</v>
      </c>
      <c r="K51" s="1280"/>
      <c r="L51" s="1280">
        <v>1</v>
      </c>
      <c r="M51" s="1313"/>
      <c r="N51" s="1280">
        <f>J51*H51</f>
        <v>1.3788</v>
      </c>
      <c r="O51" s="1280"/>
      <c r="P51" s="1280">
        <v>17.38</v>
      </c>
      <c r="Q51" s="1280">
        <f>P51*N51*1000</f>
        <v>23963.543999999998</v>
      </c>
    </row>
    <row r="52" spans="1:17" s="1305" customFormat="1" x14ac:dyDescent="0.25">
      <c r="A52" s="1304"/>
      <c r="B52" s="1312" t="s">
        <v>541</v>
      </c>
      <c r="C52" s="1304"/>
      <c r="D52" s="1304"/>
      <c r="E52" s="1314"/>
      <c r="F52" s="1307"/>
      <c r="G52" s="1304">
        <f>SUM(G53:G56)</f>
        <v>5.71</v>
      </c>
      <c r="H52" s="1304">
        <f t="shared" ref="H52:Q52" si="6">SUM(H53:H56)</f>
        <v>0.11</v>
      </c>
      <c r="I52" s="1304">
        <f t="shared" si="6"/>
        <v>5.6</v>
      </c>
      <c r="J52" s="1304">
        <f t="shared" si="6"/>
        <v>17.440000000000001</v>
      </c>
      <c r="K52" s="1304">
        <f t="shared" si="6"/>
        <v>12.208000000000002</v>
      </c>
      <c r="L52" s="1304">
        <f t="shared" si="6"/>
        <v>1.2000000000000002</v>
      </c>
      <c r="M52" s="1304">
        <f t="shared" si="6"/>
        <v>0</v>
      </c>
      <c r="N52" s="1304">
        <f t="shared" si="6"/>
        <v>2.7904</v>
      </c>
      <c r="O52" s="1304">
        <f t="shared" si="6"/>
        <v>0</v>
      </c>
      <c r="P52" s="1304">
        <f t="shared" si="6"/>
        <v>69.52</v>
      </c>
      <c r="Q52" s="1304">
        <f t="shared" si="6"/>
        <v>48497.151999999995</v>
      </c>
    </row>
    <row r="53" spans="1:17" x14ac:dyDescent="0.25">
      <c r="A53" s="1280"/>
      <c r="C53" s="1280" t="s">
        <v>713</v>
      </c>
      <c r="D53" s="1280"/>
      <c r="E53" s="1291"/>
      <c r="F53" s="1299" t="s">
        <v>586</v>
      </c>
      <c r="G53" s="1280">
        <f t="shared" ref="G53:G60" si="7">SUM(H53:I53)</f>
        <v>0.11</v>
      </c>
      <c r="H53" s="1280">
        <v>0.11</v>
      </c>
      <c r="I53" s="1280">
        <v>0</v>
      </c>
      <c r="J53" s="1280">
        <v>4.3600000000000003</v>
      </c>
      <c r="K53" s="1280">
        <f t="shared" ref="K53:K60" si="8">J53-(J53*L53)</f>
        <v>0</v>
      </c>
      <c r="L53" s="1280">
        <v>1</v>
      </c>
      <c r="M53" s="1313"/>
      <c r="N53" s="1280">
        <f>J53*H53</f>
        <v>0.47960000000000003</v>
      </c>
      <c r="O53" s="1280"/>
      <c r="P53" s="1280">
        <v>17.38</v>
      </c>
      <c r="Q53" s="1280">
        <f t="shared" si="4"/>
        <v>8335.4480000000003</v>
      </c>
    </row>
    <row r="54" spans="1:17" x14ac:dyDescent="0.25">
      <c r="A54" s="1280"/>
      <c r="B54" s="1312"/>
      <c r="C54" s="1280"/>
      <c r="D54" s="1280"/>
      <c r="E54" s="1291"/>
      <c r="F54" s="1299" t="s">
        <v>586</v>
      </c>
      <c r="G54" s="1280">
        <f t="shared" si="7"/>
        <v>5</v>
      </c>
      <c r="H54" s="1280">
        <v>0</v>
      </c>
      <c r="I54" s="1280">
        <v>5</v>
      </c>
      <c r="J54" s="1280">
        <v>4.3600000000000003</v>
      </c>
      <c r="K54" s="1280">
        <f t="shared" si="8"/>
        <v>3.9240000000000004</v>
      </c>
      <c r="L54" s="1280">
        <v>0.1</v>
      </c>
      <c r="M54" s="1313"/>
      <c r="N54" s="1280">
        <f t="shared" ref="N54:N62" si="9">I54*J54*L54</f>
        <v>2.1800000000000002</v>
      </c>
      <c r="O54" s="1280"/>
      <c r="P54" s="1280">
        <v>17.38</v>
      </c>
      <c r="Q54" s="1280">
        <f t="shared" si="4"/>
        <v>37888.399999999994</v>
      </c>
    </row>
    <row r="55" spans="1:17" x14ac:dyDescent="0.25">
      <c r="A55" s="1280"/>
      <c r="B55" s="1312"/>
      <c r="C55" s="1280"/>
      <c r="D55" s="1280"/>
      <c r="E55" s="1291"/>
      <c r="F55" s="1299" t="s">
        <v>586</v>
      </c>
      <c r="G55" s="1280">
        <f t="shared" si="7"/>
        <v>0.1</v>
      </c>
      <c r="H55" s="1280">
        <v>0</v>
      </c>
      <c r="I55" s="1280">
        <v>0.1</v>
      </c>
      <c r="J55" s="1280">
        <v>4.3600000000000003</v>
      </c>
      <c r="K55" s="1280">
        <f t="shared" si="8"/>
        <v>4.1420000000000003</v>
      </c>
      <c r="L55" s="1280">
        <v>0.05</v>
      </c>
      <c r="M55" s="1313"/>
      <c r="N55" s="1280">
        <f t="shared" si="9"/>
        <v>2.1800000000000003E-2</v>
      </c>
      <c r="O55" s="1280"/>
      <c r="P55" s="1280">
        <v>17.38</v>
      </c>
      <c r="Q55" s="1280">
        <f t="shared" si="4"/>
        <v>378.88400000000007</v>
      </c>
    </row>
    <row r="56" spans="1:17" x14ac:dyDescent="0.25">
      <c r="A56" s="1280"/>
      <c r="B56" s="1312"/>
      <c r="C56" s="1280"/>
      <c r="D56" s="1280"/>
      <c r="E56" s="1291"/>
      <c r="F56" s="1299" t="s">
        <v>474</v>
      </c>
      <c r="G56" s="1280">
        <f t="shared" si="7"/>
        <v>0.5</v>
      </c>
      <c r="H56" s="1280">
        <v>0</v>
      </c>
      <c r="I56" s="1280">
        <v>0.5</v>
      </c>
      <c r="J56" s="1280">
        <v>4.3600000000000003</v>
      </c>
      <c r="K56" s="1280">
        <f t="shared" si="8"/>
        <v>4.1420000000000003</v>
      </c>
      <c r="L56" s="1280">
        <v>0.05</v>
      </c>
      <c r="M56" s="1313"/>
      <c r="N56" s="1280">
        <f t="shared" si="9"/>
        <v>0.10900000000000001</v>
      </c>
      <c r="O56" s="1280"/>
      <c r="P56" s="1280">
        <v>17.38</v>
      </c>
      <c r="Q56" s="1280">
        <f t="shared" si="4"/>
        <v>1894.4200000000003</v>
      </c>
    </row>
    <row r="57" spans="1:17" s="1305" customFormat="1" x14ac:dyDescent="0.25">
      <c r="A57" s="1304"/>
      <c r="B57" s="1312" t="s">
        <v>552</v>
      </c>
      <c r="C57" s="1304"/>
      <c r="D57" s="1304"/>
      <c r="E57" s="1314"/>
      <c r="F57" s="1307"/>
      <c r="G57" s="1304">
        <f>SUM(G58:G60)</f>
        <v>104.5</v>
      </c>
      <c r="H57" s="1304">
        <f t="shared" ref="H57:Q57" si="10">SUM(H58:H60)</f>
        <v>0</v>
      </c>
      <c r="I57" s="1304">
        <f t="shared" si="10"/>
        <v>104.5</v>
      </c>
      <c r="J57" s="1304">
        <f t="shared" si="10"/>
        <v>12.55</v>
      </c>
      <c r="K57" s="1304">
        <f t="shared" si="10"/>
        <v>9.1090000000000018</v>
      </c>
      <c r="L57" s="1304">
        <f t="shared" si="10"/>
        <v>0.85</v>
      </c>
      <c r="M57" s="1304">
        <f t="shared" si="10"/>
        <v>0</v>
      </c>
      <c r="N57" s="1304">
        <f t="shared" si="10"/>
        <v>69.08250000000001</v>
      </c>
      <c r="O57" s="1304">
        <f t="shared" si="10"/>
        <v>0</v>
      </c>
      <c r="P57" s="1304">
        <f t="shared" si="10"/>
        <v>52.14</v>
      </c>
      <c r="Q57" s="1304">
        <f t="shared" si="10"/>
        <v>1200653.8499999999</v>
      </c>
    </row>
    <row r="58" spans="1:17" x14ac:dyDescent="0.25">
      <c r="A58" s="1280"/>
      <c r="C58" s="1280" t="s">
        <v>713</v>
      </c>
      <c r="D58" s="1280"/>
      <c r="E58" s="1291"/>
      <c r="F58" s="1299" t="s">
        <v>586</v>
      </c>
      <c r="G58" s="1280">
        <f t="shared" si="7"/>
        <v>0.5</v>
      </c>
      <c r="H58" s="1280">
        <v>0</v>
      </c>
      <c r="I58" s="1280">
        <v>0.5</v>
      </c>
      <c r="J58" s="1280">
        <v>4.3600000000000003</v>
      </c>
      <c r="K58" s="1280">
        <f t="shared" si="8"/>
        <v>3.4880000000000004</v>
      </c>
      <c r="L58" s="1280">
        <v>0.2</v>
      </c>
      <c r="M58" s="1313"/>
      <c r="N58" s="1280">
        <f t="shared" si="9"/>
        <v>0.43600000000000005</v>
      </c>
      <c r="O58" s="1280"/>
      <c r="P58" s="1280">
        <v>17.38</v>
      </c>
      <c r="Q58" s="1280">
        <f t="shared" si="4"/>
        <v>7577.6800000000012</v>
      </c>
    </row>
    <row r="59" spans="1:17" x14ac:dyDescent="0.25">
      <c r="A59" s="1280"/>
      <c r="B59" s="1312"/>
      <c r="C59" s="1280"/>
      <c r="D59" s="1280"/>
      <c r="E59" s="1291"/>
      <c r="F59" s="1299" t="s">
        <v>586</v>
      </c>
      <c r="G59" s="1280">
        <f>SUM(H59:I59)</f>
        <v>103.5</v>
      </c>
      <c r="H59" s="1280">
        <v>0</v>
      </c>
      <c r="I59" s="1280">
        <f>31.5+72</f>
        <v>103.5</v>
      </c>
      <c r="J59" s="1280">
        <v>4.3600000000000003</v>
      </c>
      <c r="K59" s="1280">
        <f t="shared" si="8"/>
        <v>3.7060000000000004</v>
      </c>
      <c r="L59" s="1280">
        <v>0.15</v>
      </c>
      <c r="M59" s="1313"/>
      <c r="N59" s="1280">
        <f t="shared" si="9"/>
        <v>67.689000000000007</v>
      </c>
      <c r="O59" s="1280"/>
      <c r="P59" s="1280">
        <v>17.38</v>
      </c>
      <c r="Q59" s="1280">
        <f>P59*N59*1000</f>
        <v>1176434.8199999998</v>
      </c>
    </row>
    <row r="60" spans="1:17" x14ac:dyDescent="0.25">
      <c r="A60" s="1280"/>
      <c r="B60" s="1312"/>
      <c r="C60" s="1280" t="s">
        <v>716</v>
      </c>
      <c r="D60" s="1280"/>
      <c r="E60" s="1291"/>
      <c r="F60" s="1299" t="s">
        <v>586</v>
      </c>
      <c r="G60" s="1280">
        <f t="shared" si="7"/>
        <v>0.5</v>
      </c>
      <c r="H60" s="1280">
        <v>0</v>
      </c>
      <c r="I60" s="1280">
        <v>0.5</v>
      </c>
      <c r="J60" s="1280">
        <v>3.83</v>
      </c>
      <c r="K60" s="1280">
        <f t="shared" si="8"/>
        <v>1.915</v>
      </c>
      <c r="L60" s="1280">
        <v>0.5</v>
      </c>
      <c r="M60" s="1313"/>
      <c r="N60" s="1280">
        <f t="shared" si="9"/>
        <v>0.95750000000000002</v>
      </c>
      <c r="O60" s="1280"/>
      <c r="P60" s="1280">
        <v>17.38</v>
      </c>
      <c r="Q60" s="1280">
        <f>P60*N60*1000</f>
        <v>16641.349999999999</v>
      </c>
    </row>
    <row r="61" spans="1:17" s="1305" customFormat="1" x14ac:dyDescent="0.25">
      <c r="A61" s="1304"/>
      <c r="B61" s="1312" t="s">
        <v>903</v>
      </c>
      <c r="C61" s="1304"/>
      <c r="D61" s="1304"/>
      <c r="E61" s="1314"/>
      <c r="F61" s="1307"/>
      <c r="G61" s="1304">
        <f>SUM(G62:G63)</f>
        <v>2.31</v>
      </c>
      <c r="H61" s="1304">
        <f t="shared" ref="H61:Q61" si="11">SUM(H62:H63)</f>
        <v>0.06</v>
      </c>
      <c r="I61" s="1304">
        <f t="shared" si="11"/>
        <v>2.25</v>
      </c>
      <c r="J61" s="1304">
        <f t="shared" si="11"/>
        <v>8.7200000000000006</v>
      </c>
      <c r="K61" s="1304">
        <f t="shared" si="11"/>
        <v>2.62</v>
      </c>
      <c r="L61" s="1304">
        <f t="shared" si="11"/>
        <v>1.4</v>
      </c>
      <c r="M61" s="1304">
        <f t="shared" si="11"/>
        <v>0</v>
      </c>
      <c r="N61" s="1304">
        <f t="shared" si="11"/>
        <v>4.1856</v>
      </c>
      <c r="O61" s="1304">
        <f t="shared" si="11"/>
        <v>0</v>
      </c>
      <c r="P61" s="1304">
        <f t="shared" si="11"/>
        <v>34.76</v>
      </c>
      <c r="Q61" s="1304">
        <f t="shared" si="11"/>
        <v>72745.728000000003</v>
      </c>
    </row>
    <row r="62" spans="1:17" x14ac:dyDescent="0.25">
      <c r="A62" s="1280"/>
      <c r="C62" s="1280" t="s">
        <v>713</v>
      </c>
      <c r="D62" s="1280"/>
      <c r="E62" s="1291"/>
      <c r="F62" s="1299" t="s">
        <v>586</v>
      </c>
      <c r="G62" s="1280">
        <f t="shared" ref="G62:G69" si="12">SUM(H62:I62)</f>
        <v>2.25</v>
      </c>
      <c r="H62" s="1280">
        <v>0</v>
      </c>
      <c r="I62" s="1280">
        <v>2.25</v>
      </c>
      <c r="J62" s="1280">
        <v>4.3600000000000003</v>
      </c>
      <c r="K62" s="1280">
        <v>2.62</v>
      </c>
      <c r="L62" s="1280">
        <v>0.4</v>
      </c>
      <c r="M62" s="1313"/>
      <c r="N62" s="1280">
        <f t="shared" si="9"/>
        <v>3.9240000000000004</v>
      </c>
      <c r="O62" s="1280"/>
      <c r="P62" s="1280">
        <v>17.38</v>
      </c>
      <c r="Q62" s="1280">
        <f t="shared" si="4"/>
        <v>68199.12000000001</v>
      </c>
    </row>
    <row r="63" spans="1:17" x14ac:dyDescent="0.25">
      <c r="A63" s="1280"/>
      <c r="B63" s="1312"/>
      <c r="C63" s="1280"/>
      <c r="D63" s="1280"/>
      <c r="E63" s="1291"/>
      <c r="F63" s="1299" t="s">
        <v>586</v>
      </c>
      <c r="G63" s="1280">
        <f t="shared" si="12"/>
        <v>0.06</v>
      </c>
      <c r="H63" s="1280">
        <v>0.06</v>
      </c>
      <c r="I63" s="1280"/>
      <c r="J63" s="1280">
        <v>4.3600000000000003</v>
      </c>
      <c r="K63" s="1280">
        <f>J63-(J63*L63)</f>
        <v>0</v>
      </c>
      <c r="L63" s="1280">
        <v>1</v>
      </c>
      <c r="M63" s="1313"/>
      <c r="N63" s="1280">
        <f>J63*H63</f>
        <v>0.2616</v>
      </c>
      <c r="O63" s="1280"/>
      <c r="P63" s="1280">
        <v>17.38</v>
      </c>
      <c r="Q63" s="1280">
        <f t="shared" si="4"/>
        <v>4546.6080000000002</v>
      </c>
    </row>
    <row r="64" spans="1:17" x14ac:dyDescent="0.25">
      <c r="A64" s="1280"/>
      <c r="B64" s="1312" t="s">
        <v>543</v>
      </c>
      <c r="C64" s="1280" t="s">
        <v>713</v>
      </c>
      <c r="D64" s="1280"/>
      <c r="E64" s="1291"/>
      <c r="F64" s="1299" t="s">
        <v>586</v>
      </c>
      <c r="G64" s="1280">
        <v>101.5</v>
      </c>
      <c r="H64" s="1280"/>
      <c r="I64" s="1280">
        <v>101.5</v>
      </c>
      <c r="J64" s="1280">
        <v>4.3600000000000003</v>
      </c>
      <c r="K64" s="1280">
        <f>J64-(J64*L64)</f>
        <v>3.7060000000000004</v>
      </c>
      <c r="L64" s="1280">
        <v>0.15</v>
      </c>
      <c r="M64" s="1313"/>
      <c r="N64" s="1280">
        <f>I64*J64*L64</f>
        <v>66.381</v>
      </c>
      <c r="O64" s="1280"/>
      <c r="P64" s="1280">
        <v>17.38</v>
      </c>
      <c r="Q64" s="1280">
        <f>P64*N64*1000</f>
        <v>1153701.7799999998</v>
      </c>
    </row>
    <row r="65" spans="1:17" x14ac:dyDescent="0.25">
      <c r="A65" s="1280"/>
      <c r="B65" s="1312"/>
      <c r="C65" s="1280"/>
      <c r="D65" s="1280"/>
      <c r="E65" s="1291"/>
      <c r="F65" s="1299"/>
      <c r="G65" s="1280"/>
      <c r="H65" s="1280"/>
      <c r="I65" s="1280"/>
      <c r="J65" s="1280"/>
      <c r="K65" s="1280"/>
      <c r="L65" s="1280"/>
      <c r="M65" s="1313"/>
      <c r="N65" s="1280"/>
      <c r="O65" s="1280"/>
      <c r="P65" s="1280"/>
      <c r="Q65" s="1280"/>
    </row>
    <row r="66" spans="1:17" x14ac:dyDescent="0.25">
      <c r="A66" s="1280"/>
      <c r="B66" s="1312" t="s">
        <v>550</v>
      </c>
      <c r="C66" s="1280" t="s">
        <v>713</v>
      </c>
      <c r="D66" s="1280"/>
      <c r="E66" s="1291"/>
      <c r="F66" s="1299" t="s">
        <v>586</v>
      </c>
      <c r="G66" s="1280">
        <v>20</v>
      </c>
      <c r="H66" s="1280"/>
      <c r="I66" s="1280">
        <v>20</v>
      </c>
      <c r="J66" s="1280">
        <v>4.3600000000000003</v>
      </c>
      <c r="K66" s="1280">
        <f>J66-(J66*L66)</f>
        <v>4.1420000000000003</v>
      </c>
      <c r="L66" s="1280">
        <v>0.05</v>
      </c>
      <c r="M66" s="1313"/>
      <c r="N66" s="1280">
        <f>I66*J66*L66</f>
        <v>4.3600000000000003</v>
      </c>
      <c r="O66" s="1280"/>
      <c r="P66" s="1280">
        <v>17.38</v>
      </c>
      <c r="Q66" s="1280">
        <f>P66*N66*1000</f>
        <v>75776.799999999988</v>
      </c>
    </row>
    <row r="67" spans="1:17" x14ac:dyDescent="0.25">
      <c r="A67" s="1280"/>
      <c r="B67" s="1312"/>
      <c r="C67" s="1280"/>
      <c r="D67" s="1280"/>
      <c r="E67" s="1291"/>
      <c r="F67" s="1299" t="s">
        <v>474</v>
      </c>
      <c r="G67" s="1280">
        <f t="shared" si="12"/>
        <v>9</v>
      </c>
      <c r="H67" s="1280"/>
      <c r="I67" s="1280">
        <v>9</v>
      </c>
      <c r="J67" s="1280">
        <v>4.3600000000000003</v>
      </c>
      <c r="K67" s="1280">
        <v>3.27</v>
      </c>
      <c r="L67" s="1280">
        <v>0.05</v>
      </c>
      <c r="M67" s="1313"/>
      <c r="N67" s="1280">
        <f>I67*J67*L67</f>
        <v>1.9620000000000002</v>
      </c>
      <c r="O67" s="1280"/>
      <c r="P67" s="1280">
        <v>17.38</v>
      </c>
      <c r="Q67" s="1280">
        <f>P67*N67*1000</f>
        <v>34099.560000000005</v>
      </c>
    </row>
    <row r="68" spans="1:17" s="1305" customFormat="1" x14ac:dyDescent="0.25">
      <c r="A68" s="1304"/>
      <c r="B68" s="1312" t="s">
        <v>558</v>
      </c>
      <c r="C68" s="1304"/>
      <c r="D68" s="1304"/>
      <c r="E68" s="1314"/>
      <c r="F68" s="1307"/>
      <c r="G68" s="1304">
        <f>SUM(G69:G70)</f>
        <v>2.25</v>
      </c>
      <c r="H68" s="1304">
        <f t="shared" ref="H68:Q68" si="13">SUM(H69:H70)</f>
        <v>2.25</v>
      </c>
      <c r="I68" s="1304">
        <f t="shared" si="13"/>
        <v>0</v>
      </c>
      <c r="J68" s="1304">
        <f t="shared" si="13"/>
        <v>8.1900000000000013</v>
      </c>
      <c r="K68" s="1304">
        <f t="shared" si="13"/>
        <v>0</v>
      </c>
      <c r="L68" s="1304">
        <f t="shared" si="13"/>
        <v>2</v>
      </c>
      <c r="M68" s="1304">
        <f t="shared" si="13"/>
        <v>0</v>
      </c>
      <c r="N68" s="1304">
        <f t="shared" si="13"/>
        <v>9.0150000000000006</v>
      </c>
      <c r="O68" s="1304">
        <f t="shared" si="13"/>
        <v>0</v>
      </c>
      <c r="P68" s="1304">
        <f t="shared" si="13"/>
        <v>34.76</v>
      </c>
      <c r="Q68" s="1304">
        <f t="shared" si="13"/>
        <v>156680.70000000001</v>
      </c>
    </row>
    <row r="69" spans="1:17" x14ac:dyDescent="0.25">
      <c r="A69" s="1280"/>
      <c r="C69" s="1280" t="s">
        <v>713</v>
      </c>
      <c r="D69" s="1280"/>
      <c r="E69" s="1291"/>
      <c r="F69" s="1299" t="s">
        <v>539</v>
      </c>
      <c r="G69" s="1280">
        <f t="shared" si="12"/>
        <v>0.75</v>
      </c>
      <c r="H69" s="1280">
        <v>0.75</v>
      </c>
      <c r="I69" s="1280"/>
      <c r="J69" s="1280">
        <v>4.3600000000000003</v>
      </c>
      <c r="K69" s="1280"/>
      <c r="L69" s="1280">
        <v>1</v>
      </c>
      <c r="M69" s="1313"/>
      <c r="N69" s="1280">
        <f>J69*H69</f>
        <v>3.2700000000000005</v>
      </c>
      <c r="O69" s="1280"/>
      <c r="P69" s="1280">
        <v>17.38</v>
      </c>
      <c r="Q69" s="1280">
        <f>P69*N69*1000</f>
        <v>56832.600000000006</v>
      </c>
    </row>
    <row r="70" spans="1:17" x14ac:dyDescent="0.25">
      <c r="A70" s="1280"/>
      <c r="B70" s="1312"/>
      <c r="C70" s="1280" t="s">
        <v>716</v>
      </c>
      <c r="D70" s="1280"/>
      <c r="E70" s="1291"/>
      <c r="F70" s="1299" t="s">
        <v>539</v>
      </c>
      <c r="G70" s="1280">
        <f>SUM(H70:I70)</f>
        <v>1.5</v>
      </c>
      <c r="H70" s="1280">
        <v>1.5</v>
      </c>
      <c r="I70" s="1280"/>
      <c r="J70" s="1280">
        <v>3.83</v>
      </c>
      <c r="K70" s="1280"/>
      <c r="L70" s="1280">
        <v>1</v>
      </c>
      <c r="M70" s="1313"/>
      <c r="N70" s="1280">
        <f>J70*H70</f>
        <v>5.7450000000000001</v>
      </c>
      <c r="O70" s="1280"/>
      <c r="P70" s="1280">
        <v>17.38</v>
      </c>
      <c r="Q70" s="1280">
        <f>P70*N70*1000</f>
        <v>99848.1</v>
      </c>
    </row>
    <row r="71" spans="1:17" x14ac:dyDescent="0.25">
      <c r="A71" s="1280"/>
      <c r="B71" s="1308" t="s">
        <v>475</v>
      </c>
      <c r="C71" s="1309"/>
      <c r="D71" s="1309"/>
      <c r="E71" s="1310"/>
      <c r="F71" s="1311"/>
      <c r="G71" s="1310">
        <f>SUM(G73:G119)</f>
        <v>1098.9299999999994</v>
      </c>
      <c r="H71" s="1310">
        <f>SUM(H73:H119)</f>
        <v>171.17999999999998</v>
      </c>
      <c r="I71" s="1310">
        <f>SUM(I73:I119)</f>
        <v>927.74999999999989</v>
      </c>
      <c r="J71" s="1310"/>
      <c r="K71" s="1310"/>
      <c r="L71" s="1310"/>
      <c r="M71" s="1310"/>
      <c r="N71" s="1310">
        <f>SUM(N73:N119)</f>
        <v>1142.51109</v>
      </c>
      <c r="O71" s="1310"/>
      <c r="P71" s="1310"/>
      <c r="Q71" s="1310">
        <f>SUM(Q73:Q119)</f>
        <v>19856842.744199999</v>
      </c>
    </row>
    <row r="72" spans="1:17" s="1305" customFormat="1" x14ac:dyDescent="0.25">
      <c r="A72" s="1304"/>
      <c r="B72" s="1312" t="s">
        <v>989</v>
      </c>
      <c r="C72" s="1315"/>
      <c r="D72" s="1315"/>
      <c r="E72" s="1316"/>
      <c r="F72" s="1317"/>
      <c r="G72" s="1304">
        <f>SUM(G73:G79)</f>
        <v>102.65</v>
      </c>
      <c r="H72" s="1304">
        <f t="shared" ref="H72:Q72" si="14">SUM(H73:H79)</f>
        <v>15</v>
      </c>
      <c r="I72" s="1304">
        <f t="shared" si="14"/>
        <v>87.65</v>
      </c>
      <c r="J72" s="1304">
        <f t="shared" si="14"/>
        <v>29.990000000000002</v>
      </c>
      <c r="K72" s="1304">
        <f t="shared" si="14"/>
        <v>11.2705</v>
      </c>
      <c r="L72" s="1304">
        <f t="shared" si="14"/>
        <v>4.1499999999999995</v>
      </c>
      <c r="M72" s="1304">
        <f t="shared" si="14"/>
        <v>0</v>
      </c>
      <c r="N72" s="1304">
        <f t="shared" si="14"/>
        <v>83.633200000000016</v>
      </c>
      <c r="O72" s="1304">
        <f t="shared" si="14"/>
        <v>0</v>
      </c>
      <c r="P72" s="1304">
        <f t="shared" si="14"/>
        <v>121.65999999999998</v>
      </c>
      <c r="Q72" s="1304">
        <f t="shared" si="14"/>
        <v>1453545.0160000003</v>
      </c>
    </row>
    <row r="73" spans="1:17" x14ac:dyDescent="0.25">
      <c r="A73" s="1280"/>
      <c r="C73" s="1280" t="s">
        <v>713</v>
      </c>
      <c r="D73" s="1280"/>
      <c r="E73" s="1291"/>
      <c r="F73" s="1299" t="s">
        <v>539</v>
      </c>
      <c r="G73" s="1280">
        <f>SUM(H73:I73)</f>
        <v>51.65</v>
      </c>
      <c r="H73" s="1280">
        <v>0</v>
      </c>
      <c r="I73" s="1280">
        <v>51.65</v>
      </c>
      <c r="J73" s="1280">
        <v>4.3600000000000003</v>
      </c>
      <c r="K73" s="1280">
        <f>J73-(J73*L73)</f>
        <v>4.1420000000000003</v>
      </c>
      <c r="L73" s="1280">
        <v>0.05</v>
      </c>
      <c r="M73" s="1313"/>
      <c r="N73" s="1280">
        <f>I73*J73*L73</f>
        <v>11.259700000000002</v>
      </c>
      <c r="O73" s="1280"/>
      <c r="P73" s="1280">
        <v>17.38</v>
      </c>
      <c r="Q73" s="1280">
        <f t="shared" ref="Q73:Q119" si="15">P73*N73*1000</f>
        <v>195693.58600000004</v>
      </c>
    </row>
    <row r="74" spans="1:17" x14ac:dyDescent="0.25">
      <c r="A74" s="1280"/>
      <c r="B74" s="1312"/>
      <c r="C74" s="1280"/>
      <c r="D74" s="1280"/>
      <c r="E74" s="1291"/>
      <c r="F74" s="1299" t="s">
        <v>539</v>
      </c>
      <c r="G74" s="1280">
        <f>SUM(H74:I74)</f>
        <v>3</v>
      </c>
      <c r="H74" s="1280">
        <v>3</v>
      </c>
      <c r="I74" s="1280"/>
      <c r="J74" s="1280">
        <v>4.3600000000000003</v>
      </c>
      <c r="K74" s="1280"/>
      <c r="L74" s="1280">
        <v>1</v>
      </c>
      <c r="M74" s="1313"/>
      <c r="N74" s="1280">
        <f>J74*H74</f>
        <v>13.080000000000002</v>
      </c>
      <c r="O74" s="1280"/>
      <c r="P74" s="1280">
        <v>17.38</v>
      </c>
      <c r="Q74" s="1280">
        <f t="shared" si="15"/>
        <v>227330.40000000002</v>
      </c>
    </row>
    <row r="75" spans="1:17" x14ac:dyDescent="0.25">
      <c r="A75" s="1280"/>
      <c r="B75" s="1312"/>
      <c r="C75" s="1280"/>
      <c r="D75" s="1280"/>
      <c r="E75" s="1291"/>
      <c r="F75" s="1299" t="s">
        <v>586</v>
      </c>
      <c r="G75" s="1280">
        <f>SUM(H75:I75)</f>
        <v>5</v>
      </c>
      <c r="H75" s="1280">
        <v>5</v>
      </c>
      <c r="I75" s="1280"/>
      <c r="J75" s="1280">
        <v>4.3600000000000003</v>
      </c>
      <c r="K75" s="1280"/>
      <c r="L75" s="1280">
        <v>1</v>
      </c>
      <c r="M75" s="1313"/>
      <c r="N75" s="1280">
        <f>J75*H75</f>
        <v>21.8</v>
      </c>
      <c r="O75" s="1280"/>
      <c r="P75" s="1280">
        <v>17.38</v>
      </c>
      <c r="Q75" s="1280">
        <f t="shared" si="15"/>
        <v>378884</v>
      </c>
    </row>
    <row r="76" spans="1:17" x14ac:dyDescent="0.25">
      <c r="A76" s="1280"/>
      <c r="B76" s="1312"/>
      <c r="C76" s="1280"/>
      <c r="D76" s="1280"/>
      <c r="E76" s="1291"/>
      <c r="F76" s="1299" t="s">
        <v>474</v>
      </c>
      <c r="G76" s="1280">
        <f>SUM(H76:I76)</f>
        <v>3</v>
      </c>
      <c r="H76" s="1280"/>
      <c r="I76" s="1280">
        <v>3</v>
      </c>
      <c r="J76" s="1280">
        <v>4.3600000000000003</v>
      </c>
      <c r="K76" s="1280">
        <v>3.49</v>
      </c>
      <c r="L76" s="1280">
        <v>0.05</v>
      </c>
      <c r="M76" s="1313"/>
      <c r="N76" s="1280">
        <f>I76*J76*L76</f>
        <v>0.65400000000000014</v>
      </c>
      <c r="O76" s="1280"/>
      <c r="P76" s="1280">
        <v>17.38</v>
      </c>
      <c r="Q76" s="1280">
        <f t="shared" si="15"/>
        <v>11366.52</v>
      </c>
    </row>
    <row r="77" spans="1:17" x14ac:dyDescent="0.25">
      <c r="A77" s="1280"/>
      <c r="B77" s="1312"/>
      <c r="C77" s="1280"/>
      <c r="D77" s="1280"/>
      <c r="E77" s="1291"/>
      <c r="F77" s="1299" t="s">
        <v>474</v>
      </c>
      <c r="G77" s="1280">
        <f>SUM(H77:I77)</f>
        <v>1</v>
      </c>
      <c r="H77" s="1280">
        <v>1</v>
      </c>
      <c r="I77" s="1280"/>
      <c r="J77" s="1280">
        <v>4.3600000000000003</v>
      </c>
      <c r="K77" s="1280"/>
      <c r="L77" s="1280">
        <v>1</v>
      </c>
      <c r="M77" s="1313"/>
      <c r="N77" s="1280">
        <f>J77*H77</f>
        <v>4.3600000000000003</v>
      </c>
      <c r="O77" s="1280"/>
      <c r="P77" s="1280">
        <v>17.38</v>
      </c>
      <c r="Q77" s="1280">
        <f t="shared" si="15"/>
        <v>75776.799999999988</v>
      </c>
    </row>
    <row r="78" spans="1:17" x14ac:dyDescent="0.25">
      <c r="A78" s="1280"/>
      <c r="B78" s="1312"/>
      <c r="C78" s="1280" t="s">
        <v>716</v>
      </c>
      <c r="D78" s="1280"/>
      <c r="E78" s="1291"/>
      <c r="F78" s="1299" t="s">
        <v>539</v>
      </c>
      <c r="G78" s="1280">
        <v>33</v>
      </c>
      <c r="H78" s="1280">
        <v>0</v>
      </c>
      <c r="I78" s="1280">
        <v>33</v>
      </c>
      <c r="J78" s="1280">
        <v>3.83</v>
      </c>
      <c r="K78" s="1280">
        <f t="shared" ref="K78:K87" si="16">J78-(J78*L78)</f>
        <v>3.6385000000000001</v>
      </c>
      <c r="L78" s="1280">
        <v>0.05</v>
      </c>
      <c r="M78" s="1313"/>
      <c r="N78" s="1280">
        <f>I78*J78*L78</f>
        <v>6.3195000000000006</v>
      </c>
      <c r="O78" s="1280"/>
      <c r="P78" s="1280">
        <v>17.38</v>
      </c>
      <c r="Q78" s="1280">
        <f t="shared" si="15"/>
        <v>109832.91</v>
      </c>
    </row>
    <row r="79" spans="1:17" x14ac:dyDescent="0.25">
      <c r="A79" s="1280"/>
      <c r="B79" s="1312"/>
      <c r="C79" s="1280"/>
      <c r="D79" s="1280"/>
      <c r="E79" s="1291"/>
      <c r="F79" s="1299" t="s">
        <v>539</v>
      </c>
      <c r="G79" s="1280">
        <v>6</v>
      </c>
      <c r="H79" s="1280">
        <v>6</v>
      </c>
      <c r="I79" s="1280">
        <v>0</v>
      </c>
      <c r="J79" s="1280">
        <v>4.3600000000000003</v>
      </c>
      <c r="K79" s="1280">
        <f>J79-(J79*L79)</f>
        <v>0</v>
      </c>
      <c r="L79" s="1280">
        <v>1</v>
      </c>
      <c r="M79" s="1313"/>
      <c r="N79" s="1280">
        <f>J79*H79</f>
        <v>26.160000000000004</v>
      </c>
      <c r="O79" s="1280"/>
      <c r="P79" s="1280">
        <v>17.38</v>
      </c>
      <c r="Q79" s="1280">
        <f t="shared" si="15"/>
        <v>454660.80000000005</v>
      </c>
    </row>
    <row r="80" spans="1:17" s="1305" customFormat="1" x14ac:dyDescent="0.25">
      <c r="A80" s="1304"/>
      <c r="B80" s="1312" t="s">
        <v>559</v>
      </c>
      <c r="C80" s="1304"/>
      <c r="D80" s="1304"/>
      <c r="E80" s="1314"/>
      <c r="F80" s="1307"/>
      <c r="G80" s="1304">
        <f>SUM(G81:G82)</f>
        <v>35.75</v>
      </c>
      <c r="H80" s="1304">
        <f t="shared" ref="H80:Q80" si="17">SUM(H81:H82)</f>
        <v>0</v>
      </c>
      <c r="I80" s="1304">
        <f t="shared" si="17"/>
        <v>35.75</v>
      </c>
      <c r="J80" s="1304">
        <f t="shared" si="17"/>
        <v>8.1900000000000013</v>
      </c>
      <c r="K80" s="1304">
        <f t="shared" si="17"/>
        <v>6.6050000000000004</v>
      </c>
      <c r="L80" s="1304">
        <f t="shared" si="17"/>
        <v>0.4</v>
      </c>
      <c r="M80" s="1304">
        <f t="shared" si="17"/>
        <v>0</v>
      </c>
      <c r="N80" s="1304">
        <f t="shared" si="17"/>
        <v>16.121750000000002</v>
      </c>
      <c r="O80" s="1304">
        <f t="shared" si="17"/>
        <v>0</v>
      </c>
      <c r="P80" s="1304">
        <f t="shared" si="17"/>
        <v>34.76</v>
      </c>
      <c r="Q80" s="1304">
        <f t="shared" si="17"/>
        <v>280196.01500000007</v>
      </c>
    </row>
    <row r="81" spans="1:17" x14ac:dyDescent="0.25">
      <c r="A81" s="1280"/>
      <c r="C81" s="1280" t="s">
        <v>713</v>
      </c>
      <c r="D81" s="1280"/>
      <c r="E81" s="1291"/>
      <c r="F81" s="1299" t="s">
        <v>586</v>
      </c>
      <c r="G81" s="1280">
        <v>35</v>
      </c>
      <c r="H81" s="1280">
        <v>0</v>
      </c>
      <c r="I81" s="1280">
        <v>35</v>
      </c>
      <c r="J81" s="1280">
        <v>4.3600000000000003</v>
      </c>
      <c r="K81" s="1280">
        <f>J81-(J81*L81)</f>
        <v>3.9240000000000004</v>
      </c>
      <c r="L81" s="1280">
        <v>0.1</v>
      </c>
      <c r="M81" s="1313"/>
      <c r="N81" s="1280">
        <f>I81*J81*L81</f>
        <v>15.260000000000003</v>
      </c>
      <c r="O81" s="1280"/>
      <c r="P81" s="1280">
        <v>17.38</v>
      </c>
      <c r="Q81" s="1280">
        <f>P81*N81*1000</f>
        <v>265218.80000000005</v>
      </c>
    </row>
    <row r="82" spans="1:17" x14ac:dyDescent="0.25">
      <c r="A82" s="1280"/>
      <c r="B82" s="1312"/>
      <c r="C82" s="1280" t="s">
        <v>716</v>
      </c>
      <c r="D82" s="1280"/>
      <c r="E82" s="1291"/>
      <c r="F82" s="1299" t="s">
        <v>474</v>
      </c>
      <c r="G82" s="1280">
        <f>SUM(H82:I82)</f>
        <v>0.75</v>
      </c>
      <c r="H82" s="1280">
        <v>0</v>
      </c>
      <c r="I82" s="1280">
        <v>0.75</v>
      </c>
      <c r="J82" s="1280">
        <v>3.83</v>
      </c>
      <c r="K82" s="1280">
        <f>J82-(J82*L82)</f>
        <v>2.681</v>
      </c>
      <c r="L82" s="1280">
        <v>0.3</v>
      </c>
      <c r="M82" s="1313"/>
      <c r="N82" s="1280">
        <f>I82*J82*L82</f>
        <v>0.86175000000000002</v>
      </c>
      <c r="O82" s="1280"/>
      <c r="P82" s="1280">
        <v>17.38</v>
      </c>
      <c r="Q82" s="1280">
        <f>P82*N82*1000</f>
        <v>14977.215</v>
      </c>
    </row>
    <row r="83" spans="1:17" s="1305" customFormat="1" x14ac:dyDescent="0.25">
      <c r="A83" s="1304"/>
      <c r="B83" s="1312" t="s">
        <v>570</v>
      </c>
      <c r="C83" s="1304"/>
      <c r="D83" s="1304"/>
      <c r="E83" s="1314"/>
      <c r="F83" s="1307"/>
      <c r="G83" s="1304">
        <f>SUM(G84:G85)</f>
        <v>52</v>
      </c>
      <c r="H83" s="1304">
        <f t="shared" ref="H83:Q83" si="18">SUM(H84:H85)</f>
        <v>17.04</v>
      </c>
      <c r="I83" s="1304">
        <f t="shared" si="18"/>
        <v>34.96</v>
      </c>
      <c r="J83" s="1304">
        <f t="shared" si="18"/>
        <v>8.7200000000000006</v>
      </c>
      <c r="K83" s="1304">
        <f t="shared" si="18"/>
        <v>3.4880000000000004</v>
      </c>
      <c r="L83" s="1304">
        <f t="shared" si="18"/>
        <v>1.2</v>
      </c>
      <c r="M83" s="1304">
        <f t="shared" si="18"/>
        <v>0</v>
      </c>
      <c r="N83" s="1304">
        <f t="shared" si="18"/>
        <v>104.77951999999999</v>
      </c>
      <c r="O83" s="1304">
        <f t="shared" si="18"/>
        <v>0</v>
      </c>
      <c r="P83" s="1304">
        <f t="shared" si="18"/>
        <v>34.76</v>
      </c>
      <c r="Q83" s="1304">
        <f t="shared" si="18"/>
        <v>1821068.0575999997</v>
      </c>
    </row>
    <row r="84" spans="1:17" x14ac:dyDescent="0.25">
      <c r="A84" s="1280"/>
      <c r="C84" s="1280" t="s">
        <v>713</v>
      </c>
      <c r="D84" s="1280"/>
      <c r="E84" s="1291"/>
      <c r="F84" s="1299" t="s">
        <v>539</v>
      </c>
      <c r="G84" s="1280">
        <v>17.04</v>
      </c>
      <c r="H84" s="1280">
        <v>17.04</v>
      </c>
      <c r="I84" s="1280">
        <v>0</v>
      </c>
      <c r="J84" s="1280">
        <v>4.3600000000000003</v>
      </c>
      <c r="K84" s="1280">
        <f t="shared" si="16"/>
        <v>0</v>
      </c>
      <c r="L84" s="1280">
        <v>1</v>
      </c>
      <c r="M84" s="1313"/>
      <c r="N84" s="1280">
        <f>J84*H84</f>
        <v>74.294399999999996</v>
      </c>
      <c r="O84" s="1280"/>
      <c r="P84" s="1280">
        <v>17.38</v>
      </c>
      <c r="Q84" s="1280">
        <f t="shared" si="15"/>
        <v>1291236.6719999998</v>
      </c>
    </row>
    <row r="85" spans="1:17" x14ac:dyDescent="0.25">
      <c r="A85" s="1280"/>
      <c r="B85" s="1312"/>
      <c r="C85" s="1280"/>
      <c r="D85" s="1280"/>
      <c r="E85" s="1291"/>
      <c r="F85" s="1299" t="s">
        <v>539</v>
      </c>
      <c r="G85" s="1280">
        <v>34.96</v>
      </c>
      <c r="H85" s="1280">
        <v>0</v>
      </c>
      <c r="I85" s="1280">
        <v>34.96</v>
      </c>
      <c r="J85" s="1280">
        <v>4.3600000000000003</v>
      </c>
      <c r="K85" s="1280">
        <f>J85-(J85*L85)</f>
        <v>3.4880000000000004</v>
      </c>
      <c r="L85" s="1280">
        <v>0.2</v>
      </c>
      <c r="M85" s="1313"/>
      <c r="N85" s="1280">
        <f>I85*J85*L85</f>
        <v>30.485120000000002</v>
      </c>
      <c r="O85" s="1280"/>
      <c r="P85" s="1280">
        <v>17.38</v>
      </c>
      <c r="Q85" s="1280">
        <f t="shared" si="15"/>
        <v>529831.38559999992</v>
      </c>
    </row>
    <row r="86" spans="1:17" s="1305" customFormat="1" x14ac:dyDescent="0.25">
      <c r="A86" s="1304"/>
      <c r="B86" s="1312" t="s">
        <v>582</v>
      </c>
      <c r="C86" s="1304"/>
      <c r="D86" s="1304"/>
      <c r="E86" s="1314"/>
      <c r="F86" s="1307"/>
      <c r="G86" s="1304">
        <f>SUM(G87:G88)</f>
        <v>297</v>
      </c>
      <c r="H86" s="1304">
        <f t="shared" ref="H86:Q86" si="19">SUM(H87:H88)</f>
        <v>0</v>
      </c>
      <c r="I86" s="1304">
        <f t="shared" si="19"/>
        <v>297</v>
      </c>
      <c r="J86" s="1304">
        <f t="shared" si="19"/>
        <v>8.1900000000000013</v>
      </c>
      <c r="K86" s="1304">
        <f t="shared" si="19"/>
        <v>7.3710000000000004</v>
      </c>
      <c r="L86" s="1304">
        <f t="shared" si="19"/>
        <v>0.2</v>
      </c>
      <c r="M86" s="1304">
        <f t="shared" si="19"/>
        <v>0</v>
      </c>
      <c r="N86" s="1304">
        <f t="shared" si="19"/>
        <v>121.99621000000002</v>
      </c>
      <c r="O86" s="1304">
        <f t="shared" si="19"/>
        <v>0</v>
      </c>
      <c r="P86" s="1304">
        <f t="shared" si="19"/>
        <v>34.76</v>
      </c>
      <c r="Q86" s="1304">
        <f t="shared" si="19"/>
        <v>2120294.1298000002</v>
      </c>
    </row>
    <row r="87" spans="1:17" x14ac:dyDescent="0.25">
      <c r="A87" s="1280"/>
      <c r="C87" s="1280" t="s">
        <v>716</v>
      </c>
      <c r="D87" s="1280"/>
      <c r="E87" s="1291"/>
      <c r="F87" s="1299" t="s">
        <v>586</v>
      </c>
      <c r="G87" s="1280">
        <v>141.43</v>
      </c>
      <c r="H87" s="1280">
        <v>0</v>
      </c>
      <c r="I87" s="1280">
        <v>141.43</v>
      </c>
      <c r="J87" s="1280">
        <v>3.83</v>
      </c>
      <c r="K87" s="1280">
        <f t="shared" si="16"/>
        <v>3.4470000000000001</v>
      </c>
      <c r="L87" s="1280">
        <v>0.1</v>
      </c>
      <c r="M87" s="1313"/>
      <c r="N87" s="1280">
        <f>I87*J87*L87</f>
        <v>54.167690000000007</v>
      </c>
      <c r="O87" s="1280"/>
      <c r="P87" s="1280">
        <v>17.38</v>
      </c>
      <c r="Q87" s="1280">
        <f t="shared" si="15"/>
        <v>941434.45220000017</v>
      </c>
    </row>
    <row r="88" spans="1:17" x14ac:dyDescent="0.25">
      <c r="A88" s="1280"/>
      <c r="B88" s="1312"/>
      <c r="C88" s="1280" t="s">
        <v>713</v>
      </c>
      <c r="D88" s="1280"/>
      <c r="E88" s="1291"/>
      <c r="F88" s="1299" t="s">
        <v>586</v>
      </c>
      <c r="G88" s="1280">
        <v>155.57</v>
      </c>
      <c r="H88" s="1280"/>
      <c r="I88" s="1280">
        <v>155.57</v>
      </c>
      <c r="J88" s="1280">
        <v>4.3600000000000003</v>
      </c>
      <c r="K88" s="1280">
        <f>J88-(J88*L88)</f>
        <v>3.9240000000000004</v>
      </c>
      <c r="L88" s="1280">
        <v>0.1</v>
      </c>
      <c r="M88" s="1313"/>
      <c r="N88" s="1280">
        <f>I88*J88*L88</f>
        <v>67.828520000000012</v>
      </c>
      <c r="O88" s="1280"/>
      <c r="P88" s="1280">
        <v>17.38</v>
      </c>
      <c r="Q88" s="1280">
        <f t="shared" si="15"/>
        <v>1178859.6776000001</v>
      </c>
    </row>
    <row r="89" spans="1:17" s="1305" customFormat="1" x14ac:dyDescent="0.25">
      <c r="A89" s="1304"/>
      <c r="B89" s="1312" t="s">
        <v>566</v>
      </c>
      <c r="C89" s="1304"/>
      <c r="D89" s="1304"/>
      <c r="E89" s="1314"/>
      <c r="F89" s="1307"/>
      <c r="G89" s="1304">
        <f>SUM(G90:G91)</f>
        <v>8.8000000000000007</v>
      </c>
      <c r="H89" s="1304">
        <f t="shared" ref="H89:Q89" si="20">SUM(H90:H91)</f>
        <v>8.8000000000000007</v>
      </c>
      <c r="I89" s="1304">
        <f t="shared" si="20"/>
        <v>0</v>
      </c>
      <c r="J89" s="1304">
        <f t="shared" si="20"/>
        <v>8.7200000000000006</v>
      </c>
      <c r="K89" s="1304">
        <f t="shared" si="20"/>
        <v>0</v>
      </c>
      <c r="L89" s="1304">
        <f t="shared" si="20"/>
        <v>2</v>
      </c>
      <c r="M89" s="1304">
        <f t="shared" si="20"/>
        <v>0</v>
      </c>
      <c r="N89" s="1304">
        <f t="shared" si="20"/>
        <v>38.368000000000002</v>
      </c>
      <c r="O89" s="1304">
        <f t="shared" si="20"/>
        <v>0</v>
      </c>
      <c r="P89" s="1304">
        <f t="shared" si="20"/>
        <v>34.76</v>
      </c>
      <c r="Q89" s="1304">
        <f t="shared" si="20"/>
        <v>666835.84000000008</v>
      </c>
    </row>
    <row r="90" spans="1:17" x14ac:dyDescent="0.25">
      <c r="A90" s="1280"/>
      <c r="C90" s="1280" t="s">
        <v>713</v>
      </c>
      <c r="D90" s="1280"/>
      <c r="E90" s="1291"/>
      <c r="F90" s="1299" t="s">
        <v>586</v>
      </c>
      <c r="G90" s="1280">
        <f t="shared" ref="G90:G109" si="21">SUM(H90:I90)</f>
        <v>7.8</v>
      </c>
      <c r="H90" s="1280">
        <v>7.8</v>
      </c>
      <c r="I90" s="1280"/>
      <c r="J90" s="1280">
        <v>4.3600000000000003</v>
      </c>
      <c r="K90" s="1280"/>
      <c r="L90" s="1280">
        <v>1</v>
      </c>
      <c r="M90" s="1313"/>
      <c r="N90" s="1280">
        <f>J90*H90</f>
        <v>34.008000000000003</v>
      </c>
      <c r="O90" s="1280"/>
      <c r="P90" s="1280">
        <v>17.38</v>
      </c>
      <c r="Q90" s="1280">
        <f t="shared" si="15"/>
        <v>591059.04</v>
      </c>
    </row>
    <row r="91" spans="1:17" x14ac:dyDescent="0.25">
      <c r="A91" s="1280"/>
      <c r="B91" s="1312"/>
      <c r="C91" s="1280"/>
      <c r="D91" s="1280"/>
      <c r="E91" s="1291"/>
      <c r="F91" s="1299" t="s">
        <v>539</v>
      </c>
      <c r="G91" s="1280">
        <f t="shared" si="21"/>
        <v>1</v>
      </c>
      <c r="H91" s="1280">
        <v>1</v>
      </c>
      <c r="I91" s="1280"/>
      <c r="J91" s="1280">
        <v>4.3600000000000003</v>
      </c>
      <c r="K91" s="1280"/>
      <c r="L91" s="1280">
        <v>1</v>
      </c>
      <c r="M91" s="1313"/>
      <c r="N91" s="1280">
        <f>J91*H91</f>
        <v>4.3600000000000003</v>
      </c>
      <c r="O91" s="1280"/>
      <c r="P91" s="1280">
        <v>17.38</v>
      </c>
      <c r="Q91" s="1280">
        <f t="shared" si="15"/>
        <v>75776.799999999988</v>
      </c>
    </row>
    <row r="92" spans="1:17" s="1305" customFormat="1" x14ac:dyDescent="0.25">
      <c r="A92" s="1304"/>
      <c r="B92" s="1312" t="s">
        <v>569</v>
      </c>
      <c r="C92" s="1304"/>
      <c r="D92" s="1304"/>
      <c r="E92" s="1314"/>
      <c r="F92" s="1307"/>
      <c r="G92" s="1304">
        <f>SUM(G93:G95)</f>
        <v>23</v>
      </c>
      <c r="H92" s="1304">
        <f t="shared" ref="H92:Q92" si="22">SUM(H93:H95)</f>
        <v>5</v>
      </c>
      <c r="I92" s="1304">
        <f t="shared" si="22"/>
        <v>18</v>
      </c>
      <c r="J92" s="1304">
        <f t="shared" si="22"/>
        <v>13.080000000000002</v>
      </c>
      <c r="K92" s="1304">
        <f t="shared" si="22"/>
        <v>7.84</v>
      </c>
      <c r="L92" s="1304">
        <f t="shared" si="22"/>
        <v>1.2000000000000002</v>
      </c>
      <c r="M92" s="1304">
        <f t="shared" si="22"/>
        <v>0</v>
      </c>
      <c r="N92" s="1304">
        <f t="shared" si="22"/>
        <v>29.648000000000003</v>
      </c>
      <c r="O92" s="1304">
        <f t="shared" si="22"/>
        <v>0</v>
      </c>
      <c r="P92" s="1304">
        <f t="shared" si="22"/>
        <v>52.14</v>
      </c>
      <c r="Q92" s="1304">
        <f t="shared" si="22"/>
        <v>515282.24000000005</v>
      </c>
    </row>
    <row r="93" spans="1:17" x14ac:dyDescent="0.25">
      <c r="A93" s="1280"/>
      <c r="C93" s="1280" t="s">
        <v>713</v>
      </c>
      <c r="D93" s="1280"/>
      <c r="E93" s="1291"/>
      <c r="F93" s="1299" t="s">
        <v>586</v>
      </c>
      <c r="G93" s="1280">
        <f t="shared" si="21"/>
        <v>5</v>
      </c>
      <c r="H93" s="1280"/>
      <c r="I93" s="1280">
        <v>5</v>
      </c>
      <c r="J93" s="1280">
        <v>4.3600000000000003</v>
      </c>
      <c r="K93" s="1280">
        <v>3.92</v>
      </c>
      <c r="L93" s="1280">
        <v>0.1</v>
      </c>
      <c r="M93" s="1313"/>
      <c r="N93" s="1280">
        <f>I93*J93*L93</f>
        <v>2.1800000000000002</v>
      </c>
      <c r="O93" s="1280"/>
      <c r="P93" s="1280">
        <v>17.38</v>
      </c>
      <c r="Q93" s="1280">
        <f t="shared" si="15"/>
        <v>37888.399999999994</v>
      </c>
    </row>
    <row r="94" spans="1:17" x14ac:dyDescent="0.25">
      <c r="A94" s="1280"/>
      <c r="B94" s="1312"/>
      <c r="C94" s="1280"/>
      <c r="D94" s="1280"/>
      <c r="E94" s="1291"/>
      <c r="F94" s="1299" t="s">
        <v>539</v>
      </c>
      <c r="G94" s="1280">
        <v>5</v>
      </c>
      <c r="H94" s="1280">
        <v>5</v>
      </c>
      <c r="I94" s="1280"/>
      <c r="J94" s="1280">
        <v>4.3600000000000003</v>
      </c>
      <c r="K94" s="1280"/>
      <c r="L94" s="1280">
        <v>1</v>
      </c>
      <c r="M94" s="1313"/>
      <c r="N94" s="1280">
        <f>J94*H94</f>
        <v>21.8</v>
      </c>
      <c r="O94" s="1280"/>
      <c r="P94" s="1280">
        <v>17.38</v>
      </c>
      <c r="Q94" s="1280">
        <f t="shared" si="15"/>
        <v>378884</v>
      </c>
    </row>
    <row r="95" spans="1:17" x14ac:dyDescent="0.25">
      <c r="A95" s="1280"/>
      <c r="B95" s="1312"/>
      <c r="C95" s="1280"/>
      <c r="D95" s="1280"/>
      <c r="E95" s="1291"/>
      <c r="F95" s="1299"/>
      <c r="G95" s="1280">
        <v>13</v>
      </c>
      <c r="H95" s="1280"/>
      <c r="I95" s="1280">
        <v>13</v>
      </c>
      <c r="J95" s="1280">
        <v>4.3600000000000003</v>
      </c>
      <c r="K95" s="1280">
        <v>3.92</v>
      </c>
      <c r="L95" s="1280">
        <v>0.1</v>
      </c>
      <c r="M95" s="1313"/>
      <c r="N95" s="1280">
        <f>I95*J95*L95</f>
        <v>5.668000000000001</v>
      </c>
      <c r="O95" s="1280"/>
      <c r="P95" s="1280">
        <v>17.38</v>
      </c>
      <c r="Q95" s="1280">
        <f t="shared" si="15"/>
        <v>98509.840000000011</v>
      </c>
    </row>
    <row r="96" spans="1:17" x14ac:dyDescent="0.25">
      <c r="A96" s="1280"/>
      <c r="B96" s="1312" t="s">
        <v>709</v>
      </c>
      <c r="C96" s="1280" t="s">
        <v>713</v>
      </c>
      <c r="D96" s="1280"/>
      <c r="E96" s="1291"/>
      <c r="F96" s="1299" t="s">
        <v>539</v>
      </c>
      <c r="G96" s="1280">
        <f>SUM(H96:I96)</f>
        <v>22</v>
      </c>
      <c r="H96" s="1280">
        <v>22</v>
      </c>
      <c r="I96" s="1280"/>
      <c r="J96" s="1280">
        <v>4.3600000000000003</v>
      </c>
      <c r="K96" s="1280"/>
      <c r="L96" s="1280">
        <v>1</v>
      </c>
      <c r="M96" s="1313"/>
      <c r="N96" s="1280">
        <f>J96*H96</f>
        <v>95.92</v>
      </c>
      <c r="O96" s="1280"/>
      <c r="P96" s="1280">
        <v>17.38</v>
      </c>
      <c r="Q96" s="1280">
        <f t="shared" si="15"/>
        <v>1667089.6</v>
      </c>
    </row>
    <row r="97" spans="1:17" x14ac:dyDescent="0.25">
      <c r="A97" s="1280"/>
      <c r="B97" s="1312" t="s">
        <v>561</v>
      </c>
      <c r="C97" s="1280" t="s">
        <v>713</v>
      </c>
      <c r="D97" s="1280"/>
      <c r="E97" s="1291"/>
      <c r="F97" s="1299" t="s">
        <v>539</v>
      </c>
      <c r="G97" s="1280">
        <f t="shared" si="21"/>
        <v>0.1</v>
      </c>
      <c r="H97" s="1280">
        <v>0.1</v>
      </c>
      <c r="I97" s="1280"/>
      <c r="J97" s="1280">
        <v>3.83</v>
      </c>
      <c r="K97" s="1280"/>
      <c r="L97" s="1280">
        <v>1</v>
      </c>
      <c r="M97" s="1313"/>
      <c r="N97" s="1280">
        <f>J97*H97</f>
        <v>0.38300000000000001</v>
      </c>
      <c r="O97" s="1280"/>
      <c r="P97" s="1280">
        <v>17.38</v>
      </c>
      <c r="Q97" s="1280">
        <f t="shared" si="15"/>
        <v>6656.54</v>
      </c>
    </row>
    <row r="98" spans="1:17" x14ac:dyDescent="0.25">
      <c r="A98" s="1280"/>
      <c r="B98" s="185" t="s">
        <v>138</v>
      </c>
      <c r="C98" s="1280" t="s">
        <v>713</v>
      </c>
      <c r="D98" s="1280"/>
      <c r="E98" s="1291"/>
      <c r="F98" s="1299" t="s">
        <v>539</v>
      </c>
      <c r="G98" s="1280">
        <f t="shared" si="21"/>
        <v>3</v>
      </c>
      <c r="H98" s="1280">
        <v>3</v>
      </c>
      <c r="I98" s="1280"/>
      <c r="J98" s="1280">
        <v>4.3600000000000003</v>
      </c>
      <c r="K98" s="1280"/>
      <c r="L98" s="1280">
        <v>1</v>
      </c>
      <c r="M98" s="1313"/>
      <c r="N98" s="1280">
        <f>J98*H98</f>
        <v>13.080000000000002</v>
      </c>
      <c r="O98" s="1280"/>
      <c r="P98" s="1280">
        <v>17.38</v>
      </c>
      <c r="Q98" s="1280">
        <f t="shared" si="15"/>
        <v>227330.40000000002</v>
      </c>
    </row>
    <row r="99" spans="1:17" s="1305" customFormat="1" x14ac:dyDescent="0.25">
      <c r="A99" s="1304"/>
      <c r="B99" s="1312" t="s">
        <v>575</v>
      </c>
      <c r="C99" s="1304"/>
      <c r="D99" s="1304"/>
      <c r="E99" s="1314"/>
      <c r="F99" s="1307"/>
      <c r="G99" s="1304">
        <f>SUM(G100:G101)</f>
        <v>3.5</v>
      </c>
      <c r="H99" s="1304">
        <f t="shared" ref="H99:Q99" si="23">SUM(H100:H101)</f>
        <v>1</v>
      </c>
      <c r="I99" s="1304">
        <f t="shared" si="23"/>
        <v>2.5</v>
      </c>
      <c r="J99" s="1304">
        <f t="shared" si="23"/>
        <v>8.7200000000000006</v>
      </c>
      <c r="K99" s="1304">
        <f t="shared" si="23"/>
        <v>3.92</v>
      </c>
      <c r="L99" s="1304">
        <f t="shared" si="23"/>
        <v>1.1000000000000001</v>
      </c>
      <c r="M99" s="1304">
        <f t="shared" si="23"/>
        <v>0</v>
      </c>
      <c r="N99" s="1304">
        <f t="shared" si="23"/>
        <v>5.45</v>
      </c>
      <c r="O99" s="1304">
        <f t="shared" si="23"/>
        <v>0</v>
      </c>
      <c r="P99" s="1304">
        <f t="shared" si="23"/>
        <v>34.76</v>
      </c>
      <c r="Q99" s="1304">
        <f t="shared" si="23"/>
        <v>94720.999999999985</v>
      </c>
    </row>
    <row r="100" spans="1:17" x14ac:dyDescent="0.25">
      <c r="A100" s="1280"/>
      <c r="C100" s="1280" t="s">
        <v>713</v>
      </c>
      <c r="D100" s="1280"/>
      <c r="E100" s="1291"/>
      <c r="F100" s="1299" t="s">
        <v>539</v>
      </c>
      <c r="G100" s="1280">
        <f t="shared" si="21"/>
        <v>1</v>
      </c>
      <c r="H100" s="1280">
        <v>1</v>
      </c>
      <c r="I100" s="1280"/>
      <c r="J100" s="1280">
        <v>4.3600000000000003</v>
      </c>
      <c r="K100" s="1280"/>
      <c r="L100" s="1280">
        <v>1</v>
      </c>
      <c r="M100" s="1313"/>
      <c r="N100" s="1280">
        <f>J100*H100</f>
        <v>4.3600000000000003</v>
      </c>
      <c r="O100" s="1280"/>
      <c r="P100" s="1280">
        <v>17.38</v>
      </c>
      <c r="Q100" s="1280">
        <f t="shared" si="15"/>
        <v>75776.799999999988</v>
      </c>
    </row>
    <row r="101" spans="1:17" x14ac:dyDescent="0.25">
      <c r="A101" s="1280"/>
      <c r="B101" s="1312"/>
      <c r="C101" s="1280"/>
      <c r="D101" s="1280"/>
      <c r="E101" s="1291"/>
      <c r="F101" s="1299" t="s">
        <v>539</v>
      </c>
      <c r="G101" s="1280">
        <f t="shared" si="21"/>
        <v>2.5</v>
      </c>
      <c r="H101" s="1280"/>
      <c r="I101" s="1280">
        <v>2.5</v>
      </c>
      <c r="J101" s="1280">
        <v>4.3600000000000003</v>
      </c>
      <c r="K101" s="1280">
        <v>3.92</v>
      </c>
      <c r="L101" s="1280">
        <v>0.1</v>
      </c>
      <c r="M101" s="1313"/>
      <c r="N101" s="1280">
        <f>I101*J101*L101</f>
        <v>1.0900000000000001</v>
      </c>
      <c r="O101" s="1280"/>
      <c r="P101" s="1280">
        <v>17.38</v>
      </c>
      <c r="Q101" s="1280">
        <f t="shared" si="15"/>
        <v>18944.199999999997</v>
      </c>
    </row>
    <row r="102" spans="1:17" s="1305" customFormat="1" x14ac:dyDescent="0.25">
      <c r="A102" s="1304"/>
      <c r="B102" s="185" t="s">
        <v>129</v>
      </c>
      <c r="C102" s="1304"/>
      <c r="D102" s="1304"/>
      <c r="E102" s="1314"/>
      <c r="F102" s="1307"/>
      <c r="G102" s="1304">
        <f>SUM(G103:G104)</f>
        <v>6.05</v>
      </c>
      <c r="H102" s="1304">
        <f t="shared" ref="H102:Q102" si="24">SUM(H103:H104)</f>
        <v>6.05</v>
      </c>
      <c r="I102" s="1304">
        <f t="shared" si="24"/>
        <v>0</v>
      </c>
      <c r="J102" s="1304">
        <f t="shared" si="24"/>
        <v>8.7200000000000006</v>
      </c>
      <c r="K102" s="1304">
        <f t="shared" si="24"/>
        <v>0</v>
      </c>
      <c r="L102" s="1304">
        <f t="shared" si="24"/>
        <v>2</v>
      </c>
      <c r="M102" s="1304">
        <f t="shared" si="24"/>
        <v>0</v>
      </c>
      <c r="N102" s="1304">
        <f t="shared" si="24"/>
        <v>26.378</v>
      </c>
      <c r="O102" s="1304">
        <f t="shared" si="24"/>
        <v>0</v>
      </c>
      <c r="P102" s="1304">
        <f t="shared" si="24"/>
        <v>34.76</v>
      </c>
      <c r="Q102" s="1304">
        <f t="shared" si="24"/>
        <v>458449.63999999996</v>
      </c>
    </row>
    <row r="103" spans="1:17" x14ac:dyDescent="0.25">
      <c r="A103" s="1280"/>
      <c r="C103" s="1280" t="s">
        <v>713</v>
      </c>
      <c r="D103" s="1280"/>
      <c r="E103" s="1291"/>
      <c r="F103" s="1299" t="s">
        <v>586</v>
      </c>
      <c r="G103" s="1280">
        <f t="shared" si="21"/>
        <v>1.25</v>
      </c>
      <c r="H103" s="1280">
        <v>1.25</v>
      </c>
      <c r="I103" s="1280"/>
      <c r="J103" s="1280">
        <v>4.3600000000000003</v>
      </c>
      <c r="K103" s="1280"/>
      <c r="L103" s="1280">
        <v>1</v>
      </c>
      <c r="M103" s="1313"/>
      <c r="N103" s="1280">
        <f>J103*H103</f>
        <v>5.45</v>
      </c>
      <c r="O103" s="1280"/>
      <c r="P103" s="1280">
        <v>17.38</v>
      </c>
      <c r="Q103" s="1280">
        <f t="shared" si="15"/>
        <v>94721</v>
      </c>
    </row>
    <row r="104" spans="1:17" x14ac:dyDescent="0.25">
      <c r="A104" s="1280"/>
      <c r="B104" s="1312"/>
      <c r="C104" s="1280"/>
      <c r="D104" s="1280"/>
      <c r="E104" s="1291"/>
      <c r="F104" s="1299" t="s">
        <v>539</v>
      </c>
      <c r="G104" s="1280">
        <f>SUM(H104:I104)</f>
        <v>4.8</v>
      </c>
      <c r="H104" s="1280">
        <v>4.8</v>
      </c>
      <c r="I104" s="1280"/>
      <c r="J104" s="1280">
        <v>4.3600000000000003</v>
      </c>
      <c r="K104" s="1280"/>
      <c r="L104" s="1280">
        <v>1</v>
      </c>
      <c r="M104" s="1313"/>
      <c r="N104" s="1280">
        <f>J104*H104</f>
        <v>20.928000000000001</v>
      </c>
      <c r="O104" s="1280"/>
      <c r="P104" s="1280">
        <v>17.38</v>
      </c>
      <c r="Q104" s="1280">
        <f t="shared" si="15"/>
        <v>363728.63999999996</v>
      </c>
    </row>
    <row r="105" spans="1:17" x14ac:dyDescent="0.25">
      <c r="A105" s="1280"/>
      <c r="B105" s="185" t="s">
        <v>180</v>
      </c>
      <c r="C105" s="1280" t="s">
        <v>716</v>
      </c>
      <c r="D105" s="1280"/>
      <c r="E105" s="1291"/>
      <c r="F105" s="1299" t="s">
        <v>539</v>
      </c>
      <c r="G105" s="1280">
        <f t="shared" si="21"/>
        <v>4.8</v>
      </c>
      <c r="H105" s="1280">
        <v>4.8</v>
      </c>
      <c r="I105" s="1280"/>
      <c r="J105" s="1280">
        <v>3.83</v>
      </c>
      <c r="K105" s="1280"/>
      <c r="L105" s="1280">
        <v>1</v>
      </c>
      <c r="M105" s="1313"/>
      <c r="N105" s="1280">
        <f>J105*H105</f>
        <v>18.384</v>
      </c>
      <c r="O105" s="1280"/>
      <c r="P105" s="1280">
        <v>17.38</v>
      </c>
      <c r="Q105" s="1280">
        <f t="shared" si="15"/>
        <v>319513.92</v>
      </c>
    </row>
    <row r="106" spans="1:17" s="1305" customFormat="1" x14ac:dyDescent="0.25">
      <c r="A106" s="1304"/>
      <c r="B106" s="1312" t="s">
        <v>574</v>
      </c>
      <c r="C106" s="1304"/>
      <c r="D106" s="1304"/>
      <c r="E106" s="1314"/>
      <c r="F106" s="1307"/>
      <c r="G106" s="1304">
        <f>SUM(G107:G111)</f>
        <v>43</v>
      </c>
      <c r="H106" s="1304">
        <f t="shared" ref="H106:Q106" si="25">SUM(H107:H111)</f>
        <v>22</v>
      </c>
      <c r="I106" s="1304">
        <f t="shared" si="25"/>
        <v>21</v>
      </c>
      <c r="J106" s="1304">
        <f t="shared" si="25"/>
        <v>20.740000000000002</v>
      </c>
      <c r="K106" s="1304">
        <f t="shared" si="25"/>
        <v>8.0620000000000012</v>
      </c>
      <c r="L106" s="1304">
        <f t="shared" si="25"/>
        <v>3.25</v>
      </c>
      <c r="M106" s="1304">
        <f t="shared" si="25"/>
        <v>0</v>
      </c>
      <c r="N106" s="1304">
        <f t="shared" si="25"/>
        <v>104.602</v>
      </c>
      <c r="O106" s="1304">
        <f t="shared" si="25"/>
        <v>0</v>
      </c>
      <c r="P106" s="1304">
        <f t="shared" si="25"/>
        <v>86.899999999999991</v>
      </c>
      <c r="Q106" s="1304">
        <f t="shared" si="25"/>
        <v>1817982.76</v>
      </c>
    </row>
    <row r="107" spans="1:17" x14ac:dyDescent="0.25">
      <c r="A107" s="1280"/>
      <c r="C107" s="1280" t="s">
        <v>713</v>
      </c>
      <c r="D107" s="1280"/>
      <c r="E107" s="1291"/>
      <c r="F107" s="1299" t="s">
        <v>539</v>
      </c>
      <c r="G107" s="1280">
        <v>10</v>
      </c>
      <c r="H107" s="1280">
        <v>10</v>
      </c>
      <c r="I107" s="1280"/>
      <c r="J107" s="1280">
        <v>4.3600000000000003</v>
      </c>
      <c r="K107" s="1280"/>
      <c r="L107" s="1280">
        <v>1</v>
      </c>
      <c r="M107" s="1313"/>
      <c r="N107" s="1280">
        <f>J107*H107</f>
        <v>43.6</v>
      </c>
      <c r="O107" s="1280"/>
      <c r="P107" s="1280">
        <v>17.38</v>
      </c>
      <c r="Q107" s="1280">
        <f t="shared" si="15"/>
        <v>757768</v>
      </c>
    </row>
    <row r="108" spans="1:17" x14ac:dyDescent="0.25">
      <c r="A108" s="1280"/>
      <c r="B108" s="1312"/>
      <c r="C108" s="1280"/>
      <c r="D108" s="1280"/>
      <c r="E108" s="1291"/>
      <c r="F108" s="1299" t="s">
        <v>539</v>
      </c>
      <c r="G108" s="1280">
        <v>5</v>
      </c>
      <c r="H108" s="1280"/>
      <c r="I108" s="1280">
        <v>5</v>
      </c>
      <c r="J108" s="1280">
        <v>4.3600000000000003</v>
      </c>
      <c r="K108" s="1280">
        <f>J108-(J108*L108)</f>
        <v>4.1420000000000003</v>
      </c>
      <c r="L108" s="1280">
        <v>0.05</v>
      </c>
      <c r="M108" s="1313"/>
      <c r="N108" s="1280">
        <f>I108*J108*L108</f>
        <v>1.0900000000000001</v>
      </c>
      <c r="O108" s="1280"/>
      <c r="P108" s="1280">
        <v>17.38</v>
      </c>
      <c r="Q108" s="1280">
        <f t="shared" si="15"/>
        <v>18944.199999999997</v>
      </c>
    </row>
    <row r="109" spans="1:17" x14ac:dyDescent="0.25">
      <c r="A109" s="1280"/>
      <c r="B109" s="1312"/>
      <c r="C109" s="1280"/>
      <c r="D109" s="1280"/>
      <c r="E109" s="1291"/>
      <c r="F109" s="1299" t="s">
        <v>539</v>
      </c>
      <c r="G109" s="1280">
        <f t="shared" si="21"/>
        <v>16</v>
      </c>
      <c r="H109" s="1280"/>
      <c r="I109" s="1280">
        <v>16</v>
      </c>
      <c r="J109" s="1280">
        <v>4.3600000000000003</v>
      </c>
      <c r="K109" s="1280">
        <v>3.92</v>
      </c>
      <c r="L109" s="1280">
        <v>0.2</v>
      </c>
      <c r="M109" s="1313"/>
      <c r="N109" s="1280">
        <f>I109*J109*L109</f>
        <v>13.952000000000002</v>
      </c>
      <c r="O109" s="1280"/>
      <c r="P109" s="1280">
        <v>17.38</v>
      </c>
      <c r="Q109" s="1280">
        <f t="shared" si="15"/>
        <v>242485.76000000004</v>
      </c>
    </row>
    <row r="110" spans="1:17" x14ac:dyDescent="0.25">
      <c r="A110" s="1280"/>
      <c r="B110" s="1312"/>
      <c r="C110" s="1280" t="s">
        <v>716</v>
      </c>
      <c r="D110" s="1280"/>
      <c r="E110" s="1291"/>
      <c r="F110" s="1299" t="s">
        <v>539</v>
      </c>
      <c r="G110" s="1280">
        <f>SUM(H110:I110)</f>
        <v>7</v>
      </c>
      <c r="H110" s="1280">
        <v>7</v>
      </c>
      <c r="I110" s="1280"/>
      <c r="J110" s="1280">
        <v>3.83</v>
      </c>
      <c r="K110" s="1280"/>
      <c r="L110" s="1280">
        <v>1</v>
      </c>
      <c r="M110" s="1313"/>
      <c r="N110" s="1280">
        <f>J110*H110</f>
        <v>26.810000000000002</v>
      </c>
      <c r="O110" s="1280"/>
      <c r="P110" s="1280">
        <v>17.38</v>
      </c>
      <c r="Q110" s="1280">
        <f t="shared" si="15"/>
        <v>465957.80000000005</v>
      </c>
    </row>
    <row r="111" spans="1:17" x14ac:dyDescent="0.25">
      <c r="A111" s="1280"/>
      <c r="B111" s="1312"/>
      <c r="C111" s="1280"/>
      <c r="D111" s="1280"/>
      <c r="E111" s="1291"/>
      <c r="F111" s="1299" t="s">
        <v>586</v>
      </c>
      <c r="G111" s="1280">
        <f>SUM(H111:I111)</f>
        <v>5</v>
      </c>
      <c r="H111" s="1280">
        <v>5</v>
      </c>
      <c r="I111" s="1280"/>
      <c r="J111" s="1280">
        <v>3.83</v>
      </c>
      <c r="K111" s="1280"/>
      <c r="L111" s="1280">
        <v>1</v>
      </c>
      <c r="M111" s="1313"/>
      <c r="N111" s="1280">
        <f>J111*H111</f>
        <v>19.149999999999999</v>
      </c>
      <c r="O111" s="1280"/>
      <c r="P111" s="1280">
        <v>17.38</v>
      </c>
      <c r="Q111" s="1280">
        <f t="shared" si="15"/>
        <v>332826.99999999994</v>
      </c>
    </row>
    <row r="112" spans="1:17" s="1305" customFormat="1" x14ac:dyDescent="0.25">
      <c r="A112" s="1304"/>
      <c r="B112" s="185" t="s">
        <v>183</v>
      </c>
      <c r="C112" s="1304"/>
      <c r="D112" s="1304"/>
      <c r="E112" s="1314"/>
      <c r="F112" s="1307"/>
      <c r="G112" s="1304">
        <f>SUM(G113:G115)</f>
        <v>9.59</v>
      </c>
      <c r="H112" s="1304">
        <f t="shared" ref="H112:Q112" si="26">SUM(H113:H115)</f>
        <v>1.5</v>
      </c>
      <c r="I112" s="1304">
        <f t="shared" si="26"/>
        <v>8.09</v>
      </c>
      <c r="J112" s="1304">
        <f t="shared" si="26"/>
        <v>13.080000000000002</v>
      </c>
      <c r="K112" s="1304">
        <f t="shared" si="26"/>
        <v>7.84</v>
      </c>
      <c r="L112" s="1304">
        <f t="shared" si="26"/>
        <v>1.4000000000000001</v>
      </c>
      <c r="M112" s="1304">
        <f t="shared" si="26"/>
        <v>0</v>
      </c>
      <c r="N112" s="1304">
        <f t="shared" si="26"/>
        <v>10.982840000000001</v>
      </c>
      <c r="O112" s="1304">
        <f t="shared" si="26"/>
        <v>0</v>
      </c>
      <c r="P112" s="1304">
        <f t="shared" si="26"/>
        <v>52.14</v>
      </c>
      <c r="Q112" s="1304">
        <f t="shared" si="26"/>
        <v>190881.7592</v>
      </c>
    </row>
    <row r="113" spans="1:17" x14ac:dyDescent="0.25">
      <c r="A113" s="1280"/>
      <c r="C113" s="1280" t="s">
        <v>713</v>
      </c>
      <c r="D113" s="1280"/>
      <c r="E113" s="1291"/>
      <c r="F113" s="1299" t="s">
        <v>586</v>
      </c>
      <c r="G113" s="1280">
        <f>SUM(H113:I113)</f>
        <v>1.5</v>
      </c>
      <c r="H113" s="1280">
        <v>1.5</v>
      </c>
      <c r="I113" s="1280"/>
      <c r="J113" s="1280">
        <v>4.3600000000000003</v>
      </c>
      <c r="K113" s="1280"/>
      <c r="L113" s="1280">
        <v>1</v>
      </c>
      <c r="M113" s="1313"/>
      <c r="N113" s="1280">
        <f>J113*H113</f>
        <v>6.5400000000000009</v>
      </c>
      <c r="O113" s="1280"/>
      <c r="P113" s="1280">
        <v>17.38</v>
      </c>
      <c r="Q113" s="1280">
        <f t="shared" si="15"/>
        <v>113665.20000000001</v>
      </c>
    </row>
    <row r="114" spans="1:17" x14ac:dyDescent="0.25">
      <c r="A114" s="1280"/>
      <c r="B114" s="1312"/>
      <c r="C114" s="1280"/>
      <c r="D114" s="1280"/>
      <c r="E114" s="1291"/>
      <c r="F114" s="1299" t="s">
        <v>586</v>
      </c>
      <c r="G114" s="1280">
        <f>SUM(H114:I114)</f>
        <v>1.05</v>
      </c>
      <c r="H114" s="1280"/>
      <c r="I114" s="1280">
        <v>1.05</v>
      </c>
      <c r="J114" s="1280">
        <v>4.3600000000000003</v>
      </c>
      <c r="K114" s="1280">
        <v>3.92</v>
      </c>
      <c r="L114" s="1280">
        <v>0.3</v>
      </c>
      <c r="M114" s="1313"/>
      <c r="N114" s="1280">
        <f>I114*J114*L114</f>
        <v>1.3734</v>
      </c>
      <c r="O114" s="1280"/>
      <c r="P114" s="1280">
        <v>17.38</v>
      </c>
      <c r="Q114" s="1280">
        <f t="shared" si="15"/>
        <v>23869.691999999995</v>
      </c>
    </row>
    <row r="115" spans="1:17" x14ac:dyDescent="0.25">
      <c r="A115" s="1280"/>
      <c r="B115" s="1312"/>
      <c r="C115" s="1280"/>
      <c r="D115" s="1280"/>
      <c r="E115" s="1291"/>
      <c r="F115" s="1299" t="s">
        <v>539</v>
      </c>
      <c r="G115" s="1280">
        <f>SUM(H115:I115)</f>
        <v>7.04</v>
      </c>
      <c r="H115" s="1280"/>
      <c r="I115" s="1280">
        <v>7.04</v>
      </c>
      <c r="J115" s="1280">
        <v>4.3600000000000003</v>
      </c>
      <c r="K115" s="1280">
        <v>3.92</v>
      </c>
      <c r="L115" s="1280">
        <v>0.1</v>
      </c>
      <c r="M115" s="1313"/>
      <c r="N115" s="1280">
        <f>I115*J115*L115</f>
        <v>3.0694400000000002</v>
      </c>
      <c r="O115" s="1280"/>
      <c r="P115" s="1280">
        <v>17.38</v>
      </c>
      <c r="Q115" s="1280">
        <f t="shared" si="15"/>
        <v>53346.867200000001</v>
      </c>
    </row>
    <row r="116" spans="1:17" s="1305" customFormat="1" x14ac:dyDescent="0.25">
      <c r="A116" s="1304"/>
      <c r="B116" s="1312" t="s">
        <v>572</v>
      </c>
      <c r="C116" s="1304"/>
      <c r="D116" s="1304"/>
      <c r="E116" s="1314"/>
      <c r="F116" s="1307"/>
      <c r="G116" s="1304">
        <f>SUM(G117:G118)</f>
        <v>4</v>
      </c>
      <c r="H116" s="1304">
        <f t="shared" ref="H116:Q116" si="27">SUM(H117:H118)</f>
        <v>1.25</v>
      </c>
      <c r="I116" s="1304">
        <f t="shared" si="27"/>
        <v>2.75</v>
      </c>
      <c r="J116" s="1304">
        <f t="shared" si="27"/>
        <v>7.66</v>
      </c>
      <c r="K116" s="1304">
        <f t="shared" si="27"/>
        <v>3.6385000000000001</v>
      </c>
      <c r="L116" s="1304">
        <f t="shared" si="27"/>
        <v>1.05</v>
      </c>
      <c r="M116" s="1304">
        <f t="shared" si="27"/>
        <v>0</v>
      </c>
      <c r="N116" s="1304">
        <f t="shared" si="27"/>
        <v>5.3141249999999998</v>
      </c>
      <c r="O116" s="1304">
        <f t="shared" si="27"/>
        <v>0</v>
      </c>
      <c r="P116" s="1304">
        <f t="shared" si="27"/>
        <v>34.76</v>
      </c>
      <c r="Q116" s="1304">
        <f t="shared" si="27"/>
        <v>92359.492499999993</v>
      </c>
    </row>
    <row r="117" spans="1:17" x14ac:dyDescent="0.25">
      <c r="A117" s="1280"/>
      <c r="C117" s="1280" t="s">
        <v>716</v>
      </c>
      <c r="D117" s="1280"/>
      <c r="E117" s="1291"/>
      <c r="F117" s="1299" t="s">
        <v>586</v>
      </c>
      <c r="G117" s="1280">
        <v>1.25</v>
      </c>
      <c r="H117" s="1280">
        <v>1.25</v>
      </c>
      <c r="I117" s="1280"/>
      <c r="J117" s="1280">
        <v>3.83</v>
      </c>
      <c r="K117" s="1280"/>
      <c r="L117" s="1280">
        <v>1</v>
      </c>
      <c r="M117" s="1313"/>
      <c r="N117" s="1280">
        <f>J117*H117</f>
        <v>4.7874999999999996</v>
      </c>
      <c r="O117" s="1280"/>
      <c r="P117" s="1280">
        <v>17.38</v>
      </c>
      <c r="Q117" s="1280">
        <f t="shared" si="15"/>
        <v>83206.749999999985</v>
      </c>
    </row>
    <row r="118" spans="1:17" x14ac:dyDescent="0.25">
      <c r="A118" s="1280"/>
      <c r="B118" s="1312"/>
      <c r="C118" s="1280"/>
      <c r="D118" s="1280"/>
      <c r="E118" s="1291"/>
      <c r="F118" s="1299" t="s">
        <v>588</v>
      </c>
      <c r="G118" s="1280">
        <v>2.75</v>
      </c>
      <c r="H118" s="1280"/>
      <c r="I118" s="1280">
        <v>2.75</v>
      </c>
      <c r="J118" s="1280">
        <v>3.83</v>
      </c>
      <c r="K118" s="1280">
        <f>J118-(J118*L118)</f>
        <v>3.6385000000000001</v>
      </c>
      <c r="L118" s="1280">
        <v>0.05</v>
      </c>
      <c r="M118" s="1313"/>
      <c r="N118" s="1280">
        <f>I118*J118*L118</f>
        <v>0.52662500000000001</v>
      </c>
      <c r="O118" s="1280"/>
      <c r="P118" s="1280">
        <v>17.38</v>
      </c>
      <c r="Q118" s="1280">
        <f t="shared" si="15"/>
        <v>9152.7425000000003</v>
      </c>
    </row>
    <row r="119" spans="1:17" x14ac:dyDescent="0.25">
      <c r="A119" s="1280"/>
      <c r="B119" s="185" t="s">
        <v>156</v>
      </c>
      <c r="C119" s="1280" t="s">
        <v>716</v>
      </c>
      <c r="D119" s="1280"/>
      <c r="E119" s="1291"/>
      <c r="F119" s="1299" t="s">
        <v>586</v>
      </c>
      <c r="G119" s="1280">
        <v>1</v>
      </c>
      <c r="H119" s="1280">
        <v>1</v>
      </c>
      <c r="I119" s="1280"/>
      <c r="J119" s="1280">
        <v>3.83</v>
      </c>
      <c r="K119" s="1280"/>
      <c r="L119" s="1280">
        <v>1</v>
      </c>
      <c r="M119" s="1313"/>
      <c r="N119" s="1280">
        <f>J119*H119</f>
        <v>3.83</v>
      </c>
      <c r="O119" s="1280"/>
      <c r="P119" s="1280">
        <v>17.38</v>
      </c>
      <c r="Q119" s="1280">
        <f t="shared" si="15"/>
        <v>66565.399999999994</v>
      </c>
    </row>
    <row r="120" spans="1:17" x14ac:dyDescent="0.25">
      <c r="A120" s="1280"/>
      <c r="B120" s="1312"/>
      <c r="C120" s="1280"/>
      <c r="D120" s="1280"/>
      <c r="E120" s="1280"/>
      <c r="F120" s="1299"/>
      <c r="G120" s="1280"/>
      <c r="H120" s="1280"/>
      <c r="I120" s="1280"/>
      <c r="J120" s="1280"/>
      <c r="K120" s="1280"/>
      <c r="L120" s="1280"/>
      <c r="M120" s="1313"/>
      <c r="N120" s="1280"/>
      <c r="O120" s="1280"/>
      <c r="P120" s="1280"/>
      <c r="Q120" s="1280"/>
    </row>
    <row r="121" spans="1:17" s="1404" customFormat="1" x14ac:dyDescent="0.25">
      <c r="A121" s="1400"/>
      <c r="B121" s="1401" t="s">
        <v>589</v>
      </c>
      <c r="C121" s="1400"/>
      <c r="D121" s="1400"/>
      <c r="E121" s="1405"/>
      <c r="F121" s="1403"/>
      <c r="G121" s="1402">
        <f>SUM(G122,G129)</f>
        <v>174.57000000000002</v>
      </c>
      <c r="H121" s="1402">
        <f>SUM(H122,H129)</f>
        <v>21.02</v>
      </c>
      <c r="I121" s="1402">
        <f>SUM(I122,I129)</f>
        <v>153.55000000000001</v>
      </c>
      <c r="J121" s="1402"/>
      <c r="K121" s="1402"/>
      <c r="L121" s="1402"/>
      <c r="M121" s="1402"/>
      <c r="N121" s="1402">
        <f>SUM(N122,N129)</f>
        <v>49.680800000000005</v>
      </c>
      <c r="O121" s="1402"/>
      <c r="P121" s="1402"/>
      <c r="Q121" s="1402">
        <f>SUM(Q122,Q129)</f>
        <v>1048587.4640000002</v>
      </c>
    </row>
    <row r="122" spans="1:17" x14ac:dyDescent="0.25">
      <c r="A122" s="1280"/>
      <c r="B122" s="1308" t="s">
        <v>471</v>
      </c>
      <c r="C122" s="1280"/>
      <c r="D122" s="1280"/>
      <c r="E122" s="1291"/>
      <c r="F122" s="1299"/>
      <c r="G122" s="1279">
        <f>SUM(G123:G128)</f>
        <v>111.00000000000001</v>
      </c>
      <c r="H122" s="1279">
        <f>SUM(H123:H128)</f>
        <v>21</v>
      </c>
      <c r="I122" s="1279">
        <f>SUM(I123:I128)</f>
        <v>90</v>
      </c>
      <c r="J122" s="1279"/>
      <c r="K122" s="1279"/>
      <c r="L122" s="1279"/>
      <c r="M122" s="1279"/>
      <c r="N122" s="1279">
        <f>SUM(N123:N128)</f>
        <v>24.632300000000001</v>
      </c>
      <c r="O122" s="1279"/>
      <c r="P122" s="1279"/>
      <c r="Q122" s="1279">
        <f>SUM(Q123:Q128)</f>
        <v>614889.37400000007</v>
      </c>
    </row>
    <row r="123" spans="1:17" x14ac:dyDescent="0.25">
      <c r="A123" s="1280"/>
      <c r="B123" s="1312" t="s">
        <v>598</v>
      </c>
      <c r="C123" s="1280" t="s">
        <v>716</v>
      </c>
      <c r="D123" s="1280"/>
      <c r="E123" s="1291"/>
      <c r="F123" s="1299" t="s">
        <v>521</v>
      </c>
      <c r="G123" s="1280">
        <f>SUM(H123:I123)</f>
        <v>11</v>
      </c>
      <c r="H123" s="1280">
        <f>0.5+1+0.5+0.3+0.7+0.5+0.5+0.5+0.5+0.5+0.5+0.5+0.25+0.25+0.25+0.25+0.25+0.25+0.25+0.25+0.25+0.25+0.25+0.25+0.25+0.25+1</f>
        <v>11</v>
      </c>
      <c r="I123" s="1280"/>
      <c r="J123" s="1280"/>
      <c r="K123" s="1280"/>
      <c r="L123" s="1280"/>
      <c r="M123" s="1313"/>
      <c r="N123" s="1280"/>
      <c r="O123" s="1280">
        <v>2200</v>
      </c>
      <c r="P123" s="1280"/>
      <c r="Q123" s="1280">
        <f>O123*G123</f>
        <v>24200</v>
      </c>
    </row>
    <row r="124" spans="1:17" s="1305" customFormat="1" x14ac:dyDescent="0.25">
      <c r="A124" s="1304"/>
      <c r="B124" s="1312" t="s">
        <v>597</v>
      </c>
      <c r="C124" s="1304"/>
      <c r="D124" s="1304"/>
      <c r="E124" s="1314"/>
      <c r="F124" s="1307"/>
      <c r="G124" s="1304">
        <f>SUM(G125:G128)</f>
        <v>50</v>
      </c>
      <c r="H124" s="1304">
        <f t="shared" ref="H124:Q124" si="28">SUM(H125:H128)</f>
        <v>5</v>
      </c>
      <c r="I124" s="1304">
        <f t="shared" si="28"/>
        <v>45</v>
      </c>
      <c r="J124" s="1304">
        <f t="shared" si="28"/>
        <v>9.14</v>
      </c>
      <c r="K124" s="1304">
        <f t="shared" si="28"/>
        <v>4.3414999999999999</v>
      </c>
      <c r="L124" s="1304">
        <f t="shared" si="28"/>
        <v>1.05</v>
      </c>
      <c r="M124" s="1304">
        <f t="shared" si="28"/>
        <v>0</v>
      </c>
      <c r="N124" s="1304">
        <f t="shared" si="28"/>
        <v>12.31615</v>
      </c>
      <c r="O124" s="1304">
        <f t="shared" si="28"/>
        <v>4400</v>
      </c>
      <c r="P124" s="1304">
        <f t="shared" si="28"/>
        <v>34.76</v>
      </c>
      <c r="Q124" s="1304">
        <f t="shared" si="28"/>
        <v>295344.68700000003</v>
      </c>
    </row>
    <row r="125" spans="1:17" x14ac:dyDescent="0.25">
      <c r="A125" s="1280"/>
      <c r="C125" s="1280" t="s">
        <v>713</v>
      </c>
      <c r="D125" s="1280"/>
      <c r="E125" s="1291"/>
      <c r="F125" s="1299" t="s">
        <v>776</v>
      </c>
      <c r="G125" s="1280">
        <f>1.75+1.1</f>
        <v>2.85</v>
      </c>
      <c r="H125" s="1280">
        <v>2.85</v>
      </c>
      <c r="I125" s="1280"/>
      <c r="J125" s="1280"/>
      <c r="K125" s="1280"/>
      <c r="L125" s="1280"/>
      <c r="M125" s="1313"/>
      <c r="N125" s="1280"/>
      <c r="O125" s="1280">
        <v>2200</v>
      </c>
      <c r="P125" s="1280"/>
      <c r="Q125" s="1280">
        <f>O125*G125</f>
        <v>6270</v>
      </c>
    </row>
    <row r="126" spans="1:17" x14ac:dyDescent="0.25">
      <c r="A126" s="1280"/>
      <c r="B126" s="1312"/>
      <c r="C126" s="1280"/>
      <c r="D126" s="1280"/>
      <c r="E126" s="1291"/>
      <c r="F126" s="1299" t="s">
        <v>776</v>
      </c>
      <c r="G126" s="1280">
        <f>2+10.7+9.4+9.25+2.75</f>
        <v>34.1</v>
      </c>
      <c r="H126" s="1280"/>
      <c r="I126" s="1280">
        <f>2+10.7+9.4+9.25+2.75</f>
        <v>34.1</v>
      </c>
      <c r="J126" s="1280"/>
      <c r="K126" s="1280"/>
      <c r="L126" s="1280"/>
      <c r="M126" s="1313"/>
      <c r="N126" s="1280"/>
      <c r="O126" s="1280">
        <v>2200</v>
      </c>
      <c r="P126" s="1280"/>
      <c r="Q126" s="1280">
        <f>O126*G126</f>
        <v>75020</v>
      </c>
    </row>
    <row r="127" spans="1:17" x14ac:dyDescent="0.25">
      <c r="A127" s="1280"/>
      <c r="B127" s="1312"/>
      <c r="C127" s="1280"/>
      <c r="D127" s="1280"/>
      <c r="E127" s="1291"/>
      <c r="F127" s="1299" t="s">
        <v>539</v>
      </c>
      <c r="G127" s="1280">
        <f>1.65+0.5</f>
        <v>2.15</v>
      </c>
      <c r="H127" s="1280">
        <v>2.15</v>
      </c>
      <c r="I127" s="1280"/>
      <c r="J127" s="1280">
        <v>4.57</v>
      </c>
      <c r="K127" s="1280"/>
      <c r="L127" s="1280">
        <v>1</v>
      </c>
      <c r="M127" s="1313"/>
      <c r="N127" s="1280">
        <f>H127*J127*L127</f>
        <v>9.8254999999999999</v>
      </c>
      <c r="O127" s="1280"/>
      <c r="P127" s="1280">
        <v>17.38</v>
      </c>
      <c r="Q127" s="1280">
        <f t="shared" ref="Q127:Q139" si="29">P127*N127*1000</f>
        <v>170767.19</v>
      </c>
    </row>
    <row r="128" spans="1:17" x14ac:dyDescent="0.25">
      <c r="A128" s="1280"/>
      <c r="B128" s="1312"/>
      <c r="C128" s="1280"/>
      <c r="D128" s="1280"/>
      <c r="E128" s="1291"/>
      <c r="F128" s="1299" t="s">
        <v>539</v>
      </c>
      <c r="G128" s="1280">
        <f>10.4+0.5</f>
        <v>10.9</v>
      </c>
      <c r="H128" s="1280"/>
      <c r="I128" s="1280">
        <v>10.9</v>
      </c>
      <c r="J128" s="1280">
        <v>4.57</v>
      </c>
      <c r="K128" s="1280">
        <f>J128-(J128*L128)</f>
        <v>4.3414999999999999</v>
      </c>
      <c r="L128" s="1280">
        <v>0.05</v>
      </c>
      <c r="M128" s="1313"/>
      <c r="N128" s="1280">
        <f>I128*J128*L128</f>
        <v>2.4906500000000005</v>
      </c>
      <c r="O128" s="1280"/>
      <c r="P128" s="1280">
        <v>17.38</v>
      </c>
      <c r="Q128" s="1280">
        <f>P128*N128*1000</f>
        <v>43287.49700000001</v>
      </c>
    </row>
    <row r="129" spans="1:17" x14ac:dyDescent="0.25">
      <c r="A129" s="1280"/>
      <c r="B129" s="1308" t="s">
        <v>475</v>
      </c>
      <c r="C129" s="1280"/>
      <c r="D129" s="1280"/>
      <c r="E129" s="1291"/>
      <c r="F129" s="1299"/>
      <c r="G129" s="1279">
        <f>SUM(G131:G139)</f>
        <v>63.57</v>
      </c>
      <c r="H129" s="1279">
        <f>SUM(H131:H139)</f>
        <v>0.02</v>
      </c>
      <c r="I129" s="1279">
        <f>SUM(I131:I139)</f>
        <v>63.55</v>
      </c>
      <c r="J129" s="1280"/>
      <c r="K129" s="1280"/>
      <c r="L129" s="1280"/>
      <c r="M129" s="1313"/>
      <c r="N129" s="1279">
        <f>SUM(N131:N139)</f>
        <v>25.048500000000008</v>
      </c>
      <c r="O129" s="1280"/>
      <c r="P129" s="1280"/>
      <c r="Q129" s="1279">
        <f>SUM(Q131:Q139)</f>
        <v>433698.09000000008</v>
      </c>
    </row>
    <row r="130" spans="1:17" s="1305" customFormat="1" x14ac:dyDescent="0.25">
      <c r="A130" s="1304"/>
      <c r="B130" s="1312" t="s">
        <v>607</v>
      </c>
      <c r="C130" s="1304"/>
      <c r="D130" s="1304"/>
      <c r="E130" s="1314"/>
      <c r="F130" s="1307"/>
      <c r="G130" s="1304">
        <f>SUM(G131:G133)</f>
        <v>7.8199999999999994</v>
      </c>
      <c r="H130" s="1304">
        <f t="shared" ref="H130:Q130" si="30">SUM(H131:H133)</f>
        <v>0.02</v>
      </c>
      <c r="I130" s="1304">
        <f t="shared" si="30"/>
        <v>7.8</v>
      </c>
      <c r="J130" s="1304">
        <f t="shared" si="30"/>
        <v>14.399999999999999</v>
      </c>
      <c r="K130" s="1304">
        <f t="shared" si="30"/>
        <v>9.1199999999999992</v>
      </c>
      <c r="L130" s="1304">
        <f t="shared" si="30"/>
        <v>1.1000000000000001</v>
      </c>
      <c r="M130" s="1304">
        <f t="shared" si="30"/>
        <v>0</v>
      </c>
      <c r="N130" s="1304">
        <f t="shared" si="30"/>
        <v>1.9680000000000002</v>
      </c>
      <c r="O130" s="1304">
        <f t="shared" si="30"/>
        <v>0</v>
      </c>
      <c r="P130" s="1304">
        <f t="shared" si="30"/>
        <v>52.14</v>
      </c>
      <c r="Q130" s="1304">
        <f t="shared" si="30"/>
        <v>34203.839999999997</v>
      </c>
    </row>
    <row r="131" spans="1:17" x14ac:dyDescent="0.25">
      <c r="A131" s="1280"/>
      <c r="C131" s="1280" t="s">
        <v>713</v>
      </c>
      <c r="D131" s="1280"/>
      <c r="E131" s="1291"/>
      <c r="F131" s="1299" t="s">
        <v>586</v>
      </c>
      <c r="G131" s="1280">
        <f>SUM(H131:I131)</f>
        <v>0.02</v>
      </c>
      <c r="H131" s="1280">
        <v>0.02</v>
      </c>
      <c r="I131" s="1280"/>
      <c r="J131" s="1280">
        <v>4.8</v>
      </c>
      <c r="K131" s="1280"/>
      <c r="L131" s="1280">
        <v>1</v>
      </c>
      <c r="M131" s="1313"/>
      <c r="N131" s="1280">
        <f>H131*J131*L131</f>
        <v>9.6000000000000002E-2</v>
      </c>
      <c r="O131" s="1280"/>
      <c r="P131" s="1280">
        <v>17.38</v>
      </c>
      <c r="Q131" s="1280">
        <f t="shared" si="29"/>
        <v>1668.48</v>
      </c>
    </row>
    <row r="132" spans="1:17" x14ac:dyDescent="0.25">
      <c r="A132" s="1280"/>
      <c r="B132" s="1312"/>
      <c r="C132" s="1280"/>
      <c r="D132" s="1280"/>
      <c r="E132" s="1291"/>
      <c r="F132" s="1299" t="s">
        <v>586</v>
      </c>
      <c r="G132" s="1280">
        <f>SUM(H132:I132)</f>
        <v>5.8</v>
      </c>
      <c r="H132" s="1280">
        <v>0</v>
      </c>
      <c r="I132" s="1280">
        <v>5.8</v>
      </c>
      <c r="J132" s="1280">
        <v>4.8</v>
      </c>
      <c r="K132" s="1280">
        <f>J132-(J132*L132)</f>
        <v>4.5599999999999996</v>
      </c>
      <c r="L132" s="1280">
        <v>0.05</v>
      </c>
      <c r="M132" s="1313"/>
      <c r="N132" s="1280">
        <f t="shared" ref="N132:N139" si="31">I132*J132*L132</f>
        <v>1.3920000000000001</v>
      </c>
      <c r="O132" s="1280"/>
      <c r="P132" s="1280">
        <v>17.38</v>
      </c>
      <c r="Q132" s="1280">
        <f t="shared" si="29"/>
        <v>24192.959999999999</v>
      </c>
    </row>
    <row r="133" spans="1:17" x14ac:dyDescent="0.25">
      <c r="A133" s="1280"/>
      <c r="B133" s="1312"/>
      <c r="C133" s="1280"/>
      <c r="D133" s="1280"/>
      <c r="E133" s="1291"/>
      <c r="F133" s="1299" t="s">
        <v>539</v>
      </c>
      <c r="G133" s="1280">
        <f>SUM(H133:I133)</f>
        <v>2</v>
      </c>
      <c r="H133" s="1280">
        <v>0</v>
      </c>
      <c r="I133" s="1280">
        <v>2</v>
      </c>
      <c r="J133" s="1280">
        <v>4.8</v>
      </c>
      <c r="K133" s="1280">
        <f>J133-(J133*L133)</f>
        <v>4.5599999999999996</v>
      </c>
      <c r="L133" s="1280">
        <v>0.05</v>
      </c>
      <c r="M133" s="1313"/>
      <c r="N133" s="1280">
        <f t="shared" si="31"/>
        <v>0.48</v>
      </c>
      <c r="O133" s="1280"/>
      <c r="P133" s="1280">
        <v>17.38</v>
      </c>
      <c r="Q133" s="1280">
        <f t="shared" si="29"/>
        <v>8342.4</v>
      </c>
    </row>
    <row r="134" spans="1:17" x14ac:dyDescent="0.25">
      <c r="A134" s="1280"/>
      <c r="B134" s="1312" t="s">
        <v>477</v>
      </c>
      <c r="C134" s="1280" t="s">
        <v>713</v>
      </c>
      <c r="D134" s="1280"/>
      <c r="E134" s="1291"/>
      <c r="F134" s="1299" t="s">
        <v>539</v>
      </c>
      <c r="G134" s="1280">
        <f>SUM(H134:I134)</f>
        <v>10.5</v>
      </c>
      <c r="H134" s="1280">
        <v>0</v>
      </c>
      <c r="I134" s="1280">
        <v>10.5</v>
      </c>
      <c r="J134" s="1280">
        <v>4.8</v>
      </c>
      <c r="K134" s="1280">
        <f>J134-(J134*L134)</f>
        <v>4.5599999999999996</v>
      </c>
      <c r="L134" s="1280">
        <v>0.05</v>
      </c>
      <c r="M134" s="1313"/>
      <c r="N134" s="1280">
        <f t="shared" si="31"/>
        <v>2.52</v>
      </c>
      <c r="O134" s="1280"/>
      <c r="P134" s="1280">
        <v>17.38</v>
      </c>
      <c r="Q134" s="1280">
        <f t="shared" si="29"/>
        <v>43797.599999999999</v>
      </c>
    </row>
    <row r="135" spans="1:17" x14ac:dyDescent="0.25">
      <c r="A135" s="1280"/>
      <c r="B135" s="1312" t="s">
        <v>596</v>
      </c>
      <c r="C135" s="1280" t="s">
        <v>713</v>
      </c>
      <c r="D135" s="1280"/>
      <c r="E135" s="1291"/>
      <c r="F135" s="1299" t="s">
        <v>539</v>
      </c>
      <c r="G135" s="1280">
        <v>30</v>
      </c>
      <c r="H135" s="1280"/>
      <c r="I135" s="1280">
        <v>30</v>
      </c>
      <c r="J135" s="1280">
        <v>4.57</v>
      </c>
      <c r="K135" s="1280">
        <v>4.1100000000000003</v>
      </c>
      <c r="L135" s="1280">
        <v>0.1</v>
      </c>
      <c r="M135" s="1313"/>
      <c r="N135" s="1280">
        <f t="shared" si="31"/>
        <v>13.710000000000003</v>
      </c>
      <c r="O135" s="1280"/>
      <c r="P135" s="1280">
        <v>17.3</v>
      </c>
      <c r="Q135" s="1280">
        <f t="shared" si="29"/>
        <v>237183.00000000006</v>
      </c>
    </row>
    <row r="136" spans="1:17" s="1305" customFormat="1" x14ac:dyDescent="0.25">
      <c r="A136" s="1304"/>
      <c r="B136" s="1312" t="s">
        <v>602</v>
      </c>
      <c r="C136" s="1304"/>
      <c r="D136" s="1304"/>
      <c r="E136" s="1314"/>
      <c r="F136" s="1307"/>
      <c r="G136" s="1304">
        <f>SUM(G137:G138)</f>
        <v>7</v>
      </c>
      <c r="H136" s="1304">
        <f t="shared" ref="H136:Q136" si="32">SUM(H137:H138)</f>
        <v>0</v>
      </c>
      <c r="I136" s="1304">
        <f t="shared" si="32"/>
        <v>7</v>
      </c>
      <c r="J136" s="1304">
        <f t="shared" si="32"/>
        <v>9.09</v>
      </c>
      <c r="K136" s="1304">
        <f t="shared" si="32"/>
        <v>8.18</v>
      </c>
      <c r="L136" s="1304">
        <f t="shared" si="32"/>
        <v>0.2</v>
      </c>
      <c r="M136" s="1304">
        <f t="shared" si="32"/>
        <v>0</v>
      </c>
      <c r="N136" s="1304">
        <f t="shared" si="32"/>
        <v>3.1739999999999999</v>
      </c>
      <c r="O136" s="1304">
        <f t="shared" si="32"/>
        <v>0</v>
      </c>
      <c r="P136" s="1304">
        <f t="shared" si="32"/>
        <v>34.6</v>
      </c>
      <c r="Q136" s="1304">
        <f t="shared" si="32"/>
        <v>54910.200000000004</v>
      </c>
    </row>
    <row r="137" spans="1:17" x14ac:dyDescent="0.25">
      <c r="A137" s="1280"/>
      <c r="C137" s="1280" t="s">
        <v>713</v>
      </c>
      <c r="D137" s="1280"/>
      <c r="E137" s="1291"/>
      <c r="F137" s="1299" t="s">
        <v>539</v>
      </c>
      <c r="G137" s="1280">
        <v>2</v>
      </c>
      <c r="H137" s="1280"/>
      <c r="I137" s="1280">
        <v>2</v>
      </c>
      <c r="J137" s="1280">
        <v>4.57</v>
      </c>
      <c r="K137" s="1280">
        <v>4.1100000000000003</v>
      </c>
      <c r="L137" s="1280">
        <v>0.1</v>
      </c>
      <c r="M137" s="1313"/>
      <c r="N137" s="1280">
        <f t="shared" si="31"/>
        <v>0.91400000000000015</v>
      </c>
      <c r="O137" s="1280"/>
      <c r="P137" s="1280">
        <v>17.3</v>
      </c>
      <c r="Q137" s="1280">
        <f t="shared" si="29"/>
        <v>15812.200000000003</v>
      </c>
    </row>
    <row r="138" spans="1:17" x14ac:dyDescent="0.25">
      <c r="A138" s="1280"/>
      <c r="B138" s="1312"/>
      <c r="C138" s="1280"/>
      <c r="D138" s="1280"/>
      <c r="E138" s="1291"/>
      <c r="F138" s="1299" t="s">
        <v>586</v>
      </c>
      <c r="G138" s="1280">
        <v>5</v>
      </c>
      <c r="H138" s="1280"/>
      <c r="I138" s="1280">
        <v>5</v>
      </c>
      <c r="J138" s="1280">
        <v>4.5199999999999996</v>
      </c>
      <c r="K138" s="1280">
        <v>4.07</v>
      </c>
      <c r="L138" s="1280">
        <v>0.1</v>
      </c>
      <c r="M138" s="1313"/>
      <c r="N138" s="1280">
        <f t="shared" si="31"/>
        <v>2.2599999999999998</v>
      </c>
      <c r="O138" s="1280"/>
      <c r="P138" s="1280">
        <v>17.3</v>
      </c>
      <c r="Q138" s="1280">
        <f t="shared" si="29"/>
        <v>39098</v>
      </c>
    </row>
    <row r="139" spans="1:17" x14ac:dyDescent="0.25">
      <c r="A139" s="1280"/>
      <c r="B139" s="1312" t="s">
        <v>603</v>
      </c>
      <c r="C139" s="1280" t="s">
        <v>713</v>
      </c>
      <c r="D139" s="1280"/>
      <c r="E139" s="1291"/>
      <c r="F139" s="1299" t="s">
        <v>539</v>
      </c>
      <c r="G139" s="1280">
        <v>1.25</v>
      </c>
      <c r="H139" s="1280"/>
      <c r="I139" s="1280">
        <v>1.25</v>
      </c>
      <c r="J139" s="1280">
        <v>4.0199999999999996</v>
      </c>
      <c r="K139" s="1280">
        <v>3.62</v>
      </c>
      <c r="L139" s="1280">
        <v>0.1</v>
      </c>
      <c r="M139" s="1313"/>
      <c r="N139" s="1280">
        <f t="shared" si="31"/>
        <v>0.50249999999999995</v>
      </c>
      <c r="O139" s="1280"/>
      <c r="P139" s="1280">
        <v>17.3</v>
      </c>
      <c r="Q139" s="1280">
        <f t="shared" si="29"/>
        <v>8693.2499999999982</v>
      </c>
    </row>
    <row r="140" spans="1:17" x14ac:dyDescent="0.25">
      <c r="A140" s="1280"/>
      <c r="B140" s="1312"/>
      <c r="C140" s="1280"/>
      <c r="D140" s="1280"/>
      <c r="E140" s="1291"/>
      <c r="F140" s="1299"/>
      <c r="G140" s="1280"/>
      <c r="H140" s="1280"/>
      <c r="I140" s="1280"/>
      <c r="J140" s="1280"/>
      <c r="K140" s="1280"/>
      <c r="L140" s="1280"/>
      <c r="M140" s="1313"/>
      <c r="N140" s="1280"/>
      <c r="O140" s="1280"/>
      <c r="P140" s="1280"/>
      <c r="Q140" s="1280"/>
    </row>
    <row r="141" spans="1:17" s="1404" customFormat="1" x14ac:dyDescent="0.25">
      <c r="A141" s="1400"/>
      <c r="B141" s="1401" t="s">
        <v>478</v>
      </c>
      <c r="C141" s="1400"/>
      <c r="D141" s="1400"/>
      <c r="E141" s="1402"/>
      <c r="F141" s="1403"/>
      <c r="G141" s="1402">
        <f>G142+G161+G183+G200+G208+G218</f>
        <v>25106.55</v>
      </c>
      <c r="H141" s="1402">
        <f>H142+H161+H183+H200+H208+H218</f>
        <v>2553.85</v>
      </c>
      <c r="I141" s="1402">
        <f>I142+I161+I183+I200+I208+I218</f>
        <v>22552.699999999997</v>
      </c>
      <c r="J141" s="1402"/>
      <c r="K141" s="1402"/>
      <c r="L141" s="1402"/>
      <c r="M141" s="1402"/>
      <c r="N141" s="1402">
        <f>N142+N161+N183+N200+N208+N218</f>
        <v>16481.397660000002</v>
      </c>
      <c r="O141" s="1402"/>
      <c r="P141" s="1402"/>
      <c r="Q141" s="1402">
        <f>Q142+Q161+Q183+Q200+Q208+Q218</f>
        <v>286759091.3308</v>
      </c>
    </row>
    <row r="142" spans="1:17" x14ac:dyDescent="0.25">
      <c r="A142" s="1280"/>
      <c r="B142" s="1308" t="s">
        <v>471</v>
      </c>
      <c r="C142" s="1309"/>
      <c r="D142" s="1309"/>
      <c r="E142" s="1310"/>
      <c r="F142" s="1311"/>
      <c r="G142" s="1310">
        <f>SUM(G144:G160)</f>
        <v>2242.6</v>
      </c>
      <c r="H142" s="1310">
        <f>SUM(H144:H160)</f>
        <v>270</v>
      </c>
      <c r="I142" s="1310">
        <f>SUM(I144:I160)</f>
        <v>1972.6</v>
      </c>
      <c r="J142" s="1310"/>
      <c r="K142" s="1310"/>
      <c r="L142" s="1310"/>
      <c r="M142" s="1310"/>
      <c r="N142" s="1310">
        <f>SUM(N144:N160)</f>
        <v>1558.6136800000002</v>
      </c>
      <c r="O142" s="1310">
        <f>SUM(O144)</f>
        <v>0</v>
      </c>
      <c r="P142" s="1310"/>
      <c r="Q142" s="1310">
        <f>SUM(Q144:Q160)</f>
        <v>27088705.758400001</v>
      </c>
    </row>
    <row r="143" spans="1:17" s="1305" customFormat="1" x14ac:dyDescent="0.25">
      <c r="A143" s="1304"/>
      <c r="B143" s="1312" t="s">
        <v>610</v>
      </c>
      <c r="C143" s="1315"/>
      <c r="D143" s="1315"/>
      <c r="E143" s="1316"/>
      <c r="F143" s="1317"/>
      <c r="G143" s="1304">
        <f>SUM(G144:G145)</f>
        <v>300</v>
      </c>
      <c r="H143" s="1304">
        <f t="shared" ref="H143:Q143" si="33">SUM(H144:H145)</f>
        <v>50</v>
      </c>
      <c r="I143" s="1304">
        <f t="shared" si="33"/>
        <v>250</v>
      </c>
      <c r="J143" s="1304">
        <f t="shared" si="33"/>
        <v>7.94</v>
      </c>
      <c r="K143" s="1304">
        <f t="shared" si="33"/>
        <v>3.9303000000000003</v>
      </c>
      <c r="L143" s="1304">
        <f t="shared" si="33"/>
        <v>1.01</v>
      </c>
      <c r="M143" s="1304">
        <f t="shared" si="33"/>
        <v>0</v>
      </c>
      <c r="N143" s="1304">
        <f t="shared" si="33"/>
        <v>208.42500000000001</v>
      </c>
      <c r="O143" s="1304">
        <f t="shared" si="33"/>
        <v>0</v>
      </c>
      <c r="P143" s="1304">
        <f t="shared" si="33"/>
        <v>34.76</v>
      </c>
      <c r="Q143" s="1304">
        <f t="shared" si="33"/>
        <v>3622426.5</v>
      </c>
    </row>
    <row r="144" spans="1:17" x14ac:dyDescent="0.25">
      <c r="A144" s="1280"/>
      <c r="C144" s="1280" t="s">
        <v>716</v>
      </c>
      <c r="D144" s="1280"/>
      <c r="E144" s="1291"/>
      <c r="F144" s="1299" t="s">
        <v>539</v>
      </c>
      <c r="G144" s="1280">
        <f t="shared" ref="G144:G157" si="34">SUM(H144:I144)</f>
        <v>250</v>
      </c>
      <c r="H144" s="1280"/>
      <c r="I144" s="1280">
        <v>250</v>
      </c>
      <c r="J144" s="1280">
        <v>3.97</v>
      </c>
      <c r="K144" s="1280">
        <f t="shared" ref="K144:K160" si="35">J144-(J144*L144)</f>
        <v>3.9303000000000003</v>
      </c>
      <c r="L144" s="1280">
        <v>0.01</v>
      </c>
      <c r="M144" s="1313"/>
      <c r="N144" s="1280">
        <f>I144*J144*L144</f>
        <v>9.9250000000000007</v>
      </c>
      <c r="O144" s="1280"/>
      <c r="P144" s="1280">
        <v>17.38</v>
      </c>
      <c r="Q144" s="1280">
        <f t="shared" ref="Q144:Q160" si="36">P144*N144*1000</f>
        <v>172496.5</v>
      </c>
    </row>
    <row r="145" spans="1:17" x14ac:dyDescent="0.25">
      <c r="A145" s="1280"/>
      <c r="B145" s="1312"/>
      <c r="C145" s="1280"/>
      <c r="D145" s="1280"/>
      <c r="E145" s="1291"/>
      <c r="F145" s="1299" t="s">
        <v>539</v>
      </c>
      <c r="G145" s="1280">
        <f>SUM(H145:I145)</f>
        <v>50</v>
      </c>
      <c r="H145" s="1280">
        <v>50</v>
      </c>
      <c r="I145" s="1280"/>
      <c r="J145" s="1280">
        <v>3.97</v>
      </c>
      <c r="K145" s="1280">
        <f t="shared" si="35"/>
        <v>0</v>
      </c>
      <c r="L145" s="1280">
        <v>1</v>
      </c>
      <c r="M145" s="1313"/>
      <c r="N145" s="1280">
        <f>H145*J145*L145</f>
        <v>198.5</v>
      </c>
      <c r="O145" s="1280"/>
      <c r="P145" s="1280">
        <v>17.38</v>
      </c>
      <c r="Q145" s="1280">
        <f t="shared" si="36"/>
        <v>3449930</v>
      </c>
    </row>
    <row r="146" spans="1:17" s="1305" customFormat="1" x14ac:dyDescent="0.25">
      <c r="A146" s="1304"/>
      <c r="B146" s="1312" t="s">
        <v>570</v>
      </c>
      <c r="C146" s="1304"/>
      <c r="D146" s="1304"/>
      <c r="E146" s="1314"/>
      <c r="F146" s="1307"/>
      <c r="G146" s="1304">
        <f>SUM(G147:G148)</f>
        <v>40</v>
      </c>
      <c r="H146" s="1304">
        <f t="shared" ref="H146:Q146" si="37">SUM(H147:H148)</f>
        <v>10</v>
      </c>
      <c r="I146" s="1304">
        <f t="shared" si="37"/>
        <v>30</v>
      </c>
      <c r="J146" s="1304">
        <f t="shared" si="37"/>
        <v>7.94</v>
      </c>
      <c r="K146" s="1304">
        <f t="shared" si="37"/>
        <v>3.9303000000000003</v>
      </c>
      <c r="L146" s="1304">
        <f t="shared" si="37"/>
        <v>1.01</v>
      </c>
      <c r="M146" s="1304">
        <f t="shared" si="37"/>
        <v>0</v>
      </c>
      <c r="N146" s="1304">
        <f t="shared" si="37"/>
        <v>40.891000000000005</v>
      </c>
      <c r="O146" s="1304">
        <f t="shared" si="37"/>
        <v>0</v>
      </c>
      <c r="P146" s="1304">
        <f t="shared" si="37"/>
        <v>34.76</v>
      </c>
      <c r="Q146" s="1304">
        <f t="shared" si="37"/>
        <v>710685.58</v>
      </c>
    </row>
    <row r="147" spans="1:17" x14ac:dyDescent="0.25">
      <c r="A147" s="1280"/>
      <c r="C147" s="1280"/>
      <c r="D147" s="1280"/>
      <c r="E147" s="1291"/>
      <c r="F147" s="1299" t="s">
        <v>539</v>
      </c>
      <c r="G147" s="1280">
        <f>SUM(H147:I147)</f>
        <v>10</v>
      </c>
      <c r="H147" s="1280">
        <v>10</v>
      </c>
      <c r="I147" s="1280"/>
      <c r="J147" s="1280">
        <v>3.97</v>
      </c>
      <c r="K147" s="1280">
        <f t="shared" si="35"/>
        <v>0</v>
      </c>
      <c r="L147" s="1280">
        <v>1</v>
      </c>
      <c r="M147" s="1313"/>
      <c r="N147" s="1280">
        <f>H147*J147*L147</f>
        <v>39.700000000000003</v>
      </c>
      <c r="O147" s="1280"/>
      <c r="P147" s="1280">
        <v>17.38</v>
      </c>
      <c r="Q147" s="1280">
        <f t="shared" si="36"/>
        <v>689986</v>
      </c>
    </row>
    <row r="148" spans="1:17" x14ac:dyDescent="0.25">
      <c r="A148" s="1280"/>
      <c r="B148" s="1312"/>
      <c r="C148" s="1280"/>
      <c r="D148" s="1280"/>
      <c r="E148" s="1291"/>
      <c r="F148" s="1299" t="s">
        <v>539</v>
      </c>
      <c r="G148" s="1280">
        <f>SUM(H148:I148)</f>
        <v>30</v>
      </c>
      <c r="H148" s="1280"/>
      <c r="I148" s="1280">
        <v>30</v>
      </c>
      <c r="J148" s="1280">
        <v>3.97</v>
      </c>
      <c r="K148" s="1280">
        <f t="shared" si="35"/>
        <v>3.9303000000000003</v>
      </c>
      <c r="L148" s="1280">
        <v>0.01</v>
      </c>
      <c r="M148" s="1313"/>
      <c r="N148" s="1280">
        <f>I148*J148*L148</f>
        <v>1.1910000000000001</v>
      </c>
      <c r="O148" s="1280"/>
      <c r="P148" s="1280">
        <v>17.38</v>
      </c>
      <c r="Q148" s="1280">
        <f t="shared" si="36"/>
        <v>20699.580000000002</v>
      </c>
    </row>
    <row r="149" spans="1:17" s="1305" customFormat="1" ht="15.75" x14ac:dyDescent="0.25">
      <c r="A149" s="1304"/>
      <c r="B149" s="1318" t="s">
        <v>279</v>
      </c>
      <c r="C149" s="1304"/>
      <c r="D149" s="1304"/>
      <c r="E149" s="1314"/>
      <c r="F149" s="1307"/>
      <c r="G149" s="1304">
        <f>SUM(G150:G151)</f>
        <v>307.2</v>
      </c>
      <c r="H149" s="1304">
        <f t="shared" ref="H149:Q149" si="38">SUM(H150:H151)</f>
        <v>20</v>
      </c>
      <c r="I149" s="1304">
        <f t="shared" si="38"/>
        <v>287.2</v>
      </c>
      <c r="J149" s="1304">
        <f t="shared" si="38"/>
        <v>7.94</v>
      </c>
      <c r="K149" s="1304">
        <f t="shared" si="38"/>
        <v>3.9303000000000003</v>
      </c>
      <c r="L149" s="1304">
        <f t="shared" si="38"/>
        <v>1.01</v>
      </c>
      <c r="M149" s="1304">
        <f t="shared" si="38"/>
        <v>0</v>
      </c>
      <c r="N149" s="1304">
        <f t="shared" si="38"/>
        <v>90.801839999999999</v>
      </c>
      <c r="O149" s="1304">
        <f t="shared" si="38"/>
        <v>0</v>
      </c>
      <c r="P149" s="1304">
        <f t="shared" si="38"/>
        <v>34.76</v>
      </c>
      <c r="Q149" s="1304">
        <f t="shared" si="38"/>
        <v>1578135.9791999999</v>
      </c>
    </row>
    <row r="150" spans="1:17" x14ac:dyDescent="0.25">
      <c r="A150" s="1280"/>
      <c r="C150" s="1280" t="s">
        <v>716</v>
      </c>
      <c r="D150" s="1280"/>
      <c r="E150" s="1291"/>
      <c r="F150" s="1299" t="s">
        <v>586</v>
      </c>
      <c r="G150" s="1280">
        <f t="shared" si="34"/>
        <v>20</v>
      </c>
      <c r="H150" s="1280">
        <v>20</v>
      </c>
      <c r="I150" s="1280"/>
      <c r="J150" s="1280">
        <v>3.97</v>
      </c>
      <c r="K150" s="1280">
        <f t="shared" si="35"/>
        <v>0</v>
      </c>
      <c r="L150" s="1280">
        <v>1</v>
      </c>
      <c r="M150" s="1313"/>
      <c r="N150" s="1280">
        <f>H150*J150*L150</f>
        <v>79.400000000000006</v>
      </c>
      <c r="O150" s="1280"/>
      <c r="P150" s="1280">
        <v>17.38</v>
      </c>
      <c r="Q150" s="1280">
        <f t="shared" si="36"/>
        <v>1379972</v>
      </c>
    </row>
    <row r="151" spans="1:17" x14ac:dyDescent="0.25">
      <c r="A151" s="1280"/>
      <c r="B151" s="1312"/>
      <c r="C151" s="1280"/>
      <c r="D151" s="1280"/>
      <c r="E151" s="1291"/>
      <c r="F151" s="1299" t="s">
        <v>586</v>
      </c>
      <c r="G151" s="1280">
        <f t="shared" si="34"/>
        <v>287.2</v>
      </c>
      <c r="H151" s="1280">
        <v>0</v>
      </c>
      <c r="I151" s="1280">
        <v>287.2</v>
      </c>
      <c r="J151" s="1280">
        <v>3.97</v>
      </c>
      <c r="K151" s="1280">
        <f t="shared" si="35"/>
        <v>3.9303000000000003</v>
      </c>
      <c r="L151" s="1280">
        <v>0.01</v>
      </c>
      <c r="M151" s="1313"/>
      <c r="N151" s="1280">
        <f>I151*J151*L151</f>
        <v>11.40184</v>
      </c>
      <c r="O151" s="1280"/>
      <c r="P151" s="1280">
        <v>17.38</v>
      </c>
      <c r="Q151" s="1280">
        <f t="shared" si="36"/>
        <v>198163.9792</v>
      </c>
    </row>
    <row r="152" spans="1:17" s="1305" customFormat="1" x14ac:dyDescent="0.25">
      <c r="A152" s="1304"/>
      <c r="B152" s="1312" t="s">
        <v>613</v>
      </c>
      <c r="C152" s="1304"/>
      <c r="D152" s="1304"/>
      <c r="E152" s="1314"/>
      <c r="F152" s="1307"/>
      <c r="G152" s="1304">
        <f>SUM(G153:G154)</f>
        <v>80</v>
      </c>
      <c r="H152" s="1304">
        <f t="shared" ref="H152:Q152" si="39">SUM(H153:H154)</f>
        <v>30</v>
      </c>
      <c r="I152" s="1304">
        <f t="shared" si="39"/>
        <v>50</v>
      </c>
      <c r="J152" s="1304">
        <f t="shared" si="39"/>
        <v>8.120000000000001</v>
      </c>
      <c r="K152" s="1304">
        <f t="shared" si="39"/>
        <v>3.7350000000000003</v>
      </c>
      <c r="L152" s="1304">
        <f t="shared" si="39"/>
        <v>1.1000000000000001</v>
      </c>
      <c r="M152" s="1304">
        <f t="shared" si="39"/>
        <v>0</v>
      </c>
      <c r="N152" s="1304">
        <f t="shared" si="39"/>
        <v>139.85000000000002</v>
      </c>
      <c r="O152" s="1304">
        <f t="shared" si="39"/>
        <v>0</v>
      </c>
      <c r="P152" s="1304">
        <f t="shared" si="39"/>
        <v>34.76</v>
      </c>
      <c r="Q152" s="1304">
        <f t="shared" si="39"/>
        <v>2430593</v>
      </c>
    </row>
    <row r="153" spans="1:17" x14ac:dyDescent="0.25">
      <c r="A153" s="1280"/>
      <c r="C153" s="1280" t="s">
        <v>713</v>
      </c>
      <c r="D153" s="1280"/>
      <c r="E153" s="1291"/>
      <c r="F153" s="1299" t="s">
        <v>990</v>
      </c>
      <c r="G153" s="1280">
        <f t="shared" si="34"/>
        <v>50</v>
      </c>
      <c r="H153" s="1280">
        <v>0</v>
      </c>
      <c r="I153" s="1280">
        <v>50</v>
      </c>
      <c r="J153" s="1280">
        <v>4.1500000000000004</v>
      </c>
      <c r="K153" s="1280">
        <f t="shared" si="35"/>
        <v>3.7350000000000003</v>
      </c>
      <c r="L153" s="1280">
        <v>0.1</v>
      </c>
      <c r="M153" s="1313"/>
      <c r="N153" s="1280">
        <f>I153*J153*L153</f>
        <v>20.750000000000004</v>
      </c>
      <c r="O153" s="1280"/>
      <c r="P153" s="1280">
        <v>17.38</v>
      </c>
      <c r="Q153" s="1280">
        <f t="shared" si="36"/>
        <v>360635.00000000006</v>
      </c>
    </row>
    <row r="154" spans="1:17" x14ac:dyDescent="0.25">
      <c r="A154" s="1280"/>
      <c r="B154" s="1312"/>
      <c r="C154" s="1280"/>
      <c r="D154" s="1280"/>
      <c r="E154" s="1291"/>
      <c r="F154" s="1299" t="s">
        <v>990</v>
      </c>
      <c r="G154" s="1280">
        <f>SUM(H154:I154)</f>
        <v>30</v>
      </c>
      <c r="H154" s="1280">
        <v>30</v>
      </c>
      <c r="I154" s="1280"/>
      <c r="J154" s="1280">
        <v>3.97</v>
      </c>
      <c r="K154" s="1280">
        <f t="shared" si="35"/>
        <v>0</v>
      </c>
      <c r="L154" s="1280">
        <v>1</v>
      </c>
      <c r="M154" s="1313"/>
      <c r="N154" s="1280">
        <f>H154*J154*L154</f>
        <v>119.10000000000001</v>
      </c>
      <c r="O154" s="1280"/>
      <c r="P154" s="1280">
        <v>17.38</v>
      </c>
      <c r="Q154" s="1280">
        <f t="shared" si="36"/>
        <v>2069958</v>
      </c>
    </row>
    <row r="155" spans="1:17" s="1305" customFormat="1" x14ac:dyDescent="0.25">
      <c r="A155" s="1304"/>
      <c r="B155" s="1312" t="s">
        <v>621</v>
      </c>
      <c r="C155" s="1304"/>
      <c r="D155" s="1304"/>
      <c r="E155" s="1314"/>
      <c r="F155" s="1307"/>
      <c r="G155" s="1304">
        <f>SUM(G156:G157)</f>
        <v>301</v>
      </c>
      <c r="H155" s="1304">
        <f t="shared" ref="H155:Q155" si="40">SUM(H156:H157)</f>
        <v>0</v>
      </c>
      <c r="I155" s="1304">
        <f t="shared" si="40"/>
        <v>301</v>
      </c>
      <c r="J155" s="1304">
        <f t="shared" si="40"/>
        <v>8.3000000000000007</v>
      </c>
      <c r="K155" s="1304">
        <f t="shared" si="40"/>
        <v>7.4700000000000006</v>
      </c>
      <c r="L155" s="1304">
        <f t="shared" si="40"/>
        <v>0.2</v>
      </c>
      <c r="M155" s="1304">
        <f t="shared" si="40"/>
        <v>0</v>
      </c>
      <c r="N155" s="1304">
        <f t="shared" si="40"/>
        <v>124.91500000000002</v>
      </c>
      <c r="O155" s="1304">
        <f t="shared" si="40"/>
        <v>0</v>
      </c>
      <c r="P155" s="1304">
        <f t="shared" si="40"/>
        <v>34.76</v>
      </c>
      <c r="Q155" s="1304">
        <f t="shared" si="40"/>
        <v>2171022.7000000002</v>
      </c>
    </row>
    <row r="156" spans="1:17" x14ac:dyDescent="0.25">
      <c r="A156" s="1280"/>
      <c r="C156" s="1280" t="s">
        <v>713</v>
      </c>
      <c r="D156" s="1280"/>
      <c r="E156" s="1291"/>
      <c r="F156" s="1299" t="s">
        <v>586</v>
      </c>
      <c r="G156" s="1280">
        <f t="shared" si="34"/>
        <v>291</v>
      </c>
      <c r="H156" s="1280">
        <v>0</v>
      </c>
      <c r="I156" s="1280">
        <v>291</v>
      </c>
      <c r="J156" s="1280">
        <v>4.1500000000000004</v>
      </c>
      <c r="K156" s="1280">
        <f t="shared" si="35"/>
        <v>3.7350000000000003</v>
      </c>
      <c r="L156" s="1280">
        <v>0.1</v>
      </c>
      <c r="M156" s="1313"/>
      <c r="N156" s="1280">
        <f>I156*J156*L156</f>
        <v>120.76500000000001</v>
      </c>
      <c r="O156" s="1280"/>
      <c r="P156" s="1280">
        <v>17.38</v>
      </c>
      <c r="Q156" s="1280">
        <f t="shared" si="36"/>
        <v>2098895.7000000002</v>
      </c>
    </row>
    <row r="157" spans="1:17" x14ac:dyDescent="0.25">
      <c r="A157" s="1280"/>
      <c r="B157" s="1312"/>
      <c r="C157" s="1280"/>
      <c r="D157" s="1280"/>
      <c r="E157" s="1291"/>
      <c r="F157" s="1299" t="s">
        <v>474</v>
      </c>
      <c r="G157" s="1280">
        <f t="shared" si="34"/>
        <v>10</v>
      </c>
      <c r="H157" s="1280">
        <v>0</v>
      </c>
      <c r="I157" s="1280">
        <v>10</v>
      </c>
      <c r="J157" s="1280">
        <v>4.1500000000000004</v>
      </c>
      <c r="K157" s="1280">
        <f t="shared" si="35"/>
        <v>3.7350000000000003</v>
      </c>
      <c r="L157" s="1280">
        <v>0.1</v>
      </c>
      <c r="M157" s="1313"/>
      <c r="N157" s="1280">
        <f>I157*J157*L157</f>
        <v>4.1500000000000004</v>
      </c>
      <c r="O157" s="1280"/>
      <c r="P157" s="1280">
        <v>17.38</v>
      </c>
      <c r="Q157" s="1280">
        <f t="shared" si="36"/>
        <v>72127</v>
      </c>
    </row>
    <row r="158" spans="1:17" s="1305" customFormat="1" x14ac:dyDescent="0.25">
      <c r="A158" s="1304"/>
      <c r="B158" s="1312" t="s">
        <v>618</v>
      </c>
      <c r="C158" s="1304"/>
      <c r="D158" s="1304"/>
      <c r="E158" s="1314"/>
      <c r="F158" s="1307"/>
      <c r="G158" s="1304">
        <f>SUM(G159:G160)</f>
        <v>243.1</v>
      </c>
      <c r="H158" s="1304">
        <f t="shared" ref="H158:Q158" si="41">SUM(H159:H160)</f>
        <v>50</v>
      </c>
      <c r="I158" s="1304">
        <f t="shared" si="41"/>
        <v>193.1</v>
      </c>
      <c r="J158" s="1304">
        <f t="shared" si="41"/>
        <v>8.120000000000001</v>
      </c>
      <c r="K158" s="1304">
        <f t="shared" si="41"/>
        <v>3.7350000000000003</v>
      </c>
      <c r="L158" s="1304">
        <f t="shared" si="41"/>
        <v>1.1000000000000001</v>
      </c>
      <c r="M158" s="1304">
        <f t="shared" si="41"/>
        <v>0</v>
      </c>
      <c r="N158" s="1304">
        <f t="shared" si="41"/>
        <v>278.63650000000001</v>
      </c>
      <c r="O158" s="1304">
        <f t="shared" si="41"/>
        <v>0</v>
      </c>
      <c r="P158" s="1304">
        <f t="shared" si="41"/>
        <v>34.76</v>
      </c>
      <c r="Q158" s="1304">
        <f t="shared" si="41"/>
        <v>4842702.37</v>
      </c>
    </row>
    <row r="159" spans="1:17" x14ac:dyDescent="0.25">
      <c r="A159" s="1280"/>
      <c r="C159" s="1280" t="s">
        <v>713</v>
      </c>
      <c r="D159" s="1280"/>
      <c r="E159" s="1291"/>
      <c r="F159" s="1299" t="s">
        <v>586</v>
      </c>
      <c r="G159" s="1280">
        <f>SUM(H159:I159)</f>
        <v>193.1</v>
      </c>
      <c r="H159" s="1280">
        <v>0</v>
      </c>
      <c r="I159" s="1280">
        <v>193.1</v>
      </c>
      <c r="J159" s="1280">
        <v>4.1500000000000004</v>
      </c>
      <c r="K159" s="1280">
        <f t="shared" si="35"/>
        <v>3.7350000000000003</v>
      </c>
      <c r="L159" s="1280">
        <v>0.1</v>
      </c>
      <c r="M159" s="1313"/>
      <c r="N159" s="1280">
        <f>I159*J159*L159</f>
        <v>80.136500000000012</v>
      </c>
      <c r="O159" s="1280"/>
      <c r="P159" s="1280">
        <v>17.38</v>
      </c>
      <c r="Q159" s="1280">
        <f t="shared" si="36"/>
        <v>1392772.37</v>
      </c>
    </row>
    <row r="160" spans="1:17" x14ac:dyDescent="0.25">
      <c r="A160" s="1280"/>
      <c r="B160" s="1312"/>
      <c r="C160" s="1280"/>
      <c r="D160" s="1280"/>
      <c r="E160" s="1291"/>
      <c r="F160" s="1299" t="s">
        <v>990</v>
      </c>
      <c r="G160" s="1280">
        <f>SUM(H160:I160)</f>
        <v>50</v>
      </c>
      <c r="H160" s="1280">
        <v>50</v>
      </c>
      <c r="I160" s="1280"/>
      <c r="J160" s="1280">
        <v>3.97</v>
      </c>
      <c r="K160" s="1280">
        <f t="shared" si="35"/>
        <v>0</v>
      </c>
      <c r="L160" s="1280">
        <v>1</v>
      </c>
      <c r="M160" s="1313"/>
      <c r="N160" s="1280">
        <f>H160*J160*L160</f>
        <v>198.5</v>
      </c>
      <c r="O160" s="1280"/>
      <c r="P160" s="1280">
        <v>17.38</v>
      </c>
      <c r="Q160" s="1280">
        <f t="shared" si="36"/>
        <v>3449930</v>
      </c>
    </row>
    <row r="161" spans="1:17" x14ac:dyDescent="0.25">
      <c r="A161" s="1280"/>
      <c r="B161" s="1308" t="s">
        <v>475</v>
      </c>
      <c r="C161" s="1309"/>
      <c r="D161" s="1309"/>
      <c r="E161" s="1310"/>
      <c r="F161" s="1311"/>
      <c r="G161" s="1310">
        <f>SUM(G163:G182)</f>
        <v>15469</v>
      </c>
      <c r="H161" s="1310">
        <f>SUM(H163:H182)</f>
        <v>680</v>
      </c>
      <c r="I161" s="1310">
        <f>SUM(I163:I182)</f>
        <v>14789</v>
      </c>
      <c r="J161" s="1310"/>
      <c r="K161" s="1310"/>
      <c r="L161" s="1310"/>
      <c r="M161" s="1310"/>
      <c r="N161" s="1310">
        <f>SUM(N163:N182)</f>
        <v>5882.4175000000023</v>
      </c>
      <c r="O161" s="1310"/>
      <c r="P161" s="1310"/>
      <c r="Q161" s="1310">
        <f>SUM(Q163:Q182)</f>
        <v>102324416.15000001</v>
      </c>
    </row>
    <row r="162" spans="1:17" s="1305" customFormat="1" x14ac:dyDescent="0.25">
      <c r="A162" s="1304"/>
      <c r="B162" s="1312" t="s">
        <v>480</v>
      </c>
      <c r="C162" s="1315"/>
      <c r="D162" s="1315"/>
      <c r="E162" s="1316"/>
      <c r="F162" s="1317"/>
      <c r="G162" s="1316">
        <f>SUM(G163:G165)</f>
        <v>788</v>
      </c>
      <c r="H162" s="1316">
        <f t="shared" ref="H162:Q162" si="42">SUM(H163:H165)</f>
        <v>50</v>
      </c>
      <c r="I162" s="1316">
        <f t="shared" si="42"/>
        <v>738</v>
      </c>
      <c r="J162" s="1316">
        <f t="shared" si="42"/>
        <v>8.3000000000000007</v>
      </c>
      <c r="K162" s="1316">
        <f t="shared" si="42"/>
        <v>3.9425000000000003</v>
      </c>
      <c r="L162" s="1316">
        <f t="shared" si="42"/>
        <v>1.05</v>
      </c>
      <c r="M162" s="1316">
        <f t="shared" si="42"/>
        <v>0</v>
      </c>
      <c r="N162" s="1316">
        <f t="shared" si="42"/>
        <v>354.41000000000008</v>
      </c>
      <c r="O162" s="1316">
        <f t="shared" si="42"/>
        <v>2200</v>
      </c>
      <c r="P162" s="1316">
        <f t="shared" si="42"/>
        <v>52.14</v>
      </c>
      <c r="Q162" s="1316">
        <f t="shared" si="42"/>
        <v>6225645.8000000007</v>
      </c>
    </row>
    <row r="163" spans="1:17" x14ac:dyDescent="0.25">
      <c r="A163" s="1280"/>
      <c r="C163" s="1280" t="s">
        <v>713</v>
      </c>
      <c r="D163" s="1280"/>
      <c r="E163" s="1291"/>
      <c r="F163" s="1299" t="s">
        <v>539</v>
      </c>
      <c r="G163" s="1280">
        <f>SUM(H163:I163)</f>
        <v>708</v>
      </c>
      <c r="H163" s="1280"/>
      <c r="I163" s="1280">
        <v>708</v>
      </c>
      <c r="J163" s="1280">
        <v>4.1500000000000004</v>
      </c>
      <c r="K163" s="1280">
        <f>J163-(J163*L163)</f>
        <v>3.9425000000000003</v>
      </c>
      <c r="L163" s="1280">
        <v>0.05</v>
      </c>
      <c r="M163" s="1313"/>
      <c r="N163" s="1280">
        <f>I163*J163*L163</f>
        <v>146.91000000000003</v>
      </c>
      <c r="O163" s="1280"/>
      <c r="P163" s="1280">
        <v>17.38</v>
      </c>
      <c r="Q163" s="1280">
        <f>P163*N163*1000</f>
        <v>2553295.8000000003</v>
      </c>
    </row>
    <row r="164" spans="1:17" x14ac:dyDescent="0.25">
      <c r="A164" s="1280"/>
      <c r="B164" s="1312"/>
      <c r="C164" s="1280"/>
      <c r="D164" s="1280"/>
      <c r="E164" s="1291"/>
      <c r="F164" s="1299" t="s">
        <v>539</v>
      </c>
      <c r="G164" s="1280">
        <f>SUM(H164:I164)</f>
        <v>50</v>
      </c>
      <c r="H164" s="1280">
        <v>50</v>
      </c>
      <c r="I164" s="1280">
        <v>0</v>
      </c>
      <c r="J164" s="1280">
        <v>4.1500000000000004</v>
      </c>
      <c r="K164" s="1280">
        <f>J164-(J164*L164)</f>
        <v>0</v>
      </c>
      <c r="L164" s="1280">
        <v>1</v>
      </c>
      <c r="M164" s="1313"/>
      <c r="N164" s="1280">
        <f>L164*J164*H164</f>
        <v>207.50000000000003</v>
      </c>
      <c r="O164" s="1280"/>
      <c r="P164" s="1280">
        <v>17.38</v>
      </c>
      <c r="Q164" s="1280">
        <f>P164*N164*1000</f>
        <v>3606350.0000000005</v>
      </c>
    </row>
    <row r="165" spans="1:17" x14ac:dyDescent="0.25">
      <c r="A165" s="1280"/>
      <c r="B165" s="1312"/>
      <c r="C165" s="1280"/>
      <c r="D165" s="1280"/>
      <c r="E165" s="1291"/>
      <c r="F165" s="1299" t="s">
        <v>482</v>
      </c>
      <c r="G165" s="1280">
        <f>SUM(H165:I165)</f>
        <v>30</v>
      </c>
      <c r="H165" s="1280"/>
      <c r="I165" s="1280">
        <v>30</v>
      </c>
      <c r="J165" s="1280"/>
      <c r="K165" s="1280"/>
      <c r="L165" s="1280"/>
      <c r="M165" s="1313"/>
      <c r="N165" s="1280"/>
      <c r="O165" s="1280">
        <v>2200</v>
      </c>
      <c r="P165" s="1280">
        <v>17.38</v>
      </c>
      <c r="Q165" s="1280">
        <f>O165*G165</f>
        <v>66000</v>
      </c>
    </row>
    <row r="166" spans="1:17" s="1305" customFormat="1" x14ac:dyDescent="0.25">
      <c r="A166" s="1304"/>
      <c r="B166" s="1312" t="s">
        <v>483</v>
      </c>
      <c r="C166" s="1304"/>
      <c r="D166" s="1304"/>
      <c r="E166" s="1314"/>
      <c r="F166" s="1307"/>
      <c r="G166" s="1304">
        <f>SUM(G167:G168)</f>
        <v>1855</v>
      </c>
      <c r="H166" s="1304">
        <f t="shared" ref="H166:Q166" si="43">SUM(H167:H168)</f>
        <v>200</v>
      </c>
      <c r="I166" s="1304">
        <f t="shared" si="43"/>
        <v>1655</v>
      </c>
      <c r="J166" s="1304">
        <f t="shared" si="43"/>
        <v>8.3000000000000007</v>
      </c>
      <c r="K166" s="1304">
        <f t="shared" si="43"/>
        <v>3.9425000000000003</v>
      </c>
      <c r="L166" s="1304">
        <f t="shared" si="43"/>
        <v>1.05</v>
      </c>
      <c r="M166" s="1304">
        <f t="shared" si="43"/>
        <v>0</v>
      </c>
      <c r="N166" s="1304">
        <f t="shared" si="43"/>
        <v>1173.4125000000001</v>
      </c>
      <c r="O166" s="1304">
        <f t="shared" si="43"/>
        <v>0</v>
      </c>
      <c r="P166" s="1304">
        <f t="shared" si="43"/>
        <v>34.76</v>
      </c>
      <c r="Q166" s="1304">
        <f t="shared" si="43"/>
        <v>20393909.250000004</v>
      </c>
    </row>
    <row r="167" spans="1:17" x14ac:dyDescent="0.25">
      <c r="A167" s="1280"/>
      <c r="C167" s="1280" t="s">
        <v>713</v>
      </c>
      <c r="D167" s="1280"/>
      <c r="E167" s="1291"/>
      <c r="F167" s="1299" t="s">
        <v>990</v>
      </c>
      <c r="G167" s="1280">
        <f>SUM(H167:I167)</f>
        <v>1655</v>
      </c>
      <c r="H167" s="1280"/>
      <c r="I167" s="1280">
        <v>1655</v>
      </c>
      <c r="J167" s="1280">
        <v>4.1500000000000004</v>
      </c>
      <c r="K167" s="1280">
        <f>J167-(J167*L167)</f>
        <v>3.9425000000000003</v>
      </c>
      <c r="L167" s="1280">
        <v>0.05</v>
      </c>
      <c r="M167" s="1313"/>
      <c r="N167" s="1280">
        <f>I167*J167*L167</f>
        <v>343.41250000000008</v>
      </c>
      <c r="O167" s="1280"/>
      <c r="P167" s="1280">
        <v>17.38</v>
      </c>
      <c r="Q167" s="1280">
        <f>P167*N167*1000</f>
        <v>5968509.2500000009</v>
      </c>
    </row>
    <row r="168" spans="1:17" x14ac:dyDescent="0.25">
      <c r="A168" s="1280"/>
      <c r="B168" s="1312"/>
      <c r="C168" s="1280"/>
      <c r="D168" s="1280"/>
      <c r="E168" s="1291"/>
      <c r="F168" s="1299" t="s">
        <v>990</v>
      </c>
      <c r="G168" s="1280">
        <f>SUM(H168:I168)</f>
        <v>200</v>
      </c>
      <c r="H168" s="1280">
        <v>200</v>
      </c>
      <c r="I168" s="1280">
        <v>0</v>
      </c>
      <c r="J168" s="1280">
        <v>4.1500000000000004</v>
      </c>
      <c r="K168" s="1280">
        <f>J168-(J168*L168)</f>
        <v>0</v>
      </c>
      <c r="L168" s="1280">
        <v>1</v>
      </c>
      <c r="M168" s="1313"/>
      <c r="N168" s="1280">
        <f>L168*J168*H168</f>
        <v>830.00000000000011</v>
      </c>
      <c r="O168" s="1280"/>
      <c r="P168" s="1280">
        <v>17.38</v>
      </c>
      <c r="Q168" s="1280">
        <f>P168*N168*1000</f>
        <v>14425400.000000002</v>
      </c>
    </row>
    <row r="169" spans="1:17" x14ac:dyDescent="0.25">
      <c r="A169" s="1280"/>
      <c r="B169" s="1312"/>
      <c r="C169" s="1280"/>
      <c r="D169" s="1280"/>
      <c r="E169" s="1291"/>
      <c r="F169" s="1299"/>
      <c r="G169" s="1280"/>
      <c r="H169" s="1280"/>
      <c r="I169" s="1280"/>
      <c r="J169" s="1280"/>
      <c r="K169" s="1280"/>
      <c r="L169" s="1280"/>
      <c r="M169" s="1313"/>
      <c r="N169" s="1280"/>
      <c r="O169" s="1280"/>
      <c r="P169" s="1280"/>
      <c r="Q169" s="1280"/>
    </row>
    <row r="170" spans="1:17" x14ac:dyDescent="0.25">
      <c r="A170" s="1280"/>
      <c r="B170" s="1312" t="s">
        <v>488</v>
      </c>
      <c r="C170" s="1280"/>
      <c r="D170" s="1280"/>
      <c r="E170" s="1291"/>
      <c r="F170" s="1299" t="s">
        <v>776</v>
      </c>
      <c r="G170" s="1280">
        <v>10</v>
      </c>
      <c r="H170" s="1280"/>
      <c r="I170" s="1280">
        <v>10</v>
      </c>
      <c r="J170" s="1280"/>
      <c r="K170" s="1280"/>
      <c r="L170" s="1280"/>
      <c r="M170" s="1313"/>
      <c r="N170" s="1280"/>
      <c r="O170" s="1280">
        <v>2200</v>
      </c>
      <c r="P170" s="1280"/>
      <c r="Q170" s="1280">
        <f>O170*G170</f>
        <v>22000</v>
      </c>
    </row>
    <row r="171" spans="1:17" x14ac:dyDescent="0.25">
      <c r="A171" s="1280"/>
      <c r="B171" s="1312"/>
      <c r="C171" s="1280"/>
      <c r="D171" s="1280"/>
      <c r="E171" s="1291"/>
      <c r="F171" s="1299" t="s">
        <v>586</v>
      </c>
      <c r="G171" s="1280">
        <v>50</v>
      </c>
      <c r="H171" s="1280"/>
      <c r="I171" s="1280">
        <v>50</v>
      </c>
      <c r="J171" s="1280">
        <v>4.1500000000000004</v>
      </c>
      <c r="K171" s="1280">
        <f t="shared" ref="K171:K182" si="44">J171-(J171*L171)</f>
        <v>3.9425000000000003</v>
      </c>
      <c r="L171" s="1280">
        <v>0.05</v>
      </c>
      <c r="M171" s="1313"/>
      <c r="N171" s="1280">
        <f>I171*J171*L171</f>
        <v>10.375000000000002</v>
      </c>
      <c r="O171" s="1280"/>
      <c r="P171" s="1280">
        <v>17.38</v>
      </c>
      <c r="Q171" s="1280">
        <f t="shared" ref="Q171:Q182" si="45">P171*N171*1000</f>
        <v>180317.50000000003</v>
      </c>
    </row>
    <row r="172" spans="1:17" s="1305" customFormat="1" x14ac:dyDescent="0.25">
      <c r="A172" s="1304"/>
      <c r="B172" s="1312" t="s">
        <v>624</v>
      </c>
      <c r="C172" s="1304"/>
      <c r="D172" s="1304"/>
      <c r="E172" s="1314"/>
      <c r="F172" s="1307"/>
      <c r="G172" s="1304">
        <f>SUM(G173:G174)</f>
        <v>4319.5</v>
      </c>
      <c r="H172" s="1304">
        <f t="shared" ref="H172:Q172" si="46">SUM(H173:H174)</f>
        <v>85</v>
      </c>
      <c r="I172" s="1304">
        <f t="shared" si="46"/>
        <v>4234.5</v>
      </c>
      <c r="J172" s="1304">
        <f t="shared" si="46"/>
        <v>8.3000000000000007</v>
      </c>
      <c r="K172" s="1304">
        <f t="shared" si="46"/>
        <v>3.9425000000000003</v>
      </c>
      <c r="L172" s="1304">
        <f t="shared" si="46"/>
        <v>1.05</v>
      </c>
      <c r="M172" s="1304">
        <f t="shared" si="46"/>
        <v>0</v>
      </c>
      <c r="N172" s="1304">
        <f t="shared" si="46"/>
        <v>1231.4087500000003</v>
      </c>
      <c r="O172" s="1304">
        <f t="shared" si="46"/>
        <v>0</v>
      </c>
      <c r="P172" s="1304">
        <f t="shared" si="46"/>
        <v>34.76</v>
      </c>
      <c r="Q172" s="1304">
        <f t="shared" si="46"/>
        <v>21401884.075000003</v>
      </c>
    </row>
    <row r="173" spans="1:17" x14ac:dyDescent="0.25">
      <c r="A173" s="1280"/>
      <c r="C173" s="1280" t="s">
        <v>713</v>
      </c>
      <c r="D173" s="1280"/>
      <c r="E173" s="1291"/>
      <c r="F173" s="1299" t="s">
        <v>991</v>
      </c>
      <c r="G173" s="1280">
        <f t="shared" ref="G173:G182" si="47">SUM(H173:I173)</f>
        <v>4234.5</v>
      </c>
      <c r="H173" s="1280"/>
      <c r="I173" s="1280">
        <v>4234.5</v>
      </c>
      <c r="J173" s="1280">
        <v>4.1500000000000004</v>
      </c>
      <c r="K173" s="1280">
        <f t="shared" si="44"/>
        <v>3.9425000000000003</v>
      </c>
      <c r="L173" s="1280">
        <v>0.05</v>
      </c>
      <c r="M173" s="1313"/>
      <c r="N173" s="1280">
        <f>I173*J173*L173</f>
        <v>878.65875000000017</v>
      </c>
      <c r="O173" s="1280"/>
      <c r="P173" s="1280">
        <v>17.38</v>
      </c>
      <c r="Q173" s="1280">
        <f t="shared" si="45"/>
        <v>15271089.075000001</v>
      </c>
    </row>
    <row r="174" spans="1:17" x14ac:dyDescent="0.25">
      <c r="A174" s="1280"/>
      <c r="B174" s="1312"/>
      <c r="C174" s="1280"/>
      <c r="D174" s="1280"/>
      <c r="E174" s="1291"/>
      <c r="F174" s="1299" t="s">
        <v>991</v>
      </c>
      <c r="G174" s="1280">
        <f t="shared" si="47"/>
        <v>85</v>
      </c>
      <c r="H174" s="1280">
        <v>85</v>
      </c>
      <c r="I174" s="1280">
        <v>0</v>
      </c>
      <c r="J174" s="1280">
        <v>4.1500000000000004</v>
      </c>
      <c r="K174" s="1280">
        <f t="shared" si="44"/>
        <v>0</v>
      </c>
      <c r="L174" s="1280">
        <v>1</v>
      </c>
      <c r="M174" s="1313"/>
      <c r="N174" s="1280">
        <f>L174*J174*H174</f>
        <v>352.75000000000006</v>
      </c>
      <c r="O174" s="1280"/>
      <c r="P174" s="1280">
        <v>17.38</v>
      </c>
      <c r="Q174" s="1280">
        <f t="shared" si="45"/>
        <v>6130795.0000000009</v>
      </c>
    </row>
    <row r="175" spans="1:17" s="1305" customFormat="1" x14ac:dyDescent="0.25">
      <c r="A175" s="1304"/>
      <c r="B175" s="1312" t="s">
        <v>882</v>
      </c>
      <c r="C175" s="1304"/>
      <c r="D175" s="1304"/>
      <c r="E175" s="1314"/>
      <c r="F175" s="1307"/>
      <c r="G175" s="1304">
        <f>SUM(G176:G177)</f>
        <v>110</v>
      </c>
      <c r="H175" s="1304">
        <f t="shared" ref="H175:Q175" si="48">SUM(H176:H177)</f>
        <v>10</v>
      </c>
      <c r="I175" s="1304">
        <f t="shared" si="48"/>
        <v>100</v>
      </c>
      <c r="J175" s="1304">
        <f t="shared" si="48"/>
        <v>8.3000000000000007</v>
      </c>
      <c r="K175" s="1304">
        <f t="shared" si="48"/>
        <v>3.9425000000000003</v>
      </c>
      <c r="L175" s="1304">
        <f t="shared" si="48"/>
        <v>1.05</v>
      </c>
      <c r="M175" s="1304">
        <f t="shared" si="48"/>
        <v>0</v>
      </c>
      <c r="N175" s="1304">
        <f t="shared" si="48"/>
        <v>62.25</v>
      </c>
      <c r="O175" s="1304">
        <f t="shared" si="48"/>
        <v>0</v>
      </c>
      <c r="P175" s="1304">
        <f t="shared" si="48"/>
        <v>34.76</v>
      </c>
      <c r="Q175" s="1304">
        <f t="shared" si="48"/>
        <v>1081905</v>
      </c>
    </row>
    <row r="176" spans="1:17" x14ac:dyDescent="0.25">
      <c r="A176" s="1280"/>
      <c r="C176" s="1280" t="s">
        <v>716</v>
      </c>
      <c r="D176" s="1280"/>
      <c r="E176" s="1291"/>
      <c r="F176" s="1299" t="s">
        <v>539</v>
      </c>
      <c r="G176" s="1280">
        <f t="shared" si="47"/>
        <v>100</v>
      </c>
      <c r="H176" s="1280"/>
      <c r="I176" s="1280">
        <v>100</v>
      </c>
      <c r="J176" s="1280">
        <v>4.1500000000000004</v>
      </c>
      <c r="K176" s="1280">
        <f t="shared" si="44"/>
        <v>3.9425000000000003</v>
      </c>
      <c r="L176" s="1280">
        <v>0.05</v>
      </c>
      <c r="M176" s="1313"/>
      <c r="N176" s="1280">
        <f>I176*J176*L176</f>
        <v>20.750000000000004</v>
      </c>
      <c r="O176" s="1280"/>
      <c r="P176" s="1280">
        <v>17.38</v>
      </c>
      <c r="Q176" s="1280">
        <f t="shared" si="45"/>
        <v>360635.00000000006</v>
      </c>
    </row>
    <row r="177" spans="1:17" x14ac:dyDescent="0.25">
      <c r="A177" s="1280"/>
      <c r="B177" s="1312"/>
      <c r="C177" s="1280"/>
      <c r="D177" s="1280"/>
      <c r="E177" s="1291"/>
      <c r="F177" s="1299" t="s">
        <v>586</v>
      </c>
      <c r="G177" s="1280">
        <f t="shared" si="47"/>
        <v>10</v>
      </c>
      <c r="H177" s="1280">
        <v>10</v>
      </c>
      <c r="I177" s="1280"/>
      <c r="J177" s="1280">
        <v>4.1500000000000004</v>
      </c>
      <c r="K177" s="1280">
        <f t="shared" si="44"/>
        <v>0</v>
      </c>
      <c r="L177" s="1280">
        <v>1</v>
      </c>
      <c r="M177" s="1313"/>
      <c r="N177" s="1280">
        <f>H177*J177*L177</f>
        <v>41.5</v>
      </c>
      <c r="O177" s="1280"/>
      <c r="P177" s="1280">
        <v>17.38</v>
      </c>
      <c r="Q177" s="1280">
        <f t="shared" si="45"/>
        <v>721270</v>
      </c>
    </row>
    <row r="178" spans="1:17" x14ac:dyDescent="0.25">
      <c r="A178" s="1280"/>
      <c r="B178" s="1312" t="s">
        <v>486</v>
      </c>
      <c r="C178" s="1280" t="s">
        <v>716</v>
      </c>
      <c r="D178" s="1280"/>
      <c r="E178" s="1291"/>
      <c r="F178" s="1299" t="s">
        <v>539</v>
      </c>
      <c r="G178" s="1280">
        <f t="shared" si="47"/>
        <v>152</v>
      </c>
      <c r="H178" s="1280"/>
      <c r="I178" s="1280">
        <v>152</v>
      </c>
      <c r="J178" s="1280">
        <v>4.1500000000000004</v>
      </c>
      <c r="K178" s="1280">
        <f t="shared" si="44"/>
        <v>3.9425000000000003</v>
      </c>
      <c r="L178" s="1280">
        <v>0.05</v>
      </c>
      <c r="M178" s="1313"/>
      <c r="N178" s="1280">
        <f>I178*J178*L178</f>
        <v>31.540000000000006</v>
      </c>
      <c r="O178" s="1280"/>
      <c r="P178" s="1280">
        <v>17.38</v>
      </c>
      <c r="Q178" s="1280">
        <f t="shared" si="45"/>
        <v>548165.20000000007</v>
      </c>
    </row>
    <row r="179" spans="1:17" s="1305" customFormat="1" x14ac:dyDescent="0.25">
      <c r="A179" s="1304"/>
      <c r="B179" s="1312" t="s">
        <v>623</v>
      </c>
      <c r="C179" s="1304"/>
      <c r="D179" s="1304"/>
      <c r="E179" s="1314"/>
      <c r="F179" s="1307"/>
      <c r="G179" s="1304">
        <f>SUM(G180:G182)</f>
        <v>950</v>
      </c>
      <c r="H179" s="1304">
        <f t="shared" ref="H179:Q179" si="49">SUM(H180:H182)</f>
        <v>20</v>
      </c>
      <c r="I179" s="1304">
        <f t="shared" si="49"/>
        <v>930</v>
      </c>
      <c r="J179" s="1304">
        <f t="shared" si="49"/>
        <v>12.450000000000001</v>
      </c>
      <c r="K179" s="1304">
        <f t="shared" si="49"/>
        <v>7.8850000000000007</v>
      </c>
      <c r="L179" s="1304">
        <f t="shared" si="49"/>
        <v>1.1000000000000001</v>
      </c>
      <c r="M179" s="1304">
        <f t="shared" si="49"/>
        <v>0</v>
      </c>
      <c r="N179" s="1304">
        <f t="shared" si="49"/>
        <v>275.97500000000002</v>
      </c>
      <c r="O179" s="1304">
        <f t="shared" si="49"/>
        <v>0</v>
      </c>
      <c r="P179" s="1304">
        <f t="shared" si="49"/>
        <v>52.14</v>
      </c>
      <c r="Q179" s="1304">
        <f t="shared" si="49"/>
        <v>4796445.5</v>
      </c>
    </row>
    <row r="180" spans="1:17" x14ac:dyDescent="0.25">
      <c r="A180" s="1280"/>
      <c r="C180" s="1280" t="s">
        <v>713</v>
      </c>
      <c r="D180" s="1280"/>
      <c r="E180" s="1291"/>
      <c r="F180" s="1299" t="s">
        <v>539</v>
      </c>
      <c r="G180" s="1280">
        <f t="shared" si="47"/>
        <v>505</v>
      </c>
      <c r="H180" s="1280"/>
      <c r="I180" s="1280">
        <v>505</v>
      </c>
      <c r="J180" s="1280">
        <v>4.1500000000000004</v>
      </c>
      <c r="K180" s="1280">
        <f t="shared" si="44"/>
        <v>3.9425000000000003</v>
      </c>
      <c r="L180" s="1280">
        <v>0.05</v>
      </c>
      <c r="M180" s="1313"/>
      <c r="N180" s="1280">
        <f>I180*J180*L180</f>
        <v>104.78750000000001</v>
      </c>
      <c r="O180" s="1280"/>
      <c r="P180" s="1280">
        <v>17.38</v>
      </c>
      <c r="Q180" s="1280">
        <f t="shared" si="45"/>
        <v>1821206.75</v>
      </c>
    </row>
    <row r="181" spans="1:17" x14ac:dyDescent="0.25">
      <c r="A181" s="1280"/>
      <c r="B181" s="1312"/>
      <c r="C181" s="1280"/>
      <c r="D181" s="1280"/>
      <c r="E181" s="1291"/>
      <c r="F181" s="1299" t="s">
        <v>586</v>
      </c>
      <c r="G181" s="1280">
        <f t="shared" si="47"/>
        <v>20</v>
      </c>
      <c r="H181" s="1280">
        <v>20</v>
      </c>
      <c r="I181" s="1280"/>
      <c r="J181" s="1280">
        <v>4.1500000000000004</v>
      </c>
      <c r="K181" s="1280">
        <f t="shared" si="44"/>
        <v>0</v>
      </c>
      <c r="L181" s="1280">
        <v>1</v>
      </c>
      <c r="M181" s="1313"/>
      <c r="N181" s="1280">
        <f>H181*J181*L181</f>
        <v>83</v>
      </c>
      <c r="O181" s="1280"/>
      <c r="P181" s="1280">
        <v>17.38</v>
      </c>
      <c r="Q181" s="1280">
        <f t="shared" si="45"/>
        <v>1442540</v>
      </c>
    </row>
    <row r="182" spans="1:17" x14ac:dyDescent="0.25">
      <c r="A182" s="1280"/>
      <c r="B182" s="1312"/>
      <c r="C182" s="1280"/>
      <c r="D182" s="1280"/>
      <c r="E182" s="1291"/>
      <c r="F182" s="1299" t="s">
        <v>586</v>
      </c>
      <c r="G182" s="1280">
        <f t="shared" si="47"/>
        <v>425</v>
      </c>
      <c r="H182" s="1280"/>
      <c r="I182" s="1280">
        <v>425</v>
      </c>
      <c r="J182" s="1280">
        <v>4.1500000000000004</v>
      </c>
      <c r="K182" s="1280">
        <f t="shared" si="44"/>
        <v>3.9425000000000003</v>
      </c>
      <c r="L182" s="1280">
        <v>0.05</v>
      </c>
      <c r="M182" s="1313"/>
      <c r="N182" s="1280">
        <f>I182*J182*L182</f>
        <v>88.187500000000014</v>
      </c>
      <c r="O182" s="1280"/>
      <c r="P182" s="1280">
        <v>17.38</v>
      </c>
      <c r="Q182" s="1280">
        <f t="shared" si="45"/>
        <v>1532698.7500000002</v>
      </c>
    </row>
    <row r="183" spans="1:17" x14ac:dyDescent="0.25">
      <c r="A183" s="1280"/>
      <c r="B183" s="1308" t="s">
        <v>489</v>
      </c>
      <c r="C183" s="1280"/>
      <c r="D183" s="1280"/>
      <c r="E183" s="1291"/>
      <c r="F183" s="1299"/>
      <c r="G183" s="1279">
        <f>SUM(G184:G199)</f>
        <v>4388</v>
      </c>
      <c r="H183" s="1279">
        <f>SUM(H184:H199)</f>
        <v>1596</v>
      </c>
      <c r="I183" s="1279">
        <f>SUM(I184:I199)</f>
        <v>2792</v>
      </c>
      <c r="J183" s="1279"/>
      <c r="K183" s="1279"/>
      <c r="L183" s="1279"/>
      <c r="M183" s="1279">
        <f>SUM(M184:M195)</f>
        <v>0</v>
      </c>
      <c r="N183" s="1279">
        <f>SUM(N184:N199)</f>
        <v>7346.5374999999995</v>
      </c>
      <c r="O183" s="1279"/>
      <c r="P183" s="1279"/>
      <c r="Q183" s="1279">
        <f>SUM(Q184:Q199)</f>
        <v>127682821.75</v>
      </c>
    </row>
    <row r="184" spans="1:17" x14ac:dyDescent="0.25">
      <c r="A184" s="1280"/>
      <c r="B184" s="1312" t="s">
        <v>628</v>
      </c>
      <c r="C184" s="1280" t="s">
        <v>713</v>
      </c>
      <c r="D184" s="1280"/>
      <c r="E184" s="1291"/>
      <c r="F184" s="1299" t="s">
        <v>539</v>
      </c>
      <c r="G184" s="1280">
        <f t="shared" ref="G184:G198" si="50">SUM(H184:I184)</f>
        <v>59</v>
      </c>
      <c r="H184" s="1280"/>
      <c r="I184" s="1280">
        <v>59</v>
      </c>
      <c r="J184" s="1280">
        <v>4.1500000000000004</v>
      </c>
      <c r="K184" s="1280">
        <f t="shared" ref="K184:K198" si="51">J184-(J184*L184)</f>
        <v>3.9425000000000003</v>
      </c>
      <c r="L184" s="1280">
        <v>0.05</v>
      </c>
      <c r="M184" s="1313"/>
      <c r="N184" s="1280">
        <f t="shared" ref="N184:N198" si="52">I184*J184*L184</f>
        <v>12.242500000000001</v>
      </c>
      <c r="O184" s="1280"/>
      <c r="P184" s="1280">
        <v>17.38</v>
      </c>
      <c r="Q184" s="1280">
        <f t="shared" ref="Q184:Q198" si="53">P184*N184*1000</f>
        <v>212774.65</v>
      </c>
    </row>
    <row r="185" spans="1:17" s="1305" customFormat="1" x14ac:dyDescent="0.25">
      <c r="A185" s="1304"/>
      <c r="B185" s="1312" t="s">
        <v>627</v>
      </c>
      <c r="C185" s="1304"/>
      <c r="D185" s="1304"/>
      <c r="E185" s="1314"/>
      <c r="F185" s="1307"/>
      <c r="G185" s="1304">
        <f>SUM(G186:G187)</f>
        <v>402</v>
      </c>
      <c r="H185" s="1304">
        <f t="shared" ref="H185:Q185" si="54">SUM(H186:H187)</f>
        <v>185</v>
      </c>
      <c r="I185" s="1304">
        <f t="shared" si="54"/>
        <v>217</v>
      </c>
      <c r="J185" s="1304">
        <f t="shared" si="54"/>
        <v>8.3000000000000007</v>
      </c>
      <c r="K185" s="1304">
        <f t="shared" si="54"/>
        <v>3.9425000000000003</v>
      </c>
      <c r="L185" s="1304">
        <f t="shared" si="54"/>
        <v>1.05</v>
      </c>
      <c r="M185" s="1304">
        <f t="shared" si="54"/>
        <v>0</v>
      </c>
      <c r="N185" s="1304">
        <f t="shared" si="54"/>
        <v>812.77750000000015</v>
      </c>
      <c r="O185" s="1304">
        <f t="shared" si="54"/>
        <v>0</v>
      </c>
      <c r="P185" s="1304">
        <f t="shared" si="54"/>
        <v>34.76</v>
      </c>
      <c r="Q185" s="1304">
        <f t="shared" si="54"/>
        <v>14126072.949999999</v>
      </c>
    </row>
    <row r="186" spans="1:17" x14ac:dyDescent="0.25">
      <c r="A186" s="1280"/>
      <c r="C186" s="1280" t="s">
        <v>713</v>
      </c>
      <c r="D186" s="1280"/>
      <c r="E186" s="1291"/>
      <c r="F186" s="1299" t="s">
        <v>586</v>
      </c>
      <c r="G186" s="1280">
        <f t="shared" si="50"/>
        <v>217</v>
      </c>
      <c r="H186" s="1280"/>
      <c r="I186" s="1280">
        <v>217</v>
      </c>
      <c r="J186" s="1280">
        <v>4.1500000000000004</v>
      </c>
      <c r="K186" s="1280">
        <f t="shared" si="51"/>
        <v>3.9425000000000003</v>
      </c>
      <c r="L186" s="1280">
        <v>0.05</v>
      </c>
      <c r="M186" s="1313"/>
      <c r="N186" s="1280">
        <f t="shared" si="52"/>
        <v>45.027500000000003</v>
      </c>
      <c r="O186" s="1280"/>
      <c r="P186" s="1280">
        <v>17.38</v>
      </c>
      <c r="Q186" s="1280">
        <f t="shared" si="53"/>
        <v>782577.95</v>
      </c>
    </row>
    <row r="187" spans="1:17" x14ac:dyDescent="0.25">
      <c r="A187" s="1280"/>
      <c r="B187" s="1312"/>
      <c r="C187" s="1280"/>
      <c r="D187" s="1280"/>
      <c r="E187" s="1291"/>
      <c r="F187" s="1299" t="s">
        <v>586</v>
      </c>
      <c r="G187" s="1280">
        <f t="shared" si="50"/>
        <v>185</v>
      </c>
      <c r="H187" s="1280">
        <v>185</v>
      </c>
      <c r="I187" s="1280"/>
      <c r="J187" s="1280">
        <v>4.1500000000000004</v>
      </c>
      <c r="K187" s="1280">
        <f t="shared" si="51"/>
        <v>0</v>
      </c>
      <c r="L187" s="1280">
        <v>1</v>
      </c>
      <c r="M187" s="1313"/>
      <c r="N187" s="1280">
        <f>H187*J187*L187</f>
        <v>767.75000000000011</v>
      </c>
      <c r="O187" s="1280"/>
      <c r="P187" s="1280">
        <v>17.38</v>
      </c>
      <c r="Q187" s="1280">
        <f>P187*N187*1000</f>
        <v>13343495</v>
      </c>
    </row>
    <row r="188" spans="1:17" s="1305" customFormat="1" x14ac:dyDescent="0.25">
      <c r="A188" s="1304"/>
      <c r="B188" s="1312" t="s">
        <v>629</v>
      </c>
      <c r="C188" s="1304"/>
      <c r="D188" s="1304"/>
      <c r="E188" s="1314"/>
      <c r="F188" s="1307"/>
      <c r="G188" s="1304">
        <f>SUM(G189:G190)</f>
        <v>73.5</v>
      </c>
      <c r="H188" s="1304">
        <f t="shared" ref="H188:Q188" si="55">SUM(H189:H190)</f>
        <v>68</v>
      </c>
      <c r="I188" s="1304">
        <f t="shared" si="55"/>
        <v>5.5</v>
      </c>
      <c r="J188" s="1304">
        <f t="shared" si="55"/>
        <v>8.3000000000000007</v>
      </c>
      <c r="K188" s="1304">
        <f t="shared" si="55"/>
        <v>3.9425000000000003</v>
      </c>
      <c r="L188" s="1304">
        <f t="shared" si="55"/>
        <v>1.05</v>
      </c>
      <c r="M188" s="1304">
        <f t="shared" si="55"/>
        <v>0</v>
      </c>
      <c r="N188" s="1304">
        <f t="shared" si="55"/>
        <v>283.34125000000006</v>
      </c>
      <c r="O188" s="1304">
        <f t="shared" si="55"/>
        <v>0</v>
      </c>
      <c r="P188" s="1304">
        <f t="shared" si="55"/>
        <v>34.76</v>
      </c>
      <c r="Q188" s="1304">
        <f t="shared" si="55"/>
        <v>4924470.9249999998</v>
      </c>
    </row>
    <row r="189" spans="1:17" x14ac:dyDescent="0.25">
      <c r="A189" s="1280"/>
      <c r="C189" s="1280" t="s">
        <v>713</v>
      </c>
      <c r="D189" s="1280"/>
      <c r="E189" s="1291"/>
      <c r="F189" s="1299" t="s">
        <v>586</v>
      </c>
      <c r="G189" s="1280">
        <f t="shared" si="50"/>
        <v>5.5</v>
      </c>
      <c r="H189" s="1280"/>
      <c r="I189" s="1280">
        <v>5.5</v>
      </c>
      <c r="J189" s="1280">
        <v>4.1500000000000004</v>
      </c>
      <c r="K189" s="1280">
        <f t="shared" si="51"/>
        <v>3.9425000000000003</v>
      </c>
      <c r="L189" s="1280">
        <v>0.05</v>
      </c>
      <c r="M189" s="1313"/>
      <c r="N189" s="1280">
        <f t="shared" si="52"/>
        <v>1.1412500000000001</v>
      </c>
      <c r="O189" s="1280"/>
      <c r="P189" s="1280">
        <v>17.38</v>
      </c>
      <c r="Q189" s="1280">
        <f t="shared" si="53"/>
        <v>19834.925000000003</v>
      </c>
    </row>
    <row r="190" spans="1:17" x14ac:dyDescent="0.25">
      <c r="A190" s="1280"/>
      <c r="B190" s="1312"/>
      <c r="C190" s="1280"/>
      <c r="D190" s="1280"/>
      <c r="E190" s="1291"/>
      <c r="F190" s="1299" t="s">
        <v>586</v>
      </c>
      <c r="G190" s="1280">
        <f>SUM(H190:I190)</f>
        <v>68</v>
      </c>
      <c r="H190" s="1280">
        <v>68</v>
      </c>
      <c r="I190" s="1280"/>
      <c r="J190" s="1280">
        <v>4.1500000000000004</v>
      </c>
      <c r="K190" s="1280">
        <f>J190-(J190*L190)</f>
        <v>0</v>
      </c>
      <c r="L190" s="1280">
        <v>1</v>
      </c>
      <c r="M190" s="1313"/>
      <c r="N190" s="1280">
        <f>H190*J190*L190</f>
        <v>282.20000000000005</v>
      </c>
      <c r="O190" s="1280"/>
      <c r="P190" s="1280">
        <v>17.38</v>
      </c>
      <c r="Q190" s="1280">
        <f>P190*N190*1000</f>
        <v>4904636</v>
      </c>
    </row>
    <row r="191" spans="1:17" s="1305" customFormat="1" x14ac:dyDescent="0.25">
      <c r="A191" s="1304"/>
      <c r="B191" s="1312" t="s">
        <v>631</v>
      </c>
      <c r="C191" s="1304"/>
      <c r="D191" s="1304"/>
      <c r="E191" s="1314"/>
      <c r="F191" s="1307"/>
      <c r="G191" s="1304">
        <f>SUM(G192:G193)</f>
        <v>441</v>
      </c>
      <c r="H191" s="1304">
        <f t="shared" ref="H191:Q191" si="56">SUM(H192:H193)</f>
        <v>197</v>
      </c>
      <c r="I191" s="1304">
        <f t="shared" si="56"/>
        <v>244</v>
      </c>
      <c r="J191" s="1304">
        <f t="shared" si="56"/>
        <v>8.3000000000000007</v>
      </c>
      <c r="K191" s="1304">
        <f t="shared" si="56"/>
        <v>3.9425000000000003</v>
      </c>
      <c r="L191" s="1304">
        <f t="shared" si="56"/>
        <v>1.05</v>
      </c>
      <c r="M191" s="1304">
        <f t="shared" si="56"/>
        <v>0</v>
      </c>
      <c r="N191" s="1304">
        <f t="shared" si="56"/>
        <v>868.18000000000006</v>
      </c>
      <c r="O191" s="1304">
        <f t="shared" si="56"/>
        <v>0</v>
      </c>
      <c r="P191" s="1304">
        <f t="shared" si="56"/>
        <v>34.76</v>
      </c>
      <c r="Q191" s="1304">
        <f t="shared" si="56"/>
        <v>15088968.4</v>
      </c>
    </row>
    <row r="192" spans="1:17" x14ac:dyDescent="0.25">
      <c r="A192" s="1280"/>
      <c r="C192" s="1280" t="s">
        <v>713</v>
      </c>
      <c r="D192" s="1280"/>
      <c r="E192" s="1291"/>
      <c r="F192" s="1299" t="s">
        <v>539</v>
      </c>
      <c r="G192" s="1280">
        <f t="shared" si="50"/>
        <v>244</v>
      </c>
      <c r="H192" s="1280"/>
      <c r="I192" s="1280">
        <v>244</v>
      </c>
      <c r="J192" s="1280">
        <v>4.1500000000000004</v>
      </c>
      <c r="K192" s="1280">
        <f t="shared" si="51"/>
        <v>3.9425000000000003</v>
      </c>
      <c r="L192" s="1280">
        <v>0.05</v>
      </c>
      <c r="M192" s="1313"/>
      <c r="N192" s="1280">
        <f t="shared" si="52"/>
        <v>50.63000000000001</v>
      </c>
      <c r="O192" s="1280"/>
      <c r="P192" s="1280">
        <v>17.38</v>
      </c>
      <c r="Q192" s="1280">
        <f t="shared" si="53"/>
        <v>879949.40000000014</v>
      </c>
    </row>
    <row r="193" spans="1:17" x14ac:dyDescent="0.25">
      <c r="A193" s="1280"/>
      <c r="B193" s="1312"/>
      <c r="C193" s="1280"/>
      <c r="D193" s="1280"/>
      <c r="E193" s="1291"/>
      <c r="F193" s="1299" t="s">
        <v>539</v>
      </c>
      <c r="G193" s="1280">
        <f t="shared" si="50"/>
        <v>197</v>
      </c>
      <c r="H193" s="1280">
        <v>197</v>
      </c>
      <c r="I193" s="1280"/>
      <c r="J193" s="1280">
        <v>4.1500000000000004</v>
      </c>
      <c r="K193" s="1280">
        <f t="shared" si="51"/>
        <v>0</v>
      </c>
      <c r="L193" s="1280">
        <v>1</v>
      </c>
      <c r="M193" s="1313"/>
      <c r="N193" s="1280">
        <f>H193*J193*L193</f>
        <v>817.55000000000007</v>
      </c>
      <c r="O193" s="1280"/>
      <c r="P193" s="1280">
        <v>17.38</v>
      </c>
      <c r="Q193" s="1280">
        <f>P193*N193*1000</f>
        <v>14209019</v>
      </c>
    </row>
    <row r="194" spans="1:17" s="1305" customFormat="1" x14ac:dyDescent="0.25">
      <c r="A194" s="1304"/>
      <c r="B194" s="1312" t="s">
        <v>772</v>
      </c>
      <c r="C194" s="1304"/>
      <c r="D194" s="1304"/>
      <c r="E194" s="1314"/>
      <c r="F194" s="1307"/>
      <c r="G194" s="1304">
        <f>SUM(G195:G196)</f>
        <v>1034.5</v>
      </c>
      <c r="H194" s="1304">
        <f t="shared" ref="H194:Q194" si="57">SUM(H195:H196)</f>
        <v>250</v>
      </c>
      <c r="I194" s="1304">
        <f t="shared" si="57"/>
        <v>784.5</v>
      </c>
      <c r="J194" s="1304">
        <f t="shared" si="57"/>
        <v>8.3000000000000007</v>
      </c>
      <c r="K194" s="1304">
        <f t="shared" si="57"/>
        <v>3.9425000000000003</v>
      </c>
      <c r="L194" s="1304">
        <f t="shared" si="57"/>
        <v>1.05</v>
      </c>
      <c r="M194" s="1304">
        <f t="shared" si="57"/>
        <v>0</v>
      </c>
      <c r="N194" s="1304">
        <f t="shared" si="57"/>
        <v>1200.2837500000001</v>
      </c>
      <c r="O194" s="1304">
        <f t="shared" si="57"/>
        <v>0</v>
      </c>
      <c r="P194" s="1304">
        <f t="shared" si="57"/>
        <v>34.76</v>
      </c>
      <c r="Q194" s="1304">
        <f t="shared" si="57"/>
        <v>20860931.574999999</v>
      </c>
    </row>
    <row r="195" spans="1:17" x14ac:dyDescent="0.25">
      <c r="A195" s="1280"/>
      <c r="C195" s="1280" t="s">
        <v>713</v>
      </c>
      <c r="D195" s="1280"/>
      <c r="E195" s="1291"/>
      <c r="F195" s="1299" t="s">
        <v>539</v>
      </c>
      <c r="G195" s="1280">
        <f t="shared" si="50"/>
        <v>784.5</v>
      </c>
      <c r="H195" s="1280"/>
      <c r="I195" s="1280">
        <f>724.5+60</f>
        <v>784.5</v>
      </c>
      <c r="J195" s="1280">
        <v>4.1500000000000004</v>
      </c>
      <c r="K195" s="1280">
        <f t="shared" si="51"/>
        <v>3.9425000000000003</v>
      </c>
      <c r="L195" s="1280">
        <v>0.05</v>
      </c>
      <c r="M195" s="1313"/>
      <c r="N195" s="1280">
        <f t="shared" si="52"/>
        <v>162.78375000000003</v>
      </c>
      <c r="O195" s="1280"/>
      <c r="P195" s="1280">
        <v>17.38</v>
      </c>
      <c r="Q195" s="1280">
        <f t="shared" si="53"/>
        <v>2829181.5750000002</v>
      </c>
    </row>
    <row r="196" spans="1:17" x14ac:dyDescent="0.25">
      <c r="A196" s="1280"/>
      <c r="B196" s="1312"/>
      <c r="C196" s="1280"/>
      <c r="D196" s="1280"/>
      <c r="E196" s="1291"/>
      <c r="F196" s="1299" t="s">
        <v>539</v>
      </c>
      <c r="G196" s="1280">
        <f t="shared" si="50"/>
        <v>250</v>
      </c>
      <c r="H196" s="1280">
        <v>250</v>
      </c>
      <c r="I196" s="1280"/>
      <c r="J196" s="1280">
        <v>4.1500000000000004</v>
      </c>
      <c r="K196" s="1280">
        <f t="shared" si="51"/>
        <v>0</v>
      </c>
      <c r="L196" s="1280">
        <v>1</v>
      </c>
      <c r="M196" s="1313"/>
      <c r="N196" s="1280">
        <f>H196*J196*L196</f>
        <v>1037.5</v>
      </c>
      <c r="O196" s="1280"/>
      <c r="P196" s="1280">
        <v>17.38</v>
      </c>
      <c r="Q196" s="1280">
        <f>P196*N196*1000</f>
        <v>18031750</v>
      </c>
    </row>
    <row r="197" spans="1:17" s="1305" customFormat="1" x14ac:dyDescent="0.25">
      <c r="A197" s="1304"/>
      <c r="B197" s="1312" t="s">
        <v>911</v>
      </c>
      <c r="C197" s="1304"/>
      <c r="D197" s="1304"/>
      <c r="E197" s="1314"/>
      <c r="F197" s="1307"/>
      <c r="G197" s="1304">
        <f>SUM(G198:G199)</f>
        <v>213.5</v>
      </c>
      <c r="H197" s="1304">
        <f t="shared" ref="H197:Q197" si="58">SUM(H198:H199)</f>
        <v>98</v>
      </c>
      <c r="I197" s="1304">
        <f t="shared" si="58"/>
        <v>115.5</v>
      </c>
      <c r="J197" s="1304">
        <f t="shared" si="58"/>
        <v>8.3000000000000007</v>
      </c>
      <c r="K197" s="1304">
        <f t="shared" si="58"/>
        <v>3.3200000000000003</v>
      </c>
      <c r="L197" s="1304">
        <f t="shared" si="58"/>
        <v>1.2</v>
      </c>
      <c r="M197" s="1304">
        <f t="shared" si="58"/>
        <v>0</v>
      </c>
      <c r="N197" s="1304">
        <f t="shared" si="58"/>
        <v>502.56500000000005</v>
      </c>
      <c r="O197" s="1304">
        <f t="shared" si="58"/>
        <v>0</v>
      </c>
      <c r="P197" s="1304">
        <f t="shared" si="58"/>
        <v>34.76</v>
      </c>
      <c r="Q197" s="1304">
        <f t="shared" si="58"/>
        <v>8734579.7000000011</v>
      </c>
    </row>
    <row r="198" spans="1:17" x14ac:dyDescent="0.25">
      <c r="A198" s="1280"/>
      <c r="C198" s="1280" t="s">
        <v>716</v>
      </c>
      <c r="D198" s="1280"/>
      <c r="E198" s="1291"/>
      <c r="F198" s="1299" t="s">
        <v>539</v>
      </c>
      <c r="G198" s="1280">
        <f t="shared" si="50"/>
        <v>115.5</v>
      </c>
      <c r="H198" s="1280"/>
      <c r="I198" s="1280">
        <v>115.5</v>
      </c>
      <c r="J198" s="1280">
        <v>4.1500000000000004</v>
      </c>
      <c r="K198" s="1280">
        <f t="shared" si="51"/>
        <v>3.3200000000000003</v>
      </c>
      <c r="L198" s="1280">
        <v>0.2</v>
      </c>
      <c r="M198" s="1313"/>
      <c r="N198" s="1280">
        <f t="shared" si="52"/>
        <v>95.865000000000009</v>
      </c>
      <c r="O198" s="1280"/>
      <c r="P198" s="1280">
        <v>17.38</v>
      </c>
      <c r="Q198" s="1280">
        <f t="shared" si="53"/>
        <v>1666133.7000000002</v>
      </c>
    </row>
    <row r="199" spans="1:17" x14ac:dyDescent="0.25">
      <c r="A199" s="1280"/>
      <c r="B199" s="1312"/>
      <c r="C199" s="1280"/>
      <c r="D199" s="1280"/>
      <c r="E199" s="1291"/>
      <c r="F199" s="1299" t="s">
        <v>539</v>
      </c>
      <c r="G199" s="1280">
        <f>SUM(H199:I199)</f>
        <v>98</v>
      </c>
      <c r="H199" s="1280">
        <v>98</v>
      </c>
      <c r="I199" s="1280"/>
      <c r="J199" s="1280">
        <v>4.1500000000000004</v>
      </c>
      <c r="K199" s="1280">
        <f>J199-(J199*L199)</f>
        <v>0</v>
      </c>
      <c r="L199" s="1280">
        <v>1</v>
      </c>
      <c r="M199" s="1313"/>
      <c r="N199" s="1280">
        <f>H199*J199*L199</f>
        <v>406.70000000000005</v>
      </c>
      <c r="O199" s="1280"/>
      <c r="P199" s="1280">
        <v>17.38</v>
      </c>
      <c r="Q199" s="1280">
        <f>P199*N199*1000</f>
        <v>7068446.0000000009</v>
      </c>
    </row>
    <row r="200" spans="1:17" x14ac:dyDescent="0.25">
      <c r="A200" s="1280"/>
      <c r="B200" s="1308" t="s">
        <v>491</v>
      </c>
      <c r="C200" s="1309"/>
      <c r="D200" s="1309"/>
      <c r="E200" s="1310"/>
      <c r="F200" s="1311"/>
      <c r="G200" s="1310">
        <f>SUM(G201:G207)</f>
        <v>397.2</v>
      </c>
      <c r="H200" s="1310">
        <f>SUM(H201:H207)</f>
        <v>0</v>
      </c>
      <c r="I200" s="1310">
        <f>SUM(I201:I207)</f>
        <v>397.2</v>
      </c>
      <c r="J200" s="1310"/>
      <c r="K200" s="1310"/>
      <c r="L200" s="1310"/>
      <c r="M200" s="1310"/>
      <c r="N200" s="1310">
        <f>SUM(N201:N207)</f>
        <v>65.350000000000009</v>
      </c>
      <c r="O200" s="1310"/>
      <c r="P200" s="1310"/>
      <c r="Q200" s="1310">
        <f>SUM(Q201:Q207)</f>
        <v>1360183</v>
      </c>
    </row>
    <row r="201" spans="1:17" x14ac:dyDescent="0.25">
      <c r="A201" s="1280"/>
      <c r="B201" s="1312" t="s">
        <v>637</v>
      </c>
      <c r="C201" s="1280" t="s">
        <v>713</v>
      </c>
      <c r="D201" s="1280"/>
      <c r="E201" s="1291"/>
      <c r="F201" s="1299" t="s">
        <v>776</v>
      </c>
      <c r="G201" s="1280">
        <f t="shared" ref="G201:G207" si="59">SUM(H201:I201)</f>
        <v>18</v>
      </c>
      <c r="H201" s="1280">
        <v>0</v>
      </c>
      <c r="I201" s="1280">
        <v>18</v>
      </c>
      <c r="J201" s="1280">
        <v>4.1500000000000004</v>
      </c>
      <c r="K201" s="1280">
        <f>J201-(J201*L201)</f>
        <v>3.7350000000000003</v>
      </c>
      <c r="L201" s="1280">
        <v>0.1</v>
      </c>
      <c r="M201" s="1313"/>
      <c r="N201" s="1280">
        <f>I201*J201*L201</f>
        <v>7.4700000000000006</v>
      </c>
      <c r="O201" s="1280"/>
      <c r="P201" s="1280">
        <v>17.38</v>
      </c>
      <c r="Q201" s="1280">
        <f>P201*N201*1000</f>
        <v>129828.59999999999</v>
      </c>
    </row>
    <row r="202" spans="1:17" x14ac:dyDescent="0.25">
      <c r="A202" s="1280"/>
      <c r="B202" s="1312" t="s">
        <v>639</v>
      </c>
      <c r="C202" s="1280" t="s">
        <v>713</v>
      </c>
      <c r="D202" s="1280"/>
      <c r="E202" s="1291"/>
      <c r="F202" s="1299" t="s">
        <v>586</v>
      </c>
      <c r="G202" s="1280">
        <f t="shared" si="59"/>
        <v>9.1999999999999993</v>
      </c>
      <c r="H202" s="1280">
        <v>0</v>
      </c>
      <c r="I202" s="1280">
        <v>9.1999999999999993</v>
      </c>
      <c r="J202" s="1280">
        <v>4.1500000000000004</v>
      </c>
      <c r="K202" s="1280">
        <f>J202-(J202*L202)</f>
        <v>3.7350000000000003</v>
      </c>
      <c r="L202" s="1280">
        <v>0.1</v>
      </c>
      <c r="M202" s="1313"/>
      <c r="N202" s="1280">
        <f>I202*J202*L202</f>
        <v>3.8180000000000001</v>
      </c>
      <c r="O202" s="1280"/>
      <c r="P202" s="1280">
        <v>17.38</v>
      </c>
      <c r="Q202" s="1280">
        <f>P202*N202*1000</f>
        <v>66356.84</v>
      </c>
    </row>
    <row r="203" spans="1:17" s="1305" customFormat="1" x14ac:dyDescent="0.25">
      <c r="A203" s="1304"/>
      <c r="B203" s="1312" t="s">
        <v>640</v>
      </c>
      <c r="C203" s="1304"/>
      <c r="D203" s="1304"/>
      <c r="E203" s="1314"/>
      <c r="F203" s="1307"/>
      <c r="G203" s="1304">
        <f>SUM(G204:G207)</f>
        <v>185</v>
      </c>
      <c r="H203" s="1304">
        <f t="shared" ref="H203:Q203" si="60">SUM(H204:H207)</f>
        <v>0</v>
      </c>
      <c r="I203" s="1304">
        <f t="shared" si="60"/>
        <v>185</v>
      </c>
      <c r="J203" s="1304">
        <f t="shared" si="60"/>
        <v>12.090000000000002</v>
      </c>
      <c r="K203" s="1304">
        <f t="shared" si="60"/>
        <v>11.4855</v>
      </c>
      <c r="L203" s="1304">
        <f t="shared" si="60"/>
        <v>0.15000000000000002</v>
      </c>
      <c r="M203" s="1304">
        <f t="shared" si="60"/>
        <v>0</v>
      </c>
      <c r="N203" s="1304">
        <f t="shared" si="60"/>
        <v>27.031000000000002</v>
      </c>
      <c r="O203" s="1304">
        <f t="shared" si="60"/>
        <v>2200</v>
      </c>
      <c r="P203" s="1304">
        <f t="shared" si="60"/>
        <v>52.14</v>
      </c>
      <c r="Q203" s="1304">
        <f t="shared" si="60"/>
        <v>581998.78</v>
      </c>
    </row>
    <row r="204" spans="1:17" x14ac:dyDescent="0.25">
      <c r="A204" s="1280"/>
      <c r="C204" s="1280" t="s">
        <v>716</v>
      </c>
      <c r="D204" s="1280"/>
      <c r="E204" s="1291"/>
      <c r="F204" s="1299" t="s">
        <v>586</v>
      </c>
      <c r="G204" s="1280">
        <f t="shared" si="59"/>
        <v>48</v>
      </c>
      <c r="H204" s="1280"/>
      <c r="I204" s="1280">
        <v>48</v>
      </c>
      <c r="J204" s="1280">
        <v>4.1500000000000004</v>
      </c>
      <c r="K204" s="1280">
        <f>J204-(J204*L204)</f>
        <v>3.9425000000000003</v>
      </c>
      <c r="L204" s="1280">
        <v>0.05</v>
      </c>
      <c r="M204" s="1313"/>
      <c r="N204" s="1280">
        <f>I204*J204*L204</f>
        <v>9.9600000000000009</v>
      </c>
      <c r="O204" s="1280"/>
      <c r="P204" s="1280">
        <v>17.38</v>
      </c>
      <c r="Q204" s="1280">
        <f>P204*N204*1000</f>
        <v>173104.80000000002</v>
      </c>
    </row>
    <row r="205" spans="1:17" x14ac:dyDescent="0.25">
      <c r="A205" s="1280"/>
      <c r="B205" s="1312"/>
      <c r="C205" s="1280"/>
      <c r="D205" s="1280"/>
      <c r="E205" s="1291"/>
      <c r="F205" s="1299" t="s">
        <v>586</v>
      </c>
      <c r="G205" s="1280">
        <f t="shared" si="59"/>
        <v>37</v>
      </c>
      <c r="H205" s="1280"/>
      <c r="I205" s="1280">
        <v>37</v>
      </c>
      <c r="J205" s="1280">
        <v>3.97</v>
      </c>
      <c r="K205" s="1280">
        <f>J205-(J205*L205)</f>
        <v>3.7715000000000001</v>
      </c>
      <c r="L205" s="1280">
        <v>0.05</v>
      </c>
      <c r="M205" s="1313"/>
      <c r="N205" s="1280">
        <f>I205*J205*L205</f>
        <v>7.3445000000000009</v>
      </c>
      <c r="O205" s="1280"/>
      <c r="P205" s="1280">
        <v>17.38</v>
      </c>
      <c r="Q205" s="1280">
        <f>P205*N205*1000</f>
        <v>127647.41</v>
      </c>
    </row>
    <row r="206" spans="1:17" x14ac:dyDescent="0.25">
      <c r="A206" s="1280"/>
      <c r="B206" s="1312"/>
      <c r="C206" s="1280"/>
      <c r="D206" s="1280"/>
      <c r="E206" s="1291"/>
      <c r="F206" s="1299" t="s">
        <v>776</v>
      </c>
      <c r="G206" s="1280">
        <f t="shared" si="59"/>
        <v>49</v>
      </c>
      <c r="H206" s="1280"/>
      <c r="I206" s="1280">
        <v>49</v>
      </c>
      <c r="J206" s="1280">
        <v>3.97</v>
      </c>
      <c r="K206" s="1280">
        <f>J206-(J206*L206)</f>
        <v>3.7715000000000001</v>
      </c>
      <c r="L206" s="1280">
        <v>0.05</v>
      </c>
      <c r="M206" s="1313"/>
      <c r="N206" s="1280">
        <f>I206*J206*L206</f>
        <v>9.7265000000000015</v>
      </c>
      <c r="O206" s="1280"/>
      <c r="P206" s="1280">
        <v>17.38</v>
      </c>
      <c r="Q206" s="1280">
        <f>P206*N206*1000</f>
        <v>169046.57</v>
      </c>
    </row>
    <row r="207" spans="1:17" x14ac:dyDescent="0.25">
      <c r="A207" s="1280"/>
      <c r="B207" s="1312"/>
      <c r="C207" s="1280"/>
      <c r="D207" s="1280"/>
      <c r="E207" s="1291"/>
      <c r="F207" s="1299" t="s">
        <v>521</v>
      </c>
      <c r="G207" s="1280">
        <f t="shared" si="59"/>
        <v>51</v>
      </c>
      <c r="H207" s="1280"/>
      <c r="I207" s="1280">
        <v>51</v>
      </c>
      <c r="J207" s="1280"/>
      <c r="K207" s="1280"/>
      <c r="L207" s="1280"/>
      <c r="M207" s="1313"/>
      <c r="N207" s="1280"/>
      <c r="O207" s="1280">
        <v>2200</v>
      </c>
      <c r="P207" s="1280"/>
      <c r="Q207" s="1280">
        <f>O207*G207</f>
        <v>112200</v>
      </c>
    </row>
    <row r="208" spans="1:17" x14ac:dyDescent="0.25">
      <c r="A208" s="1280"/>
      <c r="B208" s="1308" t="s">
        <v>493</v>
      </c>
      <c r="C208" s="1309"/>
      <c r="D208" s="1309"/>
      <c r="E208" s="1310"/>
      <c r="F208" s="1311"/>
      <c r="G208" s="1310">
        <f>SUM(G209:G217)</f>
        <v>1243.9499999999998</v>
      </c>
      <c r="H208" s="1310">
        <f>SUM(H209:H217)</f>
        <v>4.8499999999999996</v>
      </c>
      <c r="I208" s="1310">
        <f>SUM(I209:I217)</f>
        <v>1239.0999999999999</v>
      </c>
      <c r="J208" s="1310"/>
      <c r="K208" s="1310"/>
      <c r="L208" s="1310"/>
      <c r="M208" s="1310">
        <f>SUM(M212:M217)</f>
        <v>0</v>
      </c>
      <c r="N208" s="1310">
        <f>SUM(N209:N217)</f>
        <v>1102.1570000000002</v>
      </c>
      <c r="O208" s="1310"/>
      <c r="P208" s="1310"/>
      <c r="Q208" s="1310">
        <f>SUM(Q209:Q217)</f>
        <v>19155488.659999996</v>
      </c>
    </row>
    <row r="209" spans="1:17" x14ac:dyDescent="0.25">
      <c r="A209" s="1280"/>
      <c r="B209" s="1312" t="s">
        <v>499</v>
      </c>
      <c r="C209" s="1280" t="s">
        <v>713</v>
      </c>
      <c r="D209" s="1280"/>
      <c r="E209" s="1291"/>
      <c r="F209" s="1299" t="s">
        <v>586</v>
      </c>
      <c r="G209" s="1280">
        <f t="shared" ref="G209:G217" si="61">SUM(H209:I209)</f>
        <v>350</v>
      </c>
      <c r="H209" s="1280"/>
      <c r="I209" s="1280">
        <v>350</v>
      </c>
      <c r="J209" s="1280">
        <v>4.1500000000000004</v>
      </c>
      <c r="K209" s="1280">
        <f>J209-(J209*L209)</f>
        <v>3.9425000000000003</v>
      </c>
      <c r="L209" s="1280">
        <v>0.05</v>
      </c>
      <c r="M209" s="1313"/>
      <c r="N209" s="1280">
        <f>I209*J209*L209</f>
        <v>72.625000000000014</v>
      </c>
      <c r="O209" s="1280"/>
      <c r="P209" s="1280">
        <v>17.38</v>
      </c>
      <c r="Q209" s="1280">
        <f t="shared" ref="Q209:Q217" si="62">P209*N209*1000</f>
        <v>1262222.5</v>
      </c>
    </row>
    <row r="210" spans="1:17" x14ac:dyDescent="0.25">
      <c r="A210" s="1280"/>
      <c r="B210" s="1312" t="s">
        <v>494</v>
      </c>
      <c r="C210" s="1280" t="s">
        <v>713</v>
      </c>
      <c r="D210" s="1280"/>
      <c r="E210" s="1291"/>
      <c r="F210" s="1299" t="s">
        <v>586</v>
      </c>
      <c r="G210" s="1280">
        <f t="shared" si="61"/>
        <v>116</v>
      </c>
      <c r="H210" s="1280"/>
      <c r="I210" s="1280">
        <v>116</v>
      </c>
      <c r="J210" s="1280">
        <v>4.1500000000000004</v>
      </c>
      <c r="K210" s="1280">
        <f>J210-(J210*L210)</f>
        <v>3.7350000000000003</v>
      </c>
      <c r="L210" s="1280">
        <v>0.1</v>
      </c>
      <c r="M210" s="1313"/>
      <c r="N210" s="1280">
        <f>I210*J210*L210</f>
        <v>48.140000000000008</v>
      </c>
      <c r="O210" s="1280"/>
      <c r="P210" s="1280">
        <v>17.38</v>
      </c>
      <c r="Q210" s="1280">
        <f t="shared" si="62"/>
        <v>836673.20000000007</v>
      </c>
    </row>
    <row r="211" spans="1:17" s="1305" customFormat="1" x14ac:dyDescent="0.25">
      <c r="A211" s="1304"/>
      <c r="B211" s="1312" t="s">
        <v>503</v>
      </c>
      <c r="C211" s="1304"/>
      <c r="D211" s="1304"/>
      <c r="E211" s="1314"/>
      <c r="F211" s="1307"/>
      <c r="G211" s="1304">
        <f>SUM(G212:G214)</f>
        <v>110.3</v>
      </c>
      <c r="H211" s="1304">
        <f t="shared" ref="H211:Q211" si="63">SUM(H212:H214)</f>
        <v>1.8</v>
      </c>
      <c r="I211" s="1304">
        <f t="shared" si="63"/>
        <v>108.5</v>
      </c>
      <c r="J211" s="1304">
        <f t="shared" si="63"/>
        <v>12.450000000000001</v>
      </c>
      <c r="K211" s="1304">
        <f t="shared" si="63"/>
        <v>3.3200000000000003</v>
      </c>
      <c r="L211" s="1304">
        <f t="shared" si="63"/>
        <v>1.5</v>
      </c>
      <c r="M211" s="1304">
        <f t="shared" si="63"/>
        <v>0</v>
      </c>
      <c r="N211" s="1304">
        <f t="shared" si="63"/>
        <v>141.93</v>
      </c>
      <c r="O211" s="1304">
        <f t="shared" si="63"/>
        <v>0</v>
      </c>
      <c r="P211" s="1304">
        <f t="shared" si="63"/>
        <v>52.14</v>
      </c>
      <c r="Q211" s="1304">
        <f t="shared" si="63"/>
        <v>2466743.4</v>
      </c>
    </row>
    <row r="212" spans="1:17" x14ac:dyDescent="0.25">
      <c r="A212" s="1280"/>
      <c r="C212" s="1280" t="s">
        <v>713</v>
      </c>
      <c r="D212" s="1280"/>
      <c r="E212" s="1291"/>
      <c r="F212" s="1299" t="s">
        <v>776</v>
      </c>
      <c r="G212" s="1280">
        <f t="shared" si="61"/>
        <v>1.5</v>
      </c>
      <c r="H212" s="1280">
        <v>0</v>
      </c>
      <c r="I212" s="1280">
        <v>1.5</v>
      </c>
      <c r="J212" s="1280">
        <v>4.1500000000000004</v>
      </c>
      <c r="K212" s="1280">
        <f>J212-(J212*L212)</f>
        <v>3.3200000000000003</v>
      </c>
      <c r="L212" s="1280">
        <v>0.2</v>
      </c>
      <c r="M212" s="1313"/>
      <c r="N212" s="1280">
        <f>I212*J212*L212</f>
        <v>1.2450000000000001</v>
      </c>
      <c r="O212" s="1280"/>
      <c r="P212" s="1280">
        <v>17.38</v>
      </c>
      <c r="Q212" s="1280">
        <f t="shared" si="62"/>
        <v>21638.100000000002</v>
      </c>
    </row>
    <row r="213" spans="1:17" x14ac:dyDescent="0.25">
      <c r="A213" s="1280"/>
      <c r="B213" s="1312"/>
      <c r="C213" s="1280"/>
      <c r="D213" s="1280"/>
      <c r="E213" s="1291"/>
      <c r="F213" s="1299" t="s">
        <v>776</v>
      </c>
      <c r="G213" s="1280">
        <f>SUM(H213:I213)</f>
        <v>1.8</v>
      </c>
      <c r="H213" s="1280">
        <v>1.8</v>
      </c>
      <c r="I213" s="1280"/>
      <c r="J213" s="1280">
        <v>4.1500000000000004</v>
      </c>
      <c r="K213" s="1280"/>
      <c r="L213" s="1280">
        <v>1</v>
      </c>
      <c r="M213" s="1313"/>
      <c r="N213" s="1280">
        <f>H213*J213*L213</f>
        <v>7.4700000000000006</v>
      </c>
      <c r="O213" s="1280"/>
      <c r="P213" s="1280">
        <v>17.38</v>
      </c>
      <c r="Q213" s="1280">
        <f t="shared" si="62"/>
        <v>129828.59999999999</v>
      </c>
    </row>
    <row r="214" spans="1:17" x14ac:dyDescent="0.25">
      <c r="A214" s="1280"/>
      <c r="B214" s="1312"/>
      <c r="C214" s="1280"/>
      <c r="D214" s="1280"/>
      <c r="E214" s="1291"/>
      <c r="F214" s="1299" t="s">
        <v>539</v>
      </c>
      <c r="G214" s="1280">
        <f>SUM(H214:I214)</f>
        <v>107</v>
      </c>
      <c r="H214" s="1280"/>
      <c r="I214" s="1280">
        <v>107</v>
      </c>
      <c r="J214" s="1280">
        <v>4.1500000000000004</v>
      </c>
      <c r="K214" s="1280"/>
      <c r="L214" s="1280">
        <v>0.3</v>
      </c>
      <c r="M214" s="1313"/>
      <c r="N214" s="1280">
        <f>I214*J214*L214</f>
        <v>133.215</v>
      </c>
      <c r="O214" s="1280"/>
      <c r="P214" s="1280">
        <v>17.38</v>
      </c>
      <c r="Q214" s="1280">
        <f>P214*N214*1000</f>
        <v>2315276.6999999997</v>
      </c>
    </row>
    <row r="215" spans="1:17" ht="15.75" x14ac:dyDescent="0.25">
      <c r="A215" s="1280"/>
      <c r="B215" s="1318" t="s">
        <v>407</v>
      </c>
      <c r="C215" s="1280" t="s">
        <v>713</v>
      </c>
      <c r="D215" s="1280"/>
      <c r="E215" s="1291"/>
      <c r="F215" s="1299" t="s">
        <v>776</v>
      </c>
      <c r="G215" s="1280">
        <f>SUM(H215:I215)</f>
        <v>526.1</v>
      </c>
      <c r="H215" s="1280"/>
      <c r="I215" s="1280">
        <v>526.1</v>
      </c>
      <c r="J215" s="1280">
        <v>4.1500000000000004</v>
      </c>
      <c r="K215" s="1280"/>
      <c r="L215" s="1280">
        <v>0.3</v>
      </c>
      <c r="M215" s="1313"/>
      <c r="N215" s="1280">
        <f>I215*J215*L215</f>
        <v>654.99450000000002</v>
      </c>
      <c r="O215" s="1280"/>
      <c r="P215" s="1280">
        <v>17.38</v>
      </c>
      <c r="Q215" s="1280">
        <f>P215*N215*1000</f>
        <v>11383804.409999998</v>
      </c>
    </row>
    <row r="216" spans="1:17" x14ac:dyDescent="0.25">
      <c r="A216" s="1280"/>
      <c r="B216" s="1312" t="s">
        <v>498</v>
      </c>
      <c r="C216" s="1280" t="s">
        <v>713</v>
      </c>
      <c r="D216" s="1280"/>
      <c r="E216" s="1291"/>
      <c r="F216" s="1299" t="s">
        <v>539</v>
      </c>
      <c r="G216" s="1280">
        <f>SUM(H216:I216)</f>
        <v>30</v>
      </c>
      <c r="H216" s="1280"/>
      <c r="I216" s="1280">
        <v>30</v>
      </c>
      <c r="J216" s="1280">
        <v>4.1500000000000004</v>
      </c>
      <c r="K216" s="1280"/>
      <c r="L216" s="1280">
        <v>0.3</v>
      </c>
      <c r="M216" s="1313"/>
      <c r="N216" s="1280">
        <f>I216*J216*L216</f>
        <v>37.35</v>
      </c>
      <c r="O216" s="1280"/>
      <c r="P216" s="1280">
        <v>17.38</v>
      </c>
      <c r="Q216" s="1280">
        <f>P216*N216*1000</f>
        <v>649143</v>
      </c>
    </row>
    <row r="217" spans="1:17" x14ac:dyDescent="0.25">
      <c r="A217" s="1280"/>
      <c r="B217" s="1312" t="s">
        <v>500</v>
      </c>
      <c r="C217" s="1280" t="s">
        <v>713</v>
      </c>
      <c r="D217" s="1280"/>
      <c r="E217" s="1291"/>
      <c r="F217" s="1299" t="s">
        <v>539</v>
      </c>
      <c r="G217" s="1280">
        <f t="shared" si="61"/>
        <v>1.25</v>
      </c>
      <c r="H217" s="1280">
        <v>1.25</v>
      </c>
      <c r="I217" s="1280"/>
      <c r="J217" s="1280">
        <v>4.1500000000000004</v>
      </c>
      <c r="K217" s="1280"/>
      <c r="L217" s="1280">
        <v>1</v>
      </c>
      <c r="M217" s="1313"/>
      <c r="N217" s="1280">
        <f>H217*J217*L217</f>
        <v>5.1875</v>
      </c>
      <c r="O217" s="1280"/>
      <c r="P217" s="1280">
        <v>17.38</v>
      </c>
      <c r="Q217" s="1280">
        <f t="shared" si="62"/>
        <v>90158.75</v>
      </c>
    </row>
    <row r="218" spans="1:17" x14ac:dyDescent="0.25">
      <c r="A218" s="1280"/>
      <c r="B218" s="1308" t="s">
        <v>507</v>
      </c>
      <c r="C218" s="1309"/>
      <c r="D218" s="1309"/>
      <c r="E218" s="1310"/>
      <c r="F218" s="1311"/>
      <c r="G218" s="1310">
        <f>SUM(G219:G228)</f>
        <v>1365.8000000000002</v>
      </c>
      <c r="H218" s="1310">
        <f>SUM(H219:H228)</f>
        <v>3</v>
      </c>
      <c r="I218" s="1310">
        <f>SUM(I219:I228)</f>
        <v>1362.8000000000002</v>
      </c>
      <c r="J218" s="1310"/>
      <c r="K218" s="1310"/>
      <c r="L218" s="1310"/>
      <c r="M218" s="1310">
        <f>SUM(M219:M222)</f>
        <v>0</v>
      </c>
      <c r="N218" s="1310">
        <f>SUM(N219:N228)</f>
        <v>526.32198000000017</v>
      </c>
      <c r="O218" s="1310"/>
      <c r="P218" s="1310"/>
      <c r="Q218" s="1310">
        <f>SUM(Q219:Q228)</f>
        <v>9147476.0123999994</v>
      </c>
    </row>
    <row r="219" spans="1:17" x14ac:dyDescent="0.25">
      <c r="A219" s="1280"/>
      <c r="B219" s="1312" t="s">
        <v>511</v>
      </c>
      <c r="C219" s="1280" t="s">
        <v>713</v>
      </c>
      <c r="D219" s="1280"/>
      <c r="E219" s="1291"/>
      <c r="F219" s="1299" t="s">
        <v>776</v>
      </c>
      <c r="G219" s="1280">
        <f t="shared" ref="G219:G228" si="64">SUM(H219:I219)</f>
        <v>165</v>
      </c>
      <c r="H219" s="1280">
        <v>0</v>
      </c>
      <c r="I219" s="1280">
        <v>165</v>
      </c>
      <c r="J219" s="1280">
        <v>4.1500000000000004</v>
      </c>
      <c r="K219" s="1280">
        <f>J219-(J219*L219)</f>
        <v>3.9425000000000003</v>
      </c>
      <c r="L219" s="1280">
        <v>0.05</v>
      </c>
      <c r="M219" s="1313"/>
      <c r="N219" s="1280">
        <f>I219*J219*L219</f>
        <v>34.237500000000004</v>
      </c>
      <c r="O219" s="1280"/>
      <c r="P219" s="1280">
        <v>17.38</v>
      </c>
      <c r="Q219" s="1280">
        <f>P219*N219*1000</f>
        <v>595047.75000000012</v>
      </c>
    </row>
    <row r="220" spans="1:17" x14ac:dyDescent="0.25">
      <c r="A220" s="1280"/>
      <c r="B220" s="1312" t="s">
        <v>655</v>
      </c>
      <c r="C220" s="1280" t="s">
        <v>713</v>
      </c>
      <c r="D220" s="1280"/>
      <c r="E220" s="1291"/>
      <c r="F220" s="1299" t="s">
        <v>586</v>
      </c>
      <c r="G220" s="1280">
        <f t="shared" si="64"/>
        <v>1</v>
      </c>
      <c r="H220" s="1280">
        <v>1</v>
      </c>
      <c r="I220" s="1280">
        <v>0</v>
      </c>
      <c r="J220" s="1280">
        <v>3.97</v>
      </c>
      <c r="K220" s="1280">
        <f t="shared" ref="K220:K228" si="65">J220-(J220*L220)</f>
        <v>0</v>
      </c>
      <c r="L220" s="1280">
        <v>1</v>
      </c>
      <c r="M220" s="1313"/>
      <c r="N220" s="1280">
        <f>J220*H220</f>
        <v>3.97</v>
      </c>
      <c r="O220" s="1280"/>
      <c r="P220" s="1280">
        <v>17.38</v>
      </c>
      <c r="Q220" s="1280">
        <f t="shared" ref="Q220:Q228" si="66">P220*N220*1000</f>
        <v>68998.599999999991</v>
      </c>
    </row>
    <row r="221" spans="1:17" x14ac:dyDescent="0.25">
      <c r="A221" s="1280"/>
      <c r="B221" s="1312" t="s">
        <v>516</v>
      </c>
      <c r="C221" s="1280" t="s">
        <v>713</v>
      </c>
      <c r="D221" s="1280"/>
      <c r="E221" s="1291"/>
      <c r="F221" s="1299" t="s">
        <v>586</v>
      </c>
      <c r="G221" s="1280">
        <f t="shared" si="64"/>
        <v>250</v>
      </c>
      <c r="H221" s="1280"/>
      <c r="I221" s="1280">
        <v>250</v>
      </c>
      <c r="J221" s="1280">
        <v>4.1500000000000004</v>
      </c>
      <c r="K221" s="1280">
        <f t="shared" si="65"/>
        <v>3.9425000000000003</v>
      </c>
      <c r="L221" s="1280">
        <v>0.05</v>
      </c>
      <c r="M221" s="1313"/>
      <c r="N221" s="1280">
        <f>I221*J221*L221</f>
        <v>51.875</v>
      </c>
      <c r="O221" s="1280"/>
      <c r="P221" s="1280">
        <v>17.38</v>
      </c>
      <c r="Q221" s="1280">
        <f t="shared" si="66"/>
        <v>901587.5</v>
      </c>
    </row>
    <row r="222" spans="1:17" x14ac:dyDescent="0.25">
      <c r="A222" s="1280"/>
      <c r="B222" s="1312" t="s">
        <v>186</v>
      </c>
      <c r="C222" s="1280" t="s">
        <v>713</v>
      </c>
      <c r="D222" s="1280"/>
      <c r="E222" s="1291"/>
      <c r="F222" s="1299" t="s">
        <v>992</v>
      </c>
      <c r="G222" s="1280">
        <f t="shared" si="64"/>
        <v>147.5</v>
      </c>
      <c r="H222" s="1280"/>
      <c r="I222" s="1280">
        <v>147.5</v>
      </c>
      <c r="J222" s="1280">
        <v>3.97</v>
      </c>
      <c r="K222" s="1280">
        <f t="shared" si="65"/>
        <v>3.9303000000000003</v>
      </c>
      <c r="L222" s="1280">
        <v>0.01</v>
      </c>
      <c r="M222" s="1313"/>
      <c r="N222" s="1280">
        <f>I222*J222*L222</f>
        <v>5.8557500000000005</v>
      </c>
      <c r="O222" s="1280"/>
      <c r="P222" s="1280">
        <v>17.38</v>
      </c>
      <c r="Q222" s="1280">
        <f t="shared" si="66"/>
        <v>101772.935</v>
      </c>
    </row>
    <row r="223" spans="1:17" s="1305" customFormat="1" x14ac:dyDescent="0.25">
      <c r="A223" s="1304"/>
      <c r="B223" s="1312" t="s">
        <v>514</v>
      </c>
      <c r="C223" s="1304"/>
      <c r="D223" s="1304"/>
      <c r="E223" s="1314"/>
      <c r="F223" s="1307"/>
      <c r="G223" s="1304">
        <f>SUM(G224:G225)</f>
        <v>106</v>
      </c>
      <c r="H223" s="1304">
        <f t="shared" ref="H223:Q223" si="67">SUM(H224:H225)</f>
        <v>0</v>
      </c>
      <c r="I223" s="1304">
        <f t="shared" si="67"/>
        <v>106</v>
      </c>
      <c r="J223" s="1304">
        <f t="shared" si="67"/>
        <v>7.94</v>
      </c>
      <c r="K223" s="1304">
        <f t="shared" si="67"/>
        <v>3.9303000000000003</v>
      </c>
      <c r="L223" s="1304">
        <f t="shared" si="67"/>
        <v>1.01</v>
      </c>
      <c r="M223" s="1304">
        <f t="shared" si="67"/>
        <v>0</v>
      </c>
      <c r="N223" s="1304">
        <f t="shared" si="67"/>
        <v>199.54411000000002</v>
      </c>
      <c r="O223" s="1304">
        <f t="shared" si="67"/>
        <v>0</v>
      </c>
      <c r="P223" s="1304">
        <f t="shared" si="67"/>
        <v>34.76</v>
      </c>
      <c r="Q223" s="1304">
        <f t="shared" si="67"/>
        <v>3468076.6318000006</v>
      </c>
    </row>
    <row r="224" spans="1:17" x14ac:dyDescent="0.25">
      <c r="A224" s="1280"/>
      <c r="C224" s="1280" t="s">
        <v>713</v>
      </c>
      <c r="D224" s="1280"/>
      <c r="E224" s="1291"/>
      <c r="F224" s="1299" t="s">
        <v>586</v>
      </c>
      <c r="G224" s="1280">
        <f t="shared" si="64"/>
        <v>56.3</v>
      </c>
      <c r="H224" s="1280"/>
      <c r="I224" s="1280">
        <v>56.3</v>
      </c>
      <c r="J224" s="1280">
        <v>3.97</v>
      </c>
      <c r="K224" s="1280">
        <f t="shared" si="65"/>
        <v>3.9303000000000003</v>
      </c>
      <c r="L224" s="1280">
        <v>0.01</v>
      </c>
      <c r="M224" s="1313"/>
      <c r="N224" s="1280">
        <f>I224*J224*L224</f>
        <v>2.2351100000000002</v>
      </c>
      <c r="O224" s="1280"/>
      <c r="P224" s="1280">
        <v>17.38</v>
      </c>
      <c r="Q224" s="1280">
        <f t="shared" si="66"/>
        <v>38846.211799999997</v>
      </c>
    </row>
    <row r="225" spans="1:17" x14ac:dyDescent="0.25">
      <c r="A225" s="1280"/>
      <c r="B225" s="1312"/>
      <c r="C225" s="1280"/>
      <c r="D225" s="1280"/>
      <c r="E225" s="1291"/>
      <c r="F225" s="1299" t="s">
        <v>586</v>
      </c>
      <c r="G225" s="1280">
        <f t="shared" si="64"/>
        <v>49.7</v>
      </c>
      <c r="H225" s="1280"/>
      <c r="I225" s="1280">
        <v>49.7</v>
      </c>
      <c r="J225" s="1280">
        <v>3.97</v>
      </c>
      <c r="K225" s="1280">
        <f t="shared" si="65"/>
        <v>0</v>
      </c>
      <c r="L225" s="1280">
        <v>1</v>
      </c>
      <c r="M225" s="1313"/>
      <c r="N225" s="1280">
        <f>J225*I225</f>
        <v>197.30900000000003</v>
      </c>
      <c r="O225" s="1280"/>
      <c r="P225" s="1280">
        <v>17.38</v>
      </c>
      <c r="Q225" s="1280">
        <f t="shared" si="66"/>
        <v>3429230.4200000004</v>
      </c>
    </row>
    <row r="226" spans="1:17" s="1305" customFormat="1" x14ac:dyDescent="0.25">
      <c r="A226" s="1304"/>
      <c r="B226" s="1312" t="s">
        <v>993</v>
      </c>
      <c r="C226" s="1304"/>
      <c r="D226" s="1304"/>
      <c r="E226" s="1314"/>
      <c r="F226" s="1307"/>
      <c r="G226" s="1304">
        <f>SUM(G227:G228)</f>
        <v>295.14999999999998</v>
      </c>
      <c r="H226" s="1304">
        <f t="shared" ref="H226:Q226" si="68">SUM(H227:H228)</f>
        <v>1</v>
      </c>
      <c r="I226" s="1304">
        <f t="shared" si="68"/>
        <v>294.14999999999998</v>
      </c>
      <c r="J226" s="1304">
        <f t="shared" si="68"/>
        <v>7.94</v>
      </c>
      <c r="K226" s="1304">
        <f t="shared" si="68"/>
        <v>3.9303000000000003</v>
      </c>
      <c r="L226" s="1304">
        <f t="shared" si="68"/>
        <v>1.01</v>
      </c>
      <c r="M226" s="1304">
        <f t="shared" si="68"/>
        <v>0</v>
      </c>
      <c r="N226" s="1304">
        <f t="shared" si="68"/>
        <v>15.647755</v>
      </c>
      <c r="O226" s="1304">
        <f t="shared" si="68"/>
        <v>0</v>
      </c>
      <c r="P226" s="1304">
        <f t="shared" si="68"/>
        <v>34.76</v>
      </c>
      <c r="Q226" s="1304">
        <f t="shared" si="68"/>
        <v>271957.98189999996</v>
      </c>
    </row>
    <row r="227" spans="1:17" x14ac:dyDescent="0.25">
      <c r="A227" s="1280"/>
      <c r="C227" s="1280" t="s">
        <v>716</v>
      </c>
      <c r="D227" s="1280"/>
      <c r="E227" s="1291"/>
      <c r="F227" s="1299" t="s">
        <v>586</v>
      </c>
      <c r="G227" s="1280">
        <f t="shared" si="64"/>
        <v>1</v>
      </c>
      <c r="H227" s="1280">
        <v>1</v>
      </c>
      <c r="I227" s="1280">
        <v>0</v>
      </c>
      <c r="J227" s="1280">
        <v>3.97</v>
      </c>
      <c r="K227" s="1280">
        <f t="shared" si="65"/>
        <v>0</v>
      </c>
      <c r="L227" s="1280">
        <v>1</v>
      </c>
      <c r="M227" s="1313"/>
      <c r="N227" s="1280">
        <f>J227*H227</f>
        <v>3.97</v>
      </c>
      <c r="O227" s="1280"/>
      <c r="P227" s="1280">
        <v>17.38</v>
      </c>
      <c r="Q227" s="1280">
        <f t="shared" si="66"/>
        <v>68998.599999999991</v>
      </c>
    </row>
    <row r="228" spans="1:17" x14ac:dyDescent="0.25">
      <c r="A228" s="1280"/>
      <c r="B228" s="1312"/>
      <c r="C228" s="1280"/>
      <c r="D228" s="1280"/>
      <c r="E228" s="1291"/>
      <c r="F228" s="1299" t="s">
        <v>586</v>
      </c>
      <c r="G228" s="1280">
        <f t="shared" si="64"/>
        <v>294.14999999999998</v>
      </c>
      <c r="H228" s="1280"/>
      <c r="I228" s="1280">
        <v>294.14999999999998</v>
      </c>
      <c r="J228" s="1280">
        <v>3.97</v>
      </c>
      <c r="K228" s="1280">
        <f t="shared" si="65"/>
        <v>3.9303000000000003</v>
      </c>
      <c r="L228" s="1280">
        <v>0.01</v>
      </c>
      <c r="M228" s="1313"/>
      <c r="N228" s="1280">
        <f>I228*J228*L228</f>
        <v>11.677754999999999</v>
      </c>
      <c r="O228" s="1280"/>
      <c r="P228" s="1280">
        <v>17.38</v>
      </c>
      <c r="Q228" s="1280">
        <f t="shared" si="66"/>
        <v>202959.38189999998</v>
      </c>
    </row>
    <row r="229" spans="1:17" x14ac:dyDescent="0.25">
      <c r="A229" s="1282"/>
      <c r="B229" s="1319"/>
      <c r="C229" s="1282"/>
      <c r="D229" s="1282"/>
      <c r="E229" s="1283"/>
      <c r="F229" s="1320"/>
      <c r="G229" s="1282"/>
      <c r="H229" s="1282"/>
      <c r="I229" s="1282"/>
      <c r="J229" s="1282"/>
      <c r="K229" s="1282"/>
      <c r="L229" s="1282"/>
      <c r="M229" s="1321"/>
      <c r="N229" s="1282"/>
      <c r="O229" s="1282"/>
      <c r="P229" s="1282"/>
      <c r="Q229" s="1282"/>
    </row>
    <row r="230" spans="1:17" x14ac:dyDescent="0.25">
      <c r="A230" s="1274" t="s">
        <v>522</v>
      </c>
      <c r="F230" s="1274" t="s">
        <v>815</v>
      </c>
      <c r="K230" s="1274" t="s">
        <v>816</v>
      </c>
      <c r="P230" s="1274" t="s">
        <v>940</v>
      </c>
    </row>
    <row r="233" spans="1:17" x14ac:dyDescent="0.25">
      <c r="A233" s="1323" t="s">
        <v>524</v>
      </c>
      <c r="B233" s="1323"/>
      <c r="C233" s="1323"/>
      <c r="D233" s="1323"/>
      <c r="E233" s="1761" t="s">
        <v>693</v>
      </c>
      <c r="F233" s="1761"/>
      <c r="G233" s="1761"/>
      <c r="H233" s="1323"/>
      <c r="I233" s="1323"/>
      <c r="J233" s="1762" t="s">
        <v>943</v>
      </c>
      <c r="K233" s="1762"/>
      <c r="L233" s="1762"/>
      <c r="M233" s="1323"/>
      <c r="N233" s="1323"/>
      <c r="P233" s="1542" t="s">
        <v>944</v>
      </c>
      <c r="Q233" s="1323"/>
    </row>
    <row r="234" spans="1:17" x14ac:dyDescent="0.25">
      <c r="A234" s="1324" t="s">
        <v>750</v>
      </c>
      <c r="B234" s="1324"/>
      <c r="C234" s="1324"/>
      <c r="D234" s="1324"/>
      <c r="E234" s="1325"/>
      <c r="F234" s="1326" t="s">
        <v>820</v>
      </c>
      <c r="G234" s="1324"/>
      <c r="H234" s="1324"/>
      <c r="I234" s="1324"/>
      <c r="J234" s="1324"/>
      <c r="K234" s="1326" t="s">
        <v>994</v>
      </c>
      <c r="L234" s="1324"/>
      <c r="M234" s="1324"/>
      <c r="N234" s="1324"/>
      <c r="P234" s="1326" t="s">
        <v>995</v>
      </c>
      <c r="Q234" s="1324"/>
    </row>
    <row r="281" spans="1:15" x14ac:dyDescent="0.25">
      <c r="A281" s="1323"/>
      <c r="B281" s="1323"/>
      <c r="C281" s="1323"/>
      <c r="D281" s="1323"/>
      <c r="E281" s="1541"/>
      <c r="F281" s="1542"/>
      <c r="G281" s="1323"/>
      <c r="H281" s="1323"/>
      <c r="I281" s="1323"/>
      <c r="J281" s="1323"/>
      <c r="K281" s="1542"/>
      <c r="L281" s="1323"/>
      <c r="M281" s="1323"/>
      <c r="N281" s="1323"/>
      <c r="O281" s="1542"/>
    </row>
    <row r="282" spans="1:15" x14ac:dyDescent="0.25">
      <c r="E282" s="1327"/>
      <c r="F282" s="1544"/>
      <c r="K282" s="1544"/>
      <c r="O282" s="1544"/>
    </row>
  </sheetData>
  <mergeCells count="28">
    <mergeCell ref="A6:Q6"/>
    <mergeCell ref="A1:Q1"/>
    <mergeCell ref="A2:Q2"/>
    <mergeCell ref="A3:Q3"/>
    <mergeCell ref="A4:Q4"/>
    <mergeCell ref="A5:Q5"/>
    <mergeCell ref="A7:Q7"/>
    <mergeCell ref="A15:A17"/>
    <mergeCell ref="B15:B17"/>
    <mergeCell ref="C15:C17"/>
    <mergeCell ref="D15:D17"/>
    <mergeCell ref="E15:E17"/>
    <mergeCell ref="F15:F17"/>
    <mergeCell ref="G15:I15"/>
    <mergeCell ref="J15:K15"/>
    <mergeCell ref="L15:L17"/>
    <mergeCell ref="E233:G233"/>
    <mergeCell ref="J233:L233"/>
    <mergeCell ref="M15:M17"/>
    <mergeCell ref="N15:Q15"/>
    <mergeCell ref="G16:G17"/>
    <mergeCell ref="H16:H17"/>
    <mergeCell ref="I16:I17"/>
    <mergeCell ref="J16:J17"/>
    <mergeCell ref="K16:K17"/>
    <mergeCell ref="N16:N17"/>
    <mergeCell ref="O16:P16"/>
    <mergeCell ref="Q16:Q17"/>
  </mergeCells>
  <pageMargins left="0.75" right="0" top="0.5" bottom="0.5" header="0.3" footer="0.3"/>
  <pageSetup paperSize="5" scale="70" orientation="landscape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51CC-5635-C641-A916-7A12A3123273}">
  <sheetPr>
    <tabColor theme="9" tint="0.39997558519241921"/>
  </sheetPr>
  <dimension ref="A1:Q62"/>
  <sheetViews>
    <sheetView workbookViewId="0">
      <selection activeCell="B18" sqref="B18:Q18"/>
    </sheetView>
  </sheetViews>
  <sheetFormatPr defaultColWidth="11" defaultRowHeight="15" x14ac:dyDescent="0.25"/>
  <cols>
    <col min="1" max="1" width="8.875" style="185" customWidth="1"/>
    <col min="2" max="2" width="13.375" style="185" customWidth="1"/>
    <col min="3" max="3" width="14.5" style="185" customWidth="1"/>
    <col min="4" max="6" width="8.875" style="185" customWidth="1"/>
    <col min="7" max="7" width="16.625" style="185" customWidth="1"/>
    <col min="8" max="8" width="14" style="185" customWidth="1"/>
    <col min="9" max="9" width="15.875" style="185" customWidth="1"/>
    <col min="10" max="10" width="10.375" style="185" customWidth="1"/>
    <col min="11" max="11" width="20.5" style="185" customWidth="1"/>
    <col min="12" max="13" width="8.875" style="185" customWidth="1"/>
    <col min="14" max="14" width="17.875" style="185" customWidth="1"/>
    <col min="15" max="15" width="8.875" style="185" customWidth="1"/>
    <col min="16" max="16" width="13.875" style="185" customWidth="1"/>
    <col min="17" max="17" width="23.125" style="185" customWidth="1"/>
    <col min="18" max="257" width="8.875" style="185" customWidth="1"/>
    <col min="258" max="258" width="13.375" style="185" customWidth="1"/>
    <col min="259" max="259" width="14.5" style="185" customWidth="1"/>
    <col min="260" max="262" width="8.875" style="185" customWidth="1"/>
    <col min="263" max="263" width="16.625" style="185" customWidth="1"/>
    <col min="264" max="264" width="14" style="185" customWidth="1"/>
    <col min="265" max="265" width="15.875" style="185" customWidth="1"/>
    <col min="266" max="266" width="10.375" style="185" customWidth="1"/>
    <col min="267" max="267" width="20.5" style="185" customWidth="1"/>
    <col min="268" max="269" width="8.875" style="185" customWidth="1"/>
    <col min="270" max="270" width="17.875" style="185" customWidth="1"/>
    <col min="271" max="271" width="8.875" style="185" customWidth="1"/>
    <col min="272" max="272" width="13.875" style="185" customWidth="1"/>
    <col min="273" max="273" width="23.125" style="185" customWidth="1"/>
    <col min="274" max="513" width="8.875" style="185" customWidth="1"/>
    <col min="514" max="514" width="13.375" style="185" customWidth="1"/>
    <col min="515" max="515" width="14.5" style="185" customWidth="1"/>
    <col min="516" max="518" width="8.875" style="185" customWidth="1"/>
    <col min="519" max="519" width="16.625" style="185" customWidth="1"/>
    <col min="520" max="520" width="14" style="185" customWidth="1"/>
    <col min="521" max="521" width="15.875" style="185" customWidth="1"/>
    <col min="522" max="522" width="10.375" style="185" customWidth="1"/>
    <col min="523" max="523" width="20.5" style="185" customWidth="1"/>
    <col min="524" max="525" width="8.875" style="185" customWidth="1"/>
    <col min="526" max="526" width="17.875" style="185" customWidth="1"/>
    <col min="527" max="527" width="8.875" style="185" customWidth="1"/>
    <col min="528" max="528" width="13.875" style="185" customWidth="1"/>
    <col min="529" max="529" width="23.125" style="185" customWidth="1"/>
    <col min="530" max="769" width="8.875" style="185" customWidth="1"/>
    <col min="770" max="770" width="13.375" style="185" customWidth="1"/>
    <col min="771" max="771" width="14.5" style="185" customWidth="1"/>
    <col min="772" max="774" width="8.875" style="185" customWidth="1"/>
    <col min="775" max="775" width="16.625" style="185" customWidth="1"/>
    <col min="776" max="776" width="14" style="185" customWidth="1"/>
    <col min="777" max="777" width="15.875" style="185" customWidth="1"/>
    <col min="778" max="778" width="10.375" style="185" customWidth="1"/>
    <col min="779" max="779" width="20.5" style="185" customWidth="1"/>
    <col min="780" max="781" width="8.875" style="185" customWidth="1"/>
    <col min="782" max="782" width="17.875" style="185" customWidth="1"/>
    <col min="783" max="783" width="8.875" style="185" customWidth="1"/>
    <col min="784" max="784" width="13.875" style="185" customWidth="1"/>
    <col min="785" max="785" width="23.125" style="185" customWidth="1"/>
    <col min="786" max="1025" width="8.875" style="185" customWidth="1"/>
    <col min="1026" max="1026" width="13.375" style="185" customWidth="1"/>
    <col min="1027" max="1027" width="14.5" style="185" customWidth="1"/>
    <col min="1028" max="1030" width="8.875" style="185" customWidth="1"/>
    <col min="1031" max="1031" width="16.625" style="185" customWidth="1"/>
    <col min="1032" max="1032" width="14" style="185" customWidth="1"/>
    <col min="1033" max="1033" width="15.875" style="185" customWidth="1"/>
    <col min="1034" max="1034" width="10.375" style="185" customWidth="1"/>
    <col min="1035" max="1035" width="20.5" style="185" customWidth="1"/>
    <col min="1036" max="1037" width="8.875" style="185" customWidth="1"/>
    <col min="1038" max="1038" width="17.875" style="185" customWidth="1"/>
    <col min="1039" max="1039" width="8.875" style="185" customWidth="1"/>
    <col min="1040" max="1040" width="13.875" style="185" customWidth="1"/>
    <col min="1041" max="1041" width="23.125" style="185" customWidth="1"/>
    <col min="1042" max="1281" width="8.875" style="185" customWidth="1"/>
    <col min="1282" max="1282" width="13.375" style="185" customWidth="1"/>
    <col min="1283" max="1283" width="14.5" style="185" customWidth="1"/>
    <col min="1284" max="1286" width="8.875" style="185" customWidth="1"/>
    <col min="1287" max="1287" width="16.625" style="185" customWidth="1"/>
    <col min="1288" max="1288" width="14" style="185" customWidth="1"/>
    <col min="1289" max="1289" width="15.875" style="185" customWidth="1"/>
    <col min="1290" max="1290" width="10.375" style="185" customWidth="1"/>
    <col min="1291" max="1291" width="20.5" style="185" customWidth="1"/>
    <col min="1292" max="1293" width="8.875" style="185" customWidth="1"/>
    <col min="1294" max="1294" width="17.875" style="185" customWidth="1"/>
    <col min="1295" max="1295" width="8.875" style="185" customWidth="1"/>
    <col min="1296" max="1296" width="13.875" style="185" customWidth="1"/>
    <col min="1297" max="1297" width="23.125" style="185" customWidth="1"/>
    <col min="1298" max="1537" width="8.875" style="185" customWidth="1"/>
    <col min="1538" max="1538" width="13.375" style="185" customWidth="1"/>
    <col min="1539" max="1539" width="14.5" style="185" customWidth="1"/>
    <col min="1540" max="1542" width="8.875" style="185" customWidth="1"/>
    <col min="1543" max="1543" width="16.625" style="185" customWidth="1"/>
    <col min="1544" max="1544" width="14" style="185" customWidth="1"/>
    <col min="1545" max="1545" width="15.875" style="185" customWidth="1"/>
    <col min="1546" max="1546" width="10.375" style="185" customWidth="1"/>
    <col min="1547" max="1547" width="20.5" style="185" customWidth="1"/>
    <col min="1548" max="1549" width="8.875" style="185" customWidth="1"/>
    <col min="1550" max="1550" width="17.875" style="185" customWidth="1"/>
    <col min="1551" max="1551" width="8.875" style="185" customWidth="1"/>
    <col min="1552" max="1552" width="13.875" style="185" customWidth="1"/>
    <col min="1553" max="1553" width="23.125" style="185" customWidth="1"/>
    <col min="1554" max="1793" width="8.875" style="185" customWidth="1"/>
    <col min="1794" max="1794" width="13.375" style="185" customWidth="1"/>
    <col min="1795" max="1795" width="14.5" style="185" customWidth="1"/>
    <col min="1796" max="1798" width="8.875" style="185" customWidth="1"/>
    <col min="1799" max="1799" width="16.625" style="185" customWidth="1"/>
    <col min="1800" max="1800" width="14" style="185" customWidth="1"/>
    <col min="1801" max="1801" width="15.875" style="185" customWidth="1"/>
    <col min="1802" max="1802" width="10.375" style="185" customWidth="1"/>
    <col min="1803" max="1803" width="20.5" style="185" customWidth="1"/>
    <col min="1804" max="1805" width="8.875" style="185" customWidth="1"/>
    <col min="1806" max="1806" width="17.875" style="185" customWidth="1"/>
    <col min="1807" max="1807" width="8.875" style="185" customWidth="1"/>
    <col min="1808" max="1808" width="13.875" style="185" customWidth="1"/>
    <col min="1809" max="1809" width="23.125" style="185" customWidth="1"/>
    <col min="1810" max="2049" width="8.875" style="185" customWidth="1"/>
    <col min="2050" max="2050" width="13.375" style="185" customWidth="1"/>
    <col min="2051" max="2051" width="14.5" style="185" customWidth="1"/>
    <col min="2052" max="2054" width="8.875" style="185" customWidth="1"/>
    <col min="2055" max="2055" width="16.625" style="185" customWidth="1"/>
    <col min="2056" max="2056" width="14" style="185" customWidth="1"/>
    <col min="2057" max="2057" width="15.875" style="185" customWidth="1"/>
    <col min="2058" max="2058" width="10.375" style="185" customWidth="1"/>
    <col min="2059" max="2059" width="20.5" style="185" customWidth="1"/>
    <col min="2060" max="2061" width="8.875" style="185" customWidth="1"/>
    <col min="2062" max="2062" width="17.875" style="185" customWidth="1"/>
    <col min="2063" max="2063" width="8.875" style="185" customWidth="1"/>
    <col min="2064" max="2064" width="13.875" style="185" customWidth="1"/>
    <col min="2065" max="2065" width="23.125" style="185" customWidth="1"/>
    <col min="2066" max="2305" width="8.875" style="185" customWidth="1"/>
    <col min="2306" max="2306" width="13.375" style="185" customWidth="1"/>
    <col min="2307" max="2307" width="14.5" style="185" customWidth="1"/>
    <col min="2308" max="2310" width="8.875" style="185" customWidth="1"/>
    <col min="2311" max="2311" width="16.625" style="185" customWidth="1"/>
    <col min="2312" max="2312" width="14" style="185" customWidth="1"/>
    <col min="2313" max="2313" width="15.875" style="185" customWidth="1"/>
    <col min="2314" max="2314" width="10.375" style="185" customWidth="1"/>
    <col min="2315" max="2315" width="20.5" style="185" customWidth="1"/>
    <col min="2316" max="2317" width="8.875" style="185" customWidth="1"/>
    <col min="2318" max="2318" width="17.875" style="185" customWidth="1"/>
    <col min="2319" max="2319" width="8.875" style="185" customWidth="1"/>
    <col min="2320" max="2320" width="13.875" style="185" customWidth="1"/>
    <col min="2321" max="2321" width="23.125" style="185" customWidth="1"/>
    <col min="2322" max="2561" width="8.875" style="185" customWidth="1"/>
    <col min="2562" max="2562" width="13.375" style="185" customWidth="1"/>
    <col min="2563" max="2563" width="14.5" style="185" customWidth="1"/>
    <col min="2564" max="2566" width="8.875" style="185" customWidth="1"/>
    <col min="2567" max="2567" width="16.625" style="185" customWidth="1"/>
    <col min="2568" max="2568" width="14" style="185" customWidth="1"/>
    <col min="2569" max="2569" width="15.875" style="185" customWidth="1"/>
    <col min="2570" max="2570" width="10.375" style="185" customWidth="1"/>
    <col min="2571" max="2571" width="20.5" style="185" customWidth="1"/>
    <col min="2572" max="2573" width="8.875" style="185" customWidth="1"/>
    <col min="2574" max="2574" width="17.875" style="185" customWidth="1"/>
    <col min="2575" max="2575" width="8.875" style="185" customWidth="1"/>
    <col min="2576" max="2576" width="13.875" style="185" customWidth="1"/>
    <col min="2577" max="2577" width="23.125" style="185" customWidth="1"/>
    <col min="2578" max="2817" width="8.875" style="185" customWidth="1"/>
    <col min="2818" max="2818" width="13.375" style="185" customWidth="1"/>
    <col min="2819" max="2819" width="14.5" style="185" customWidth="1"/>
    <col min="2820" max="2822" width="8.875" style="185" customWidth="1"/>
    <col min="2823" max="2823" width="16.625" style="185" customWidth="1"/>
    <col min="2824" max="2824" width="14" style="185" customWidth="1"/>
    <col min="2825" max="2825" width="15.875" style="185" customWidth="1"/>
    <col min="2826" max="2826" width="10.375" style="185" customWidth="1"/>
    <col min="2827" max="2827" width="20.5" style="185" customWidth="1"/>
    <col min="2828" max="2829" width="8.875" style="185" customWidth="1"/>
    <col min="2830" max="2830" width="17.875" style="185" customWidth="1"/>
    <col min="2831" max="2831" width="8.875" style="185" customWidth="1"/>
    <col min="2832" max="2832" width="13.875" style="185" customWidth="1"/>
    <col min="2833" max="2833" width="23.125" style="185" customWidth="1"/>
    <col min="2834" max="3073" width="8.875" style="185" customWidth="1"/>
    <col min="3074" max="3074" width="13.375" style="185" customWidth="1"/>
    <col min="3075" max="3075" width="14.5" style="185" customWidth="1"/>
    <col min="3076" max="3078" width="8.875" style="185" customWidth="1"/>
    <col min="3079" max="3079" width="16.625" style="185" customWidth="1"/>
    <col min="3080" max="3080" width="14" style="185" customWidth="1"/>
    <col min="3081" max="3081" width="15.875" style="185" customWidth="1"/>
    <col min="3082" max="3082" width="10.375" style="185" customWidth="1"/>
    <col min="3083" max="3083" width="20.5" style="185" customWidth="1"/>
    <col min="3084" max="3085" width="8.875" style="185" customWidth="1"/>
    <col min="3086" max="3086" width="17.875" style="185" customWidth="1"/>
    <col min="3087" max="3087" width="8.875" style="185" customWidth="1"/>
    <col min="3088" max="3088" width="13.875" style="185" customWidth="1"/>
    <col min="3089" max="3089" width="23.125" style="185" customWidth="1"/>
    <col min="3090" max="3329" width="8.875" style="185" customWidth="1"/>
    <col min="3330" max="3330" width="13.375" style="185" customWidth="1"/>
    <col min="3331" max="3331" width="14.5" style="185" customWidth="1"/>
    <col min="3332" max="3334" width="8.875" style="185" customWidth="1"/>
    <col min="3335" max="3335" width="16.625" style="185" customWidth="1"/>
    <col min="3336" max="3336" width="14" style="185" customWidth="1"/>
    <col min="3337" max="3337" width="15.875" style="185" customWidth="1"/>
    <col min="3338" max="3338" width="10.375" style="185" customWidth="1"/>
    <col min="3339" max="3339" width="20.5" style="185" customWidth="1"/>
    <col min="3340" max="3341" width="8.875" style="185" customWidth="1"/>
    <col min="3342" max="3342" width="17.875" style="185" customWidth="1"/>
    <col min="3343" max="3343" width="8.875" style="185" customWidth="1"/>
    <col min="3344" max="3344" width="13.875" style="185" customWidth="1"/>
    <col min="3345" max="3345" width="23.125" style="185" customWidth="1"/>
    <col min="3346" max="3585" width="8.875" style="185" customWidth="1"/>
    <col min="3586" max="3586" width="13.375" style="185" customWidth="1"/>
    <col min="3587" max="3587" width="14.5" style="185" customWidth="1"/>
    <col min="3588" max="3590" width="8.875" style="185" customWidth="1"/>
    <col min="3591" max="3591" width="16.625" style="185" customWidth="1"/>
    <col min="3592" max="3592" width="14" style="185" customWidth="1"/>
    <col min="3593" max="3593" width="15.875" style="185" customWidth="1"/>
    <col min="3594" max="3594" width="10.375" style="185" customWidth="1"/>
    <col min="3595" max="3595" width="20.5" style="185" customWidth="1"/>
    <col min="3596" max="3597" width="8.875" style="185" customWidth="1"/>
    <col min="3598" max="3598" width="17.875" style="185" customWidth="1"/>
    <col min="3599" max="3599" width="8.875" style="185" customWidth="1"/>
    <col min="3600" max="3600" width="13.875" style="185" customWidth="1"/>
    <col min="3601" max="3601" width="23.125" style="185" customWidth="1"/>
    <col min="3602" max="3841" width="8.875" style="185" customWidth="1"/>
    <col min="3842" max="3842" width="13.375" style="185" customWidth="1"/>
    <col min="3843" max="3843" width="14.5" style="185" customWidth="1"/>
    <col min="3844" max="3846" width="8.875" style="185" customWidth="1"/>
    <col min="3847" max="3847" width="16.625" style="185" customWidth="1"/>
    <col min="3848" max="3848" width="14" style="185" customWidth="1"/>
    <col min="3849" max="3849" width="15.875" style="185" customWidth="1"/>
    <col min="3850" max="3850" width="10.375" style="185" customWidth="1"/>
    <col min="3851" max="3851" width="20.5" style="185" customWidth="1"/>
    <col min="3852" max="3853" width="8.875" style="185" customWidth="1"/>
    <col min="3854" max="3854" width="17.875" style="185" customWidth="1"/>
    <col min="3855" max="3855" width="8.875" style="185" customWidth="1"/>
    <col min="3856" max="3856" width="13.875" style="185" customWidth="1"/>
    <col min="3857" max="3857" width="23.125" style="185" customWidth="1"/>
    <col min="3858" max="4097" width="8.875" style="185" customWidth="1"/>
    <col min="4098" max="4098" width="13.375" style="185" customWidth="1"/>
    <col min="4099" max="4099" width="14.5" style="185" customWidth="1"/>
    <col min="4100" max="4102" width="8.875" style="185" customWidth="1"/>
    <col min="4103" max="4103" width="16.625" style="185" customWidth="1"/>
    <col min="4104" max="4104" width="14" style="185" customWidth="1"/>
    <col min="4105" max="4105" width="15.875" style="185" customWidth="1"/>
    <col min="4106" max="4106" width="10.375" style="185" customWidth="1"/>
    <col min="4107" max="4107" width="20.5" style="185" customWidth="1"/>
    <col min="4108" max="4109" width="8.875" style="185" customWidth="1"/>
    <col min="4110" max="4110" width="17.875" style="185" customWidth="1"/>
    <col min="4111" max="4111" width="8.875" style="185" customWidth="1"/>
    <col min="4112" max="4112" width="13.875" style="185" customWidth="1"/>
    <col min="4113" max="4113" width="23.125" style="185" customWidth="1"/>
    <col min="4114" max="4353" width="8.875" style="185" customWidth="1"/>
    <col min="4354" max="4354" width="13.375" style="185" customWidth="1"/>
    <col min="4355" max="4355" width="14.5" style="185" customWidth="1"/>
    <col min="4356" max="4358" width="8.875" style="185" customWidth="1"/>
    <col min="4359" max="4359" width="16.625" style="185" customWidth="1"/>
    <col min="4360" max="4360" width="14" style="185" customWidth="1"/>
    <col min="4361" max="4361" width="15.875" style="185" customWidth="1"/>
    <col min="4362" max="4362" width="10.375" style="185" customWidth="1"/>
    <col min="4363" max="4363" width="20.5" style="185" customWidth="1"/>
    <col min="4364" max="4365" width="8.875" style="185" customWidth="1"/>
    <col min="4366" max="4366" width="17.875" style="185" customWidth="1"/>
    <col min="4367" max="4367" width="8.875" style="185" customWidth="1"/>
    <col min="4368" max="4368" width="13.875" style="185" customWidth="1"/>
    <col min="4369" max="4369" width="23.125" style="185" customWidth="1"/>
    <col min="4370" max="4609" width="8.875" style="185" customWidth="1"/>
    <col min="4610" max="4610" width="13.375" style="185" customWidth="1"/>
    <col min="4611" max="4611" width="14.5" style="185" customWidth="1"/>
    <col min="4612" max="4614" width="8.875" style="185" customWidth="1"/>
    <col min="4615" max="4615" width="16.625" style="185" customWidth="1"/>
    <col min="4616" max="4616" width="14" style="185" customWidth="1"/>
    <col min="4617" max="4617" width="15.875" style="185" customWidth="1"/>
    <col min="4618" max="4618" width="10.375" style="185" customWidth="1"/>
    <col min="4619" max="4619" width="20.5" style="185" customWidth="1"/>
    <col min="4620" max="4621" width="8.875" style="185" customWidth="1"/>
    <col min="4622" max="4622" width="17.875" style="185" customWidth="1"/>
    <col min="4623" max="4623" width="8.875" style="185" customWidth="1"/>
    <col min="4624" max="4624" width="13.875" style="185" customWidth="1"/>
    <col min="4625" max="4625" width="23.125" style="185" customWidth="1"/>
    <col min="4626" max="4865" width="8.875" style="185" customWidth="1"/>
    <col min="4866" max="4866" width="13.375" style="185" customWidth="1"/>
    <col min="4867" max="4867" width="14.5" style="185" customWidth="1"/>
    <col min="4868" max="4870" width="8.875" style="185" customWidth="1"/>
    <col min="4871" max="4871" width="16.625" style="185" customWidth="1"/>
    <col min="4872" max="4872" width="14" style="185" customWidth="1"/>
    <col min="4873" max="4873" width="15.875" style="185" customWidth="1"/>
    <col min="4874" max="4874" width="10.375" style="185" customWidth="1"/>
    <col min="4875" max="4875" width="20.5" style="185" customWidth="1"/>
    <col min="4876" max="4877" width="8.875" style="185" customWidth="1"/>
    <col min="4878" max="4878" width="17.875" style="185" customWidth="1"/>
    <col min="4879" max="4879" width="8.875" style="185" customWidth="1"/>
    <col min="4880" max="4880" width="13.875" style="185" customWidth="1"/>
    <col min="4881" max="4881" width="23.125" style="185" customWidth="1"/>
    <col min="4882" max="5121" width="8.875" style="185" customWidth="1"/>
    <col min="5122" max="5122" width="13.375" style="185" customWidth="1"/>
    <col min="5123" max="5123" width="14.5" style="185" customWidth="1"/>
    <col min="5124" max="5126" width="8.875" style="185" customWidth="1"/>
    <col min="5127" max="5127" width="16.625" style="185" customWidth="1"/>
    <col min="5128" max="5128" width="14" style="185" customWidth="1"/>
    <col min="5129" max="5129" width="15.875" style="185" customWidth="1"/>
    <col min="5130" max="5130" width="10.375" style="185" customWidth="1"/>
    <col min="5131" max="5131" width="20.5" style="185" customWidth="1"/>
    <col min="5132" max="5133" width="8.875" style="185" customWidth="1"/>
    <col min="5134" max="5134" width="17.875" style="185" customWidth="1"/>
    <col min="5135" max="5135" width="8.875" style="185" customWidth="1"/>
    <col min="5136" max="5136" width="13.875" style="185" customWidth="1"/>
    <col min="5137" max="5137" width="23.125" style="185" customWidth="1"/>
    <col min="5138" max="5377" width="8.875" style="185" customWidth="1"/>
    <col min="5378" max="5378" width="13.375" style="185" customWidth="1"/>
    <col min="5379" max="5379" width="14.5" style="185" customWidth="1"/>
    <col min="5380" max="5382" width="8.875" style="185" customWidth="1"/>
    <col min="5383" max="5383" width="16.625" style="185" customWidth="1"/>
    <col min="5384" max="5384" width="14" style="185" customWidth="1"/>
    <col min="5385" max="5385" width="15.875" style="185" customWidth="1"/>
    <col min="5386" max="5386" width="10.375" style="185" customWidth="1"/>
    <col min="5387" max="5387" width="20.5" style="185" customWidth="1"/>
    <col min="5388" max="5389" width="8.875" style="185" customWidth="1"/>
    <col min="5390" max="5390" width="17.875" style="185" customWidth="1"/>
    <col min="5391" max="5391" width="8.875" style="185" customWidth="1"/>
    <col min="5392" max="5392" width="13.875" style="185" customWidth="1"/>
    <col min="5393" max="5393" width="23.125" style="185" customWidth="1"/>
    <col min="5394" max="5633" width="8.875" style="185" customWidth="1"/>
    <col min="5634" max="5634" width="13.375" style="185" customWidth="1"/>
    <col min="5635" max="5635" width="14.5" style="185" customWidth="1"/>
    <col min="5636" max="5638" width="8.875" style="185" customWidth="1"/>
    <col min="5639" max="5639" width="16.625" style="185" customWidth="1"/>
    <col min="5640" max="5640" width="14" style="185" customWidth="1"/>
    <col min="5641" max="5641" width="15.875" style="185" customWidth="1"/>
    <col min="5642" max="5642" width="10.375" style="185" customWidth="1"/>
    <col min="5643" max="5643" width="20.5" style="185" customWidth="1"/>
    <col min="5644" max="5645" width="8.875" style="185" customWidth="1"/>
    <col min="5646" max="5646" width="17.875" style="185" customWidth="1"/>
    <col min="5647" max="5647" width="8.875" style="185" customWidth="1"/>
    <col min="5648" max="5648" width="13.875" style="185" customWidth="1"/>
    <col min="5649" max="5649" width="23.125" style="185" customWidth="1"/>
    <col min="5650" max="5889" width="8.875" style="185" customWidth="1"/>
    <col min="5890" max="5890" width="13.375" style="185" customWidth="1"/>
    <col min="5891" max="5891" width="14.5" style="185" customWidth="1"/>
    <col min="5892" max="5894" width="8.875" style="185" customWidth="1"/>
    <col min="5895" max="5895" width="16.625" style="185" customWidth="1"/>
    <col min="5896" max="5896" width="14" style="185" customWidth="1"/>
    <col min="5897" max="5897" width="15.875" style="185" customWidth="1"/>
    <col min="5898" max="5898" width="10.375" style="185" customWidth="1"/>
    <col min="5899" max="5899" width="20.5" style="185" customWidth="1"/>
    <col min="5900" max="5901" width="8.875" style="185" customWidth="1"/>
    <col min="5902" max="5902" width="17.875" style="185" customWidth="1"/>
    <col min="5903" max="5903" width="8.875" style="185" customWidth="1"/>
    <col min="5904" max="5904" width="13.875" style="185" customWidth="1"/>
    <col min="5905" max="5905" width="23.125" style="185" customWidth="1"/>
    <col min="5906" max="6145" width="8.875" style="185" customWidth="1"/>
    <col min="6146" max="6146" width="13.375" style="185" customWidth="1"/>
    <col min="6147" max="6147" width="14.5" style="185" customWidth="1"/>
    <col min="6148" max="6150" width="8.875" style="185" customWidth="1"/>
    <col min="6151" max="6151" width="16.625" style="185" customWidth="1"/>
    <col min="6152" max="6152" width="14" style="185" customWidth="1"/>
    <col min="6153" max="6153" width="15.875" style="185" customWidth="1"/>
    <col min="6154" max="6154" width="10.375" style="185" customWidth="1"/>
    <col min="6155" max="6155" width="20.5" style="185" customWidth="1"/>
    <col min="6156" max="6157" width="8.875" style="185" customWidth="1"/>
    <col min="6158" max="6158" width="17.875" style="185" customWidth="1"/>
    <col min="6159" max="6159" width="8.875" style="185" customWidth="1"/>
    <col min="6160" max="6160" width="13.875" style="185" customWidth="1"/>
    <col min="6161" max="6161" width="23.125" style="185" customWidth="1"/>
    <col min="6162" max="6401" width="8.875" style="185" customWidth="1"/>
    <col min="6402" max="6402" width="13.375" style="185" customWidth="1"/>
    <col min="6403" max="6403" width="14.5" style="185" customWidth="1"/>
    <col min="6404" max="6406" width="8.875" style="185" customWidth="1"/>
    <col min="6407" max="6407" width="16.625" style="185" customWidth="1"/>
    <col min="6408" max="6408" width="14" style="185" customWidth="1"/>
    <col min="6409" max="6409" width="15.875" style="185" customWidth="1"/>
    <col min="6410" max="6410" width="10.375" style="185" customWidth="1"/>
    <col min="6411" max="6411" width="20.5" style="185" customWidth="1"/>
    <col min="6412" max="6413" width="8.875" style="185" customWidth="1"/>
    <col min="6414" max="6414" width="17.875" style="185" customWidth="1"/>
    <col min="6415" max="6415" width="8.875" style="185" customWidth="1"/>
    <col min="6416" max="6416" width="13.875" style="185" customWidth="1"/>
    <col min="6417" max="6417" width="23.125" style="185" customWidth="1"/>
    <col min="6418" max="6657" width="8.875" style="185" customWidth="1"/>
    <col min="6658" max="6658" width="13.375" style="185" customWidth="1"/>
    <col min="6659" max="6659" width="14.5" style="185" customWidth="1"/>
    <col min="6660" max="6662" width="8.875" style="185" customWidth="1"/>
    <col min="6663" max="6663" width="16.625" style="185" customWidth="1"/>
    <col min="6664" max="6664" width="14" style="185" customWidth="1"/>
    <col min="6665" max="6665" width="15.875" style="185" customWidth="1"/>
    <col min="6666" max="6666" width="10.375" style="185" customWidth="1"/>
    <col min="6667" max="6667" width="20.5" style="185" customWidth="1"/>
    <col min="6668" max="6669" width="8.875" style="185" customWidth="1"/>
    <col min="6670" max="6670" width="17.875" style="185" customWidth="1"/>
    <col min="6671" max="6671" width="8.875" style="185" customWidth="1"/>
    <col min="6672" max="6672" width="13.875" style="185" customWidth="1"/>
    <col min="6673" max="6673" width="23.125" style="185" customWidth="1"/>
    <col min="6674" max="6913" width="8.875" style="185" customWidth="1"/>
    <col min="6914" max="6914" width="13.375" style="185" customWidth="1"/>
    <col min="6915" max="6915" width="14.5" style="185" customWidth="1"/>
    <col min="6916" max="6918" width="8.875" style="185" customWidth="1"/>
    <col min="6919" max="6919" width="16.625" style="185" customWidth="1"/>
    <col min="6920" max="6920" width="14" style="185" customWidth="1"/>
    <col min="6921" max="6921" width="15.875" style="185" customWidth="1"/>
    <col min="6922" max="6922" width="10.375" style="185" customWidth="1"/>
    <col min="6923" max="6923" width="20.5" style="185" customWidth="1"/>
    <col min="6924" max="6925" width="8.875" style="185" customWidth="1"/>
    <col min="6926" max="6926" width="17.875" style="185" customWidth="1"/>
    <col min="6927" max="6927" width="8.875" style="185" customWidth="1"/>
    <col min="6928" max="6928" width="13.875" style="185" customWidth="1"/>
    <col min="6929" max="6929" width="23.125" style="185" customWidth="1"/>
    <col min="6930" max="7169" width="8.875" style="185" customWidth="1"/>
    <col min="7170" max="7170" width="13.375" style="185" customWidth="1"/>
    <col min="7171" max="7171" width="14.5" style="185" customWidth="1"/>
    <col min="7172" max="7174" width="8.875" style="185" customWidth="1"/>
    <col min="7175" max="7175" width="16.625" style="185" customWidth="1"/>
    <col min="7176" max="7176" width="14" style="185" customWidth="1"/>
    <col min="7177" max="7177" width="15.875" style="185" customWidth="1"/>
    <col min="7178" max="7178" width="10.375" style="185" customWidth="1"/>
    <col min="7179" max="7179" width="20.5" style="185" customWidth="1"/>
    <col min="7180" max="7181" width="8.875" style="185" customWidth="1"/>
    <col min="7182" max="7182" width="17.875" style="185" customWidth="1"/>
    <col min="7183" max="7183" width="8.875" style="185" customWidth="1"/>
    <col min="7184" max="7184" width="13.875" style="185" customWidth="1"/>
    <col min="7185" max="7185" width="23.125" style="185" customWidth="1"/>
    <col min="7186" max="7425" width="8.875" style="185" customWidth="1"/>
    <col min="7426" max="7426" width="13.375" style="185" customWidth="1"/>
    <col min="7427" max="7427" width="14.5" style="185" customWidth="1"/>
    <col min="7428" max="7430" width="8.875" style="185" customWidth="1"/>
    <col min="7431" max="7431" width="16.625" style="185" customWidth="1"/>
    <col min="7432" max="7432" width="14" style="185" customWidth="1"/>
    <col min="7433" max="7433" width="15.875" style="185" customWidth="1"/>
    <col min="7434" max="7434" width="10.375" style="185" customWidth="1"/>
    <col min="7435" max="7435" width="20.5" style="185" customWidth="1"/>
    <col min="7436" max="7437" width="8.875" style="185" customWidth="1"/>
    <col min="7438" max="7438" width="17.875" style="185" customWidth="1"/>
    <col min="7439" max="7439" width="8.875" style="185" customWidth="1"/>
    <col min="7440" max="7440" width="13.875" style="185" customWidth="1"/>
    <col min="7441" max="7441" width="23.125" style="185" customWidth="1"/>
    <col min="7442" max="7681" width="8.875" style="185" customWidth="1"/>
    <col min="7682" max="7682" width="13.375" style="185" customWidth="1"/>
    <col min="7683" max="7683" width="14.5" style="185" customWidth="1"/>
    <col min="7684" max="7686" width="8.875" style="185" customWidth="1"/>
    <col min="7687" max="7687" width="16.625" style="185" customWidth="1"/>
    <col min="7688" max="7688" width="14" style="185" customWidth="1"/>
    <col min="7689" max="7689" width="15.875" style="185" customWidth="1"/>
    <col min="7690" max="7690" width="10.375" style="185" customWidth="1"/>
    <col min="7691" max="7691" width="20.5" style="185" customWidth="1"/>
    <col min="7692" max="7693" width="8.875" style="185" customWidth="1"/>
    <col min="7694" max="7694" width="17.875" style="185" customWidth="1"/>
    <col min="7695" max="7695" width="8.875" style="185" customWidth="1"/>
    <col min="7696" max="7696" width="13.875" style="185" customWidth="1"/>
    <col min="7697" max="7697" width="23.125" style="185" customWidth="1"/>
    <col min="7698" max="7937" width="8.875" style="185" customWidth="1"/>
    <col min="7938" max="7938" width="13.375" style="185" customWidth="1"/>
    <col min="7939" max="7939" width="14.5" style="185" customWidth="1"/>
    <col min="7940" max="7942" width="8.875" style="185" customWidth="1"/>
    <col min="7943" max="7943" width="16.625" style="185" customWidth="1"/>
    <col min="7944" max="7944" width="14" style="185" customWidth="1"/>
    <col min="7945" max="7945" width="15.875" style="185" customWidth="1"/>
    <col min="7946" max="7946" width="10.375" style="185" customWidth="1"/>
    <col min="7947" max="7947" width="20.5" style="185" customWidth="1"/>
    <col min="7948" max="7949" width="8.875" style="185" customWidth="1"/>
    <col min="7950" max="7950" width="17.875" style="185" customWidth="1"/>
    <col min="7951" max="7951" width="8.875" style="185" customWidth="1"/>
    <col min="7952" max="7952" width="13.875" style="185" customWidth="1"/>
    <col min="7953" max="7953" width="23.125" style="185" customWidth="1"/>
    <col min="7954" max="8193" width="8.875" style="185" customWidth="1"/>
    <col min="8194" max="8194" width="13.375" style="185" customWidth="1"/>
    <col min="8195" max="8195" width="14.5" style="185" customWidth="1"/>
    <col min="8196" max="8198" width="8.875" style="185" customWidth="1"/>
    <col min="8199" max="8199" width="16.625" style="185" customWidth="1"/>
    <col min="8200" max="8200" width="14" style="185" customWidth="1"/>
    <col min="8201" max="8201" width="15.875" style="185" customWidth="1"/>
    <col min="8202" max="8202" width="10.375" style="185" customWidth="1"/>
    <col min="8203" max="8203" width="20.5" style="185" customWidth="1"/>
    <col min="8204" max="8205" width="8.875" style="185" customWidth="1"/>
    <col min="8206" max="8206" width="17.875" style="185" customWidth="1"/>
    <col min="8207" max="8207" width="8.875" style="185" customWidth="1"/>
    <col min="8208" max="8208" width="13.875" style="185" customWidth="1"/>
    <col min="8209" max="8209" width="23.125" style="185" customWidth="1"/>
    <col min="8210" max="8449" width="8.875" style="185" customWidth="1"/>
    <col min="8450" max="8450" width="13.375" style="185" customWidth="1"/>
    <col min="8451" max="8451" width="14.5" style="185" customWidth="1"/>
    <col min="8452" max="8454" width="8.875" style="185" customWidth="1"/>
    <col min="8455" max="8455" width="16.625" style="185" customWidth="1"/>
    <col min="8456" max="8456" width="14" style="185" customWidth="1"/>
    <col min="8457" max="8457" width="15.875" style="185" customWidth="1"/>
    <col min="8458" max="8458" width="10.375" style="185" customWidth="1"/>
    <col min="8459" max="8459" width="20.5" style="185" customWidth="1"/>
    <col min="8460" max="8461" width="8.875" style="185" customWidth="1"/>
    <col min="8462" max="8462" width="17.875" style="185" customWidth="1"/>
    <col min="8463" max="8463" width="8.875" style="185" customWidth="1"/>
    <col min="8464" max="8464" width="13.875" style="185" customWidth="1"/>
    <col min="8465" max="8465" width="23.125" style="185" customWidth="1"/>
    <col min="8466" max="8705" width="8.875" style="185" customWidth="1"/>
    <col min="8706" max="8706" width="13.375" style="185" customWidth="1"/>
    <col min="8707" max="8707" width="14.5" style="185" customWidth="1"/>
    <col min="8708" max="8710" width="8.875" style="185" customWidth="1"/>
    <col min="8711" max="8711" width="16.625" style="185" customWidth="1"/>
    <col min="8712" max="8712" width="14" style="185" customWidth="1"/>
    <col min="8713" max="8713" width="15.875" style="185" customWidth="1"/>
    <col min="8714" max="8714" width="10.375" style="185" customWidth="1"/>
    <col min="8715" max="8715" width="20.5" style="185" customWidth="1"/>
    <col min="8716" max="8717" width="8.875" style="185" customWidth="1"/>
    <col min="8718" max="8718" width="17.875" style="185" customWidth="1"/>
    <col min="8719" max="8719" width="8.875" style="185" customWidth="1"/>
    <col min="8720" max="8720" width="13.875" style="185" customWidth="1"/>
    <col min="8721" max="8721" width="23.125" style="185" customWidth="1"/>
    <col min="8722" max="8961" width="8.875" style="185" customWidth="1"/>
    <col min="8962" max="8962" width="13.375" style="185" customWidth="1"/>
    <col min="8963" max="8963" width="14.5" style="185" customWidth="1"/>
    <col min="8964" max="8966" width="8.875" style="185" customWidth="1"/>
    <col min="8967" max="8967" width="16.625" style="185" customWidth="1"/>
    <col min="8968" max="8968" width="14" style="185" customWidth="1"/>
    <col min="8969" max="8969" width="15.875" style="185" customWidth="1"/>
    <col min="8970" max="8970" width="10.375" style="185" customWidth="1"/>
    <col min="8971" max="8971" width="20.5" style="185" customWidth="1"/>
    <col min="8972" max="8973" width="8.875" style="185" customWidth="1"/>
    <col min="8974" max="8974" width="17.875" style="185" customWidth="1"/>
    <col min="8975" max="8975" width="8.875" style="185" customWidth="1"/>
    <col min="8976" max="8976" width="13.875" style="185" customWidth="1"/>
    <col min="8977" max="8977" width="23.125" style="185" customWidth="1"/>
    <col min="8978" max="9217" width="8.875" style="185" customWidth="1"/>
    <col min="9218" max="9218" width="13.375" style="185" customWidth="1"/>
    <col min="9219" max="9219" width="14.5" style="185" customWidth="1"/>
    <col min="9220" max="9222" width="8.875" style="185" customWidth="1"/>
    <col min="9223" max="9223" width="16.625" style="185" customWidth="1"/>
    <col min="9224" max="9224" width="14" style="185" customWidth="1"/>
    <col min="9225" max="9225" width="15.875" style="185" customWidth="1"/>
    <col min="9226" max="9226" width="10.375" style="185" customWidth="1"/>
    <col min="9227" max="9227" width="20.5" style="185" customWidth="1"/>
    <col min="9228" max="9229" width="8.875" style="185" customWidth="1"/>
    <col min="9230" max="9230" width="17.875" style="185" customWidth="1"/>
    <col min="9231" max="9231" width="8.875" style="185" customWidth="1"/>
    <col min="9232" max="9232" width="13.875" style="185" customWidth="1"/>
    <col min="9233" max="9233" width="23.125" style="185" customWidth="1"/>
    <col min="9234" max="9473" width="8.875" style="185" customWidth="1"/>
    <col min="9474" max="9474" width="13.375" style="185" customWidth="1"/>
    <col min="9475" max="9475" width="14.5" style="185" customWidth="1"/>
    <col min="9476" max="9478" width="8.875" style="185" customWidth="1"/>
    <col min="9479" max="9479" width="16.625" style="185" customWidth="1"/>
    <col min="9480" max="9480" width="14" style="185" customWidth="1"/>
    <col min="9481" max="9481" width="15.875" style="185" customWidth="1"/>
    <col min="9482" max="9482" width="10.375" style="185" customWidth="1"/>
    <col min="9483" max="9483" width="20.5" style="185" customWidth="1"/>
    <col min="9484" max="9485" width="8.875" style="185" customWidth="1"/>
    <col min="9486" max="9486" width="17.875" style="185" customWidth="1"/>
    <col min="9487" max="9487" width="8.875" style="185" customWidth="1"/>
    <col min="9488" max="9488" width="13.875" style="185" customWidth="1"/>
    <col min="9489" max="9489" width="23.125" style="185" customWidth="1"/>
    <col min="9490" max="9729" width="8.875" style="185" customWidth="1"/>
    <col min="9730" max="9730" width="13.375" style="185" customWidth="1"/>
    <col min="9731" max="9731" width="14.5" style="185" customWidth="1"/>
    <col min="9732" max="9734" width="8.875" style="185" customWidth="1"/>
    <col min="9735" max="9735" width="16.625" style="185" customWidth="1"/>
    <col min="9736" max="9736" width="14" style="185" customWidth="1"/>
    <col min="9737" max="9737" width="15.875" style="185" customWidth="1"/>
    <col min="9738" max="9738" width="10.375" style="185" customWidth="1"/>
    <col min="9739" max="9739" width="20.5" style="185" customWidth="1"/>
    <col min="9740" max="9741" width="8.875" style="185" customWidth="1"/>
    <col min="9742" max="9742" width="17.875" style="185" customWidth="1"/>
    <col min="9743" max="9743" width="8.875" style="185" customWidth="1"/>
    <col min="9744" max="9744" width="13.875" style="185" customWidth="1"/>
    <col min="9745" max="9745" width="23.125" style="185" customWidth="1"/>
    <col min="9746" max="9985" width="8.875" style="185" customWidth="1"/>
    <col min="9986" max="9986" width="13.375" style="185" customWidth="1"/>
    <col min="9987" max="9987" width="14.5" style="185" customWidth="1"/>
    <col min="9988" max="9990" width="8.875" style="185" customWidth="1"/>
    <col min="9991" max="9991" width="16.625" style="185" customWidth="1"/>
    <col min="9992" max="9992" width="14" style="185" customWidth="1"/>
    <col min="9993" max="9993" width="15.875" style="185" customWidth="1"/>
    <col min="9994" max="9994" width="10.375" style="185" customWidth="1"/>
    <col min="9995" max="9995" width="20.5" style="185" customWidth="1"/>
    <col min="9996" max="9997" width="8.875" style="185" customWidth="1"/>
    <col min="9998" max="9998" width="17.875" style="185" customWidth="1"/>
    <col min="9999" max="9999" width="8.875" style="185" customWidth="1"/>
    <col min="10000" max="10000" width="13.875" style="185" customWidth="1"/>
    <col min="10001" max="10001" width="23.125" style="185" customWidth="1"/>
    <col min="10002" max="10241" width="8.875" style="185" customWidth="1"/>
    <col min="10242" max="10242" width="13.375" style="185" customWidth="1"/>
    <col min="10243" max="10243" width="14.5" style="185" customWidth="1"/>
    <col min="10244" max="10246" width="8.875" style="185" customWidth="1"/>
    <col min="10247" max="10247" width="16.625" style="185" customWidth="1"/>
    <col min="10248" max="10248" width="14" style="185" customWidth="1"/>
    <col min="10249" max="10249" width="15.875" style="185" customWidth="1"/>
    <col min="10250" max="10250" width="10.375" style="185" customWidth="1"/>
    <col min="10251" max="10251" width="20.5" style="185" customWidth="1"/>
    <col min="10252" max="10253" width="8.875" style="185" customWidth="1"/>
    <col min="10254" max="10254" width="17.875" style="185" customWidth="1"/>
    <col min="10255" max="10255" width="8.875" style="185" customWidth="1"/>
    <col min="10256" max="10256" width="13.875" style="185" customWidth="1"/>
    <col min="10257" max="10257" width="23.125" style="185" customWidth="1"/>
    <col min="10258" max="10497" width="8.875" style="185" customWidth="1"/>
    <col min="10498" max="10498" width="13.375" style="185" customWidth="1"/>
    <col min="10499" max="10499" width="14.5" style="185" customWidth="1"/>
    <col min="10500" max="10502" width="8.875" style="185" customWidth="1"/>
    <col min="10503" max="10503" width="16.625" style="185" customWidth="1"/>
    <col min="10504" max="10504" width="14" style="185" customWidth="1"/>
    <col min="10505" max="10505" width="15.875" style="185" customWidth="1"/>
    <col min="10506" max="10506" width="10.375" style="185" customWidth="1"/>
    <col min="10507" max="10507" width="20.5" style="185" customWidth="1"/>
    <col min="10508" max="10509" width="8.875" style="185" customWidth="1"/>
    <col min="10510" max="10510" width="17.875" style="185" customWidth="1"/>
    <col min="10511" max="10511" width="8.875" style="185" customWidth="1"/>
    <col min="10512" max="10512" width="13.875" style="185" customWidth="1"/>
    <col min="10513" max="10513" width="23.125" style="185" customWidth="1"/>
    <col min="10514" max="10753" width="8.875" style="185" customWidth="1"/>
    <col min="10754" max="10754" width="13.375" style="185" customWidth="1"/>
    <col min="10755" max="10755" width="14.5" style="185" customWidth="1"/>
    <col min="10756" max="10758" width="8.875" style="185" customWidth="1"/>
    <col min="10759" max="10759" width="16.625" style="185" customWidth="1"/>
    <col min="10760" max="10760" width="14" style="185" customWidth="1"/>
    <col min="10761" max="10761" width="15.875" style="185" customWidth="1"/>
    <col min="10762" max="10762" width="10.375" style="185" customWidth="1"/>
    <col min="10763" max="10763" width="20.5" style="185" customWidth="1"/>
    <col min="10764" max="10765" width="8.875" style="185" customWidth="1"/>
    <col min="10766" max="10766" width="17.875" style="185" customWidth="1"/>
    <col min="10767" max="10767" width="8.875" style="185" customWidth="1"/>
    <col min="10768" max="10768" width="13.875" style="185" customWidth="1"/>
    <col min="10769" max="10769" width="23.125" style="185" customWidth="1"/>
    <col min="10770" max="11009" width="8.875" style="185" customWidth="1"/>
    <col min="11010" max="11010" width="13.375" style="185" customWidth="1"/>
    <col min="11011" max="11011" width="14.5" style="185" customWidth="1"/>
    <col min="11012" max="11014" width="8.875" style="185" customWidth="1"/>
    <col min="11015" max="11015" width="16.625" style="185" customWidth="1"/>
    <col min="11016" max="11016" width="14" style="185" customWidth="1"/>
    <col min="11017" max="11017" width="15.875" style="185" customWidth="1"/>
    <col min="11018" max="11018" width="10.375" style="185" customWidth="1"/>
    <col min="11019" max="11019" width="20.5" style="185" customWidth="1"/>
    <col min="11020" max="11021" width="8.875" style="185" customWidth="1"/>
    <col min="11022" max="11022" width="17.875" style="185" customWidth="1"/>
    <col min="11023" max="11023" width="8.875" style="185" customWidth="1"/>
    <col min="11024" max="11024" width="13.875" style="185" customWidth="1"/>
    <col min="11025" max="11025" width="23.125" style="185" customWidth="1"/>
    <col min="11026" max="11265" width="8.875" style="185" customWidth="1"/>
    <col min="11266" max="11266" width="13.375" style="185" customWidth="1"/>
    <col min="11267" max="11267" width="14.5" style="185" customWidth="1"/>
    <col min="11268" max="11270" width="8.875" style="185" customWidth="1"/>
    <col min="11271" max="11271" width="16.625" style="185" customWidth="1"/>
    <col min="11272" max="11272" width="14" style="185" customWidth="1"/>
    <col min="11273" max="11273" width="15.875" style="185" customWidth="1"/>
    <col min="11274" max="11274" width="10.375" style="185" customWidth="1"/>
    <col min="11275" max="11275" width="20.5" style="185" customWidth="1"/>
    <col min="11276" max="11277" width="8.875" style="185" customWidth="1"/>
    <col min="11278" max="11278" width="17.875" style="185" customWidth="1"/>
    <col min="11279" max="11279" width="8.875" style="185" customWidth="1"/>
    <col min="11280" max="11280" width="13.875" style="185" customWidth="1"/>
    <col min="11281" max="11281" width="23.125" style="185" customWidth="1"/>
    <col min="11282" max="11521" width="8.875" style="185" customWidth="1"/>
    <col min="11522" max="11522" width="13.375" style="185" customWidth="1"/>
    <col min="11523" max="11523" width="14.5" style="185" customWidth="1"/>
    <col min="11524" max="11526" width="8.875" style="185" customWidth="1"/>
    <col min="11527" max="11527" width="16.625" style="185" customWidth="1"/>
    <col min="11528" max="11528" width="14" style="185" customWidth="1"/>
    <col min="11529" max="11529" width="15.875" style="185" customWidth="1"/>
    <col min="11530" max="11530" width="10.375" style="185" customWidth="1"/>
    <col min="11531" max="11531" width="20.5" style="185" customWidth="1"/>
    <col min="11532" max="11533" width="8.875" style="185" customWidth="1"/>
    <col min="11534" max="11534" width="17.875" style="185" customWidth="1"/>
    <col min="11535" max="11535" width="8.875" style="185" customWidth="1"/>
    <col min="11536" max="11536" width="13.875" style="185" customWidth="1"/>
    <col min="11537" max="11537" width="23.125" style="185" customWidth="1"/>
    <col min="11538" max="11777" width="8.875" style="185" customWidth="1"/>
    <col min="11778" max="11778" width="13.375" style="185" customWidth="1"/>
    <col min="11779" max="11779" width="14.5" style="185" customWidth="1"/>
    <col min="11780" max="11782" width="8.875" style="185" customWidth="1"/>
    <col min="11783" max="11783" width="16.625" style="185" customWidth="1"/>
    <col min="11784" max="11784" width="14" style="185" customWidth="1"/>
    <col min="11785" max="11785" width="15.875" style="185" customWidth="1"/>
    <col min="11786" max="11786" width="10.375" style="185" customWidth="1"/>
    <col min="11787" max="11787" width="20.5" style="185" customWidth="1"/>
    <col min="11788" max="11789" width="8.875" style="185" customWidth="1"/>
    <col min="11790" max="11790" width="17.875" style="185" customWidth="1"/>
    <col min="11791" max="11791" width="8.875" style="185" customWidth="1"/>
    <col min="11792" max="11792" width="13.875" style="185" customWidth="1"/>
    <col min="11793" max="11793" width="23.125" style="185" customWidth="1"/>
    <col min="11794" max="12033" width="8.875" style="185" customWidth="1"/>
    <col min="12034" max="12034" width="13.375" style="185" customWidth="1"/>
    <col min="12035" max="12035" width="14.5" style="185" customWidth="1"/>
    <col min="12036" max="12038" width="8.875" style="185" customWidth="1"/>
    <col min="12039" max="12039" width="16.625" style="185" customWidth="1"/>
    <col min="12040" max="12040" width="14" style="185" customWidth="1"/>
    <col min="12041" max="12041" width="15.875" style="185" customWidth="1"/>
    <col min="12042" max="12042" width="10.375" style="185" customWidth="1"/>
    <col min="12043" max="12043" width="20.5" style="185" customWidth="1"/>
    <col min="12044" max="12045" width="8.875" style="185" customWidth="1"/>
    <col min="12046" max="12046" width="17.875" style="185" customWidth="1"/>
    <col min="12047" max="12047" width="8.875" style="185" customWidth="1"/>
    <col min="12048" max="12048" width="13.875" style="185" customWidth="1"/>
    <col min="12049" max="12049" width="23.125" style="185" customWidth="1"/>
    <col min="12050" max="12289" width="8.875" style="185" customWidth="1"/>
    <col min="12290" max="12290" width="13.375" style="185" customWidth="1"/>
    <col min="12291" max="12291" width="14.5" style="185" customWidth="1"/>
    <col min="12292" max="12294" width="8.875" style="185" customWidth="1"/>
    <col min="12295" max="12295" width="16.625" style="185" customWidth="1"/>
    <col min="12296" max="12296" width="14" style="185" customWidth="1"/>
    <col min="12297" max="12297" width="15.875" style="185" customWidth="1"/>
    <col min="12298" max="12298" width="10.375" style="185" customWidth="1"/>
    <col min="12299" max="12299" width="20.5" style="185" customWidth="1"/>
    <col min="12300" max="12301" width="8.875" style="185" customWidth="1"/>
    <col min="12302" max="12302" width="17.875" style="185" customWidth="1"/>
    <col min="12303" max="12303" width="8.875" style="185" customWidth="1"/>
    <col min="12304" max="12304" width="13.875" style="185" customWidth="1"/>
    <col min="12305" max="12305" width="23.125" style="185" customWidth="1"/>
    <col min="12306" max="12545" width="8.875" style="185" customWidth="1"/>
    <col min="12546" max="12546" width="13.375" style="185" customWidth="1"/>
    <col min="12547" max="12547" width="14.5" style="185" customWidth="1"/>
    <col min="12548" max="12550" width="8.875" style="185" customWidth="1"/>
    <col min="12551" max="12551" width="16.625" style="185" customWidth="1"/>
    <col min="12552" max="12552" width="14" style="185" customWidth="1"/>
    <col min="12553" max="12553" width="15.875" style="185" customWidth="1"/>
    <col min="12554" max="12554" width="10.375" style="185" customWidth="1"/>
    <col min="12555" max="12555" width="20.5" style="185" customWidth="1"/>
    <col min="12556" max="12557" width="8.875" style="185" customWidth="1"/>
    <col min="12558" max="12558" width="17.875" style="185" customWidth="1"/>
    <col min="12559" max="12559" width="8.875" style="185" customWidth="1"/>
    <col min="12560" max="12560" width="13.875" style="185" customWidth="1"/>
    <col min="12561" max="12561" width="23.125" style="185" customWidth="1"/>
    <col min="12562" max="12801" width="8.875" style="185" customWidth="1"/>
    <col min="12802" max="12802" width="13.375" style="185" customWidth="1"/>
    <col min="12803" max="12803" width="14.5" style="185" customWidth="1"/>
    <col min="12804" max="12806" width="8.875" style="185" customWidth="1"/>
    <col min="12807" max="12807" width="16.625" style="185" customWidth="1"/>
    <col min="12808" max="12808" width="14" style="185" customWidth="1"/>
    <col min="12809" max="12809" width="15.875" style="185" customWidth="1"/>
    <col min="12810" max="12810" width="10.375" style="185" customWidth="1"/>
    <col min="12811" max="12811" width="20.5" style="185" customWidth="1"/>
    <col min="12812" max="12813" width="8.875" style="185" customWidth="1"/>
    <col min="12814" max="12814" width="17.875" style="185" customWidth="1"/>
    <col min="12815" max="12815" width="8.875" style="185" customWidth="1"/>
    <col min="12816" max="12816" width="13.875" style="185" customWidth="1"/>
    <col min="12817" max="12817" width="23.125" style="185" customWidth="1"/>
    <col min="12818" max="13057" width="8.875" style="185" customWidth="1"/>
    <col min="13058" max="13058" width="13.375" style="185" customWidth="1"/>
    <col min="13059" max="13059" width="14.5" style="185" customWidth="1"/>
    <col min="13060" max="13062" width="8.875" style="185" customWidth="1"/>
    <col min="13063" max="13063" width="16.625" style="185" customWidth="1"/>
    <col min="13064" max="13064" width="14" style="185" customWidth="1"/>
    <col min="13065" max="13065" width="15.875" style="185" customWidth="1"/>
    <col min="13066" max="13066" width="10.375" style="185" customWidth="1"/>
    <col min="13067" max="13067" width="20.5" style="185" customWidth="1"/>
    <col min="13068" max="13069" width="8.875" style="185" customWidth="1"/>
    <col min="13070" max="13070" width="17.875" style="185" customWidth="1"/>
    <col min="13071" max="13071" width="8.875" style="185" customWidth="1"/>
    <col min="13072" max="13072" width="13.875" style="185" customWidth="1"/>
    <col min="13073" max="13073" width="23.125" style="185" customWidth="1"/>
    <col min="13074" max="13313" width="8.875" style="185" customWidth="1"/>
    <col min="13314" max="13314" width="13.375" style="185" customWidth="1"/>
    <col min="13315" max="13315" width="14.5" style="185" customWidth="1"/>
    <col min="13316" max="13318" width="8.875" style="185" customWidth="1"/>
    <col min="13319" max="13319" width="16.625" style="185" customWidth="1"/>
    <col min="13320" max="13320" width="14" style="185" customWidth="1"/>
    <col min="13321" max="13321" width="15.875" style="185" customWidth="1"/>
    <col min="13322" max="13322" width="10.375" style="185" customWidth="1"/>
    <col min="13323" max="13323" width="20.5" style="185" customWidth="1"/>
    <col min="13324" max="13325" width="8.875" style="185" customWidth="1"/>
    <col min="13326" max="13326" width="17.875" style="185" customWidth="1"/>
    <col min="13327" max="13327" width="8.875" style="185" customWidth="1"/>
    <col min="13328" max="13328" width="13.875" style="185" customWidth="1"/>
    <col min="13329" max="13329" width="23.125" style="185" customWidth="1"/>
    <col min="13330" max="13569" width="8.875" style="185" customWidth="1"/>
    <col min="13570" max="13570" width="13.375" style="185" customWidth="1"/>
    <col min="13571" max="13571" width="14.5" style="185" customWidth="1"/>
    <col min="13572" max="13574" width="8.875" style="185" customWidth="1"/>
    <col min="13575" max="13575" width="16.625" style="185" customWidth="1"/>
    <col min="13576" max="13576" width="14" style="185" customWidth="1"/>
    <col min="13577" max="13577" width="15.875" style="185" customWidth="1"/>
    <col min="13578" max="13578" width="10.375" style="185" customWidth="1"/>
    <col min="13579" max="13579" width="20.5" style="185" customWidth="1"/>
    <col min="13580" max="13581" width="8.875" style="185" customWidth="1"/>
    <col min="13582" max="13582" width="17.875" style="185" customWidth="1"/>
    <col min="13583" max="13583" width="8.875" style="185" customWidth="1"/>
    <col min="13584" max="13584" width="13.875" style="185" customWidth="1"/>
    <col min="13585" max="13585" width="23.125" style="185" customWidth="1"/>
    <col min="13586" max="13825" width="8.875" style="185" customWidth="1"/>
    <col min="13826" max="13826" width="13.375" style="185" customWidth="1"/>
    <col min="13827" max="13827" width="14.5" style="185" customWidth="1"/>
    <col min="13828" max="13830" width="8.875" style="185" customWidth="1"/>
    <col min="13831" max="13831" width="16.625" style="185" customWidth="1"/>
    <col min="13832" max="13832" width="14" style="185" customWidth="1"/>
    <col min="13833" max="13833" width="15.875" style="185" customWidth="1"/>
    <col min="13834" max="13834" width="10.375" style="185" customWidth="1"/>
    <col min="13835" max="13835" width="20.5" style="185" customWidth="1"/>
    <col min="13836" max="13837" width="8.875" style="185" customWidth="1"/>
    <col min="13838" max="13838" width="17.875" style="185" customWidth="1"/>
    <col min="13839" max="13839" width="8.875" style="185" customWidth="1"/>
    <col min="13840" max="13840" width="13.875" style="185" customWidth="1"/>
    <col min="13841" max="13841" width="23.125" style="185" customWidth="1"/>
    <col min="13842" max="14081" width="8.875" style="185" customWidth="1"/>
    <col min="14082" max="14082" width="13.375" style="185" customWidth="1"/>
    <col min="14083" max="14083" width="14.5" style="185" customWidth="1"/>
    <col min="14084" max="14086" width="8.875" style="185" customWidth="1"/>
    <col min="14087" max="14087" width="16.625" style="185" customWidth="1"/>
    <col min="14088" max="14088" width="14" style="185" customWidth="1"/>
    <col min="14089" max="14089" width="15.875" style="185" customWidth="1"/>
    <col min="14090" max="14090" width="10.375" style="185" customWidth="1"/>
    <col min="14091" max="14091" width="20.5" style="185" customWidth="1"/>
    <col min="14092" max="14093" width="8.875" style="185" customWidth="1"/>
    <col min="14094" max="14094" width="17.875" style="185" customWidth="1"/>
    <col min="14095" max="14095" width="8.875" style="185" customWidth="1"/>
    <col min="14096" max="14096" width="13.875" style="185" customWidth="1"/>
    <col min="14097" max="14097" width="23.125" style="185" customWidth="1"/>
    <col min="14098" max="14337" width="8.875" style="185" customWidth="1"/>
    <col min="14338" max="14338" width="13.375" style="185" customWidth="1"/>
    <col min="14339" max="14339" width="14.5" style="185" customWidth="1"/>
    <col min="14340" max="14342" width="8.875" style="185" customWidth="1"/>
    <col min="14343" max="14343" width="16.625" style="185" customWidth="1"/>
    <col min="14344" max="14344" width="14" style="185" customWidth="1"/>
    <col min="14345" max="14345" width="15.875" style="185" customWidth="1"/>
    <col min="14346" max="14346" width="10.375" style="185" customWidth="1"/>
    <col min="14347" max="14347" width="20.5" style="185" customWidth="1"/>
    <col min="14348" max="14349" width="8.875" style="185" customWidth="1"/>
    <col min="14350" max="14350" width="17.875" style="185" customWidth="1"/>
    <col min="14351" max="14351" width="8.875" style="185" customWidth="1"/>
    <col min="14352" max="14352" width="13.875" style="185" customWidth="1"/>
    <col min="14353" max="14353" width="23.125" style="185" customWidth="1"/>
    <col min="14354" max="14593" width="8.875" style="185" customWidth="1"/>
    <col min="14594" max="14594" width="13.375" style="185" customWidth="1"/>
    <col min="14595" max="14595" width="14.5" style="185" customWidth="1"/>
    <col min="14596" max="14598" width="8.875" style="185" customWidth="1"/>
    <col min="14599" max="14599" width="16.625" style="185" customWidth="1"/>
    <col min="14600" max="14600" width="14" style="185" customWidth="1"/>
    <col min="14601" max="14601" width="15.875" style="185" customWidth="1"/>
    <col min="14602" max="14602" width="10.375" style="185" customWidth="1"/>
    <col min="14603" max="14603" width="20.5" style="185" customWidth="1"/>
    <col min="14604" max="14605" width="8.875" style="185" customWidth="1"/>
    <col min="14606" max="14606" width="17.875" style="185" customWidth="1"/>
    <col min="14607" max="14607" width="8.875" style="185" customWidth="1"/>
    <col min="14608" max="14608" width="13.875" style="185" customWidth="1"/>
    <col min="14609" max="14609" width="23.125" style="185" customWidth="1"/>
    <col min="14610" max="14849" width="8.875" style="185" customWidth="1"/>
    <col min="14850" max="14850" width="13.375" style="185" customWidth="1"/>
    <col min="14851" max="14851" width="14.5" style="185" customWidth="1"/>
    <col min="14852" max="14854" width="8.875" style="185" customWidth="1"/>
    <col min="14855" max="14855" width="16.625" style="185" customWidth="1"/>
    <col min="14856" max="14856" width="14" style="185" customWidth="1"/>
    <col min="14857" max="14857" width="15.875" style="185" customWidth="1"/>
    <col min="14858" max="14858" width="10.375" style="185" customWidth="1"/>
    <col min="14859" max="14859" width="20.5" style="185" customWidth="1"/>
    <col min="14860" max="14861" width="8.875" style="185" customWidth="1"/>
    <col min="14862" max="14862" width="17.875" style="185" customWidth="1"/>
    <col min="14863" max="14863" width="8.875" style="185" customWidth="1"/>
    <col min="14864" max="14864" width="13.875" style="185" customWidth="1"/>
    <col min="14865" max="14865" width="23.125" style="185" customWidth="1"/>
    <col min="14866" max="15105" width="8.875" style="185" customWidth="1"/>
    <col min="15106" max="15106" width="13.375" style="185" customWidth="1"/>
    <col min="15107" max="15107" width="14.5" style="185" customWidth="1"/>
    <col min="15108" max="15110" width="8.875" style="185" customWidth="1"/>
    <col min="15111" max="15111" width="16.625" style="185" customWidth="1"/>
    <col min="15112" max="15112" width="14" style="185" customWidth="1"/>
    <col min="15113" max="15113" width="15.875" style="185" customWidth="1"/>
    <col min="15114" max="15114" width="10.375" style="185" customWidth="1"/>
    <col min="15115" max="15115" width="20.5" style="185" customWidth="1"/>
    <col min="15116" max="15117" width="8.875" style="185" customWidth="1"/>
    <col min="15118" max="15118" width="17.875" style="185" customWidth="1"/>
    <col min="15119" max="15119" width="8.875" style="185" customWidth="1"/>
    <col min="15120" max="15120" width="13.875" style="185" customWidth="1"/>
    <col min="15121" max="15121" width="23.125" style="185" customWidth="1"/>
    <col min="15122" max="15361" width="8.875" style="185" customWidth="1"/>
    <col min="15362" max="15362" width="13.375" style="185" customWidth="1"/>
    <col min="15363" max="15363" width="14.5" style="185" customWidth="1"/>
    <col min="15364" max="15366" width="8.875" style="185" customWidth="1"/>
    <col min="15367" max="15367" width="16.625" style="185" customWidth="1"/>
    <col min="15368" max="15368" width="14" style="185" customWidth="1"/>
    <col min="15369" max="15369" width="15.875" style="185" customWidth="1"/>
    <col min="15370" max="15370" width="10.375" style="185" customWidth="1"/>
    <col min="15371" max="15371" width="20.5" style="185" customWidth="1"/>
    <col min="15372" max="15373" width="8.875" style="185" customWidth="1"/>
    <col min="15374" max="15374" width="17.875" style="185" customWidth="1"/>
    <col min="15375" max="15375" width="8.875" style="185" customWidth="1"/>
    <col min="15376" max="15376" width="13.875" style="185" customWidth="1"/>
    <col min="15377" max="15377" width="23.125" style="185" customWidth="1"/>
    <col min="15378" max="15617" width="8.875" style="185" customWidth="1"/>
    <col min="15618" max="15618" width="13.375" style="185" customWidth="1"/>
    <col min="15619" max="15619" width="14.5" style="185" customWidth="1"/>
    <col min="15620" max="15622" width="8.875" style="185" customWidth="1"/>
    <col min="15623" max="15623" width="16.625" style="185" customWidth="1"/>
    <col min="15624" max="15624" width="14" style="185" customWidth="1"/>
    <col min="15625" max="15625" width="15.875" style="185" customWidth="1"/>
    <col min="15626" max="15626" width="10.375" style="185" customWidth="1"/>
    <col min="15627" max="15627" width="20.5" style="185" customWidth="1"/>
    <col min="15628" max="15629" width="8.875" style="185" customWidth="1"/>
    <col min="15630" max="15630" width="17.875" style="185" customWidth="1"/>
    <col min="15631" max="15631" width="8.875" style="185" customWidth="1"/>
    <col min="15632" max="15632" width="13.875" style="185" customWidth="1"/>
    <col min="15633" max="15633" width="23.125" style="185" customWidth="1"/>
    <col min="15634" max="15873" width="8.875" style="185" customWidth="1"/>
    <col min="15874" max="15874" width="13.375" style="185" customWidth="1"/>
    <col min="15875" max="15875" width="14.5" style="185" customWidth="1"/>
    <col min="15876" max="15878" width="8.875" style="185" customWidth="1"/>
    <col min="15879" max="15879" width="16.625" style="185" customWidth="1"/>
    <col min="15880" max="15880" width="14" style="185" customWidth="1"/>
    <col min="15881" max="15881" width="15.875" style="185" customWidth="1"/>
    <col min="15882" max="15882" width="10.375" style="185" customWidth="1"/>
    <col min="15883" max="15883" width="20.5" style="185" customWidth="1"/>
    <col min="15884" max="15885" width="8.875" style="185" customWidth="1"/>
    <col min="15886" max="15886" width="17.875" style="185" customWidth="1"/>
    <col min="15887" max="15887" width="8.875" style="185" customWidth="1"/>
    <col min="15888" max="15888" width="13.875" style="185" customWidth="1"/>
    <col min="15889" max="15889" width="23.125" style="185" customWidth="1"/>
    <col min="15890" max="16129" width="8.875" style="185" customWidth="1"/>
    <col min="16130" max="16130" width="13.375" style="185" customWidth="1"/>
    <col min="16131" max="16131" width="14.5" style="185" customWidth="1"/>
    <col min="16132" max="16134" width="8.875" style="185" customWidth="1"/>
    <col min="16135" max="16135" width="16.625" style="185" customWidth="1"/>
    <col min="16136" max="16136" width="14" style="185" customWidth="1"/>
    <col min="16137" max="16137" width="15.875" style="185" customWidth="1"/>
    <col min="16138" max="16138" width="10.375" style="185" customWidth="1"/>
    <col min="16139" max="16139" width="20.5" style="185" customWidth="1"/>
    <col min="16140" max="16141" width="8.875" style="185" customWidth="1"/>
    <col min="16142" max="16142" width="17.875" style="185" customWidth="1"/>
    <col min="16143" max="16143" width="8.875" style="185" customWidth="1"/>
    <col min="16144" max="16144" width="13.875" style="185" customWidth="1"/>
    <col min="16145" max="16145" width="23.125" style="185" customWidth="1"/>
    <col min="16146" max="16384" width="8.875" style="185" customWidth="1"/>
  </cols>
  <sheetData>
    <row r="1" spans="1:17" x14ac:dyDescent="0.25">
      <c r="A1" s="1765" t="s">
        <v>411</v>
      </c>
      <c r="B1" s="1765"/>
      <c r="C1" s="1765"/>
      <c r="D1" s="1765"/>
      <c r="E1" s="1765"/>
      <c r="F1" s="1765"/>
      <c r="G1" s="1765"/>
      <c r="H1" s="1765"/>
      <c r="I1" s="1765"/>
      <c r="J1" s="1765"/>
      <c r="K1" s="1765"/>
      <c r="L1" s="1765"/>
      <c r="M1" s="1765"/>
      <c r="N1" s="1765"/>
      <c r="O1" s="1765"/>
      <c r="P1" s="1765"/>
      <c r="Q1" s="1765"/>
    </row>
    <row r="2" spans="1:17" x14ac:dyDescent="0.25">
      <c r="A2" s="1765" t="s">
        <v>412</v>
      </c>
      <c r="B2" s="1765"/>
      <c r="C2" s="1765"/>
      <c r="D2" s="1765"/>
      <c r="E2" s="1765"/>
      <c r="F2" s="1765"/>
      <c r="G2" s="1765"/>
      <c r="H2" s="1765"/>
      <c r="I2" s="1765"/>
      <c r="J2" s="1765"/>
      <c r="K2" s="1765"/>
      <c r="L2" s="1765"/>
      <c r="M2" s="1765"/>
      <c r="N2" s="1765"/>
      <c r="O2" s="1765"/>
      <c r="P2" s="1765"/>
      <c r="Q2" s="1765"/>
    </row>
    <row r="3" spans="1:17" x14ac:dyDescent="0.25">
      <c r="A3" s="1762" t="s">
        <v>413</v>
      </c>
      <c r="B3" s="1762"/>
      <c r="C3" s="1762"/>
      <c r="D3" s="1762"/>
      <c r="E3" s="1762"/>
      <c r="F3" s="1762"/>
      <c r="G3" s="1762"/>
      <c r="H3" s="1762"/>
      <c r="I3" s="1762"/>
      <c r="J3" s="1762"/>
      <c r="K3" s="1762"/>
      <c r="L3" s="1762"/>
      <c r="M3" s="1762"/>
      <c r="N3" s="1762"/>
      <c r="O3" s="1762"/>
      <c r="P3" s="1762"/>
      <c r="Q3" s="1762"/>
    </row>
    <row r="4" spans="1:17" x14ac:dyDescent="0.25">
      <c r="A4" s="1765" t="s">
        <v>996</v>
      </c>
      <c r="B4" s="1765"/>
      <c r="C4" s="1765"/>
      <c r="D4" s="1765"/>
      <c r="E4" s="1765"/>
      <c r="F4" s="1765"/>
      <c r="G4" s="1765"/>
      <c r="H4" s="1765"/>
      <c r="I4" s="1765"/>
      <c r="J4" s="1765"/>
      <c r="K4" s="1765"/>
      <c r="L4" s="1765"/>
      <c r="M4" s="1765"/>
      <c r="N4" s="1765"/>
      <c r="O4" s="1765"/>
      <c r="P4" s="1765"/>
      <c r="Q4" s="1765"/>
    </row>
    <row r="5" spans="1:17" x14ac:dyDescent="0.25">
      <c r="A5" s="1765" t="s">
        <v>997</v>
      </c>
      <c r="B5" s="1765"/>
      <c r="C5" s="1765"/>
      <c r="D5" s="1765"/>
      <c r="E5" s="1765"/>
      <c r="F5" s="1765"/>
      <c r="G5" s="1765"/>
      <c r="H5" s="1765"/>
      <c r="I5" s="1765"/>
      <c r="J5" s="1765"/>
      <c r="K5" s="1765"/>
      <c r="L5" s="1765"/>
      <c r="M5" s="1765"/>
      <c r="N5" s="1765"/>
      <c r="O5" s="1765"/>
      <c r="P5" s="1765"/>
      <c r="Q5" s="1765"/>
    </row>
    <row r="6" spans="1:17" x14ac:dyDescent="0.25">
      <c r="A6" s="1765" t="s">
        <v>998</v>
      </c>
      <c r="B6" s="1765"/>
      <c r="C6" s="1765"/>
      <c r="D6" s="1765"/>
      <c r="E6" s="1765"/>
      <c r="F6" s="1765"/>
      <c r="G6" s="1765"/>
      <c r="H6" s="1765"/>
      <c r="I6" s="1765"/>
      <c r="J6" s="1765"/>
      <c r="K6" s="1765"/>
      <c r="L6" s="1765"/>
      <c r="M6" s="1765"/>
      <c r="N6" s="1765"/>
      <c r="O6" s="1765"/>
      <c r="P6" s="1765"/>
      <c r="Q6" s="1765"/>
    </row>
    <row r="7" spans="1:17" x14ac:dyDescent="0.25">
      <c r="A7" s="1765"/>
      <c r="B7" s="1765"/>
      <c r="C7" s="1765"/>
      <c r="D7" s="1765"/>
      <c r="E7" s="1765"/>
      <c r="F7" s="1765"/>
      <c r="G7" s="1765"/>
      <c r="H7" s="1765"/>
      <c r="I7" s="1765"/>
      <c r="J7" s="1765"/>
      <c r="K7" s="1765"/>
      <c r="L7" s="1765"/>
      <c r="M7" s="1765"/>
      <c r="N7" s="1765"/>
      <c r="O7" s="1765"/>
      <c r="P7" s="1765"/>
      <c r="Q7" s="1765"/>
    </row>
    <row r="8" spans="1:17" x14ac:dyDescent="0.25">
      <c r="A8" s="1274"/>
      <c r="B8" s="1274"/>
      <c r="C8" s="1274"/>
      <c r="D8" s="1274"/>
      <c r="E8" s="1322"/>
      <c r="F8" s="1274"/>
      <c r="G8" s="1274"/>
      <c r="H8" s="1274"/>
      <c r="I8" s="1274"/>
      <c r="J8" s="1274"/>
      <c r="K8" s="1274"/>
      <c r="L8" s="1274"/>
      <c r="M8" s="1274"/>
      <c r="N8" s="1274"/>
      <c r="O8" s="1274"/>
      <c r="P8" s="1274"/>
      <c r="Q8" s="1274"/>
    </row>
    <row r="9" spans="1:17" x14ac:dyDescent="0.25">
      <c r="A9" s="1275" t="s">
        <v>417</v>
      </c>
      <c r="B9" s="1276"/>
      <c r="C9" s="1276"/>
      <c r="D9" s="1276"/>
      <c r="E9" s="1277"/>
      <c r="F9" s="1276"/>
      <c r="G9" s="1276"/>
      <c r="H9" s="1276"/>
      <c r="I9" s="1276"/>
      <c r="J9" s="1276"/>
      <c r="K9" s="1278"/>
      <c r="L9" s="1279" t="s">
        <v>418</v>
      </c>
      <c r="M9" s="1280"/>
      <c r="N9" s="1280"/>
      <c r="O9" s="1280"/>
      <c r="P9" s="1280"/>
      <c r="Q9" s="1280"/>
    </row>
    <row r="10" spans="1:17" x14ac:dyDescent="0.25">
      <c r="A10" s="1281" t="s">
        <v>984</v>
      </c>
      <c r="B10" s="1282"/>
      <c r="C10" s="1282"/>
      <c r="D10" s="1282"/>
      <c r="E10" s="1283"/>
      <c r="F10" s="1282"/>
      <c r="G10" s="1282"/>
      <c r="H10" s="1282"/>
      <c r="I10" s="1282"/>
      <c r="J10" s="1282"/>
      <c r="K10" s="1284"/>
      <c r="L10" s="1285" t="s">
        <v>421</v>
      </c>
      <c r="M10" s="1276"/>
      <c r="N10" s="1285"/>
      <c r="O10" s="1276" t="s">
        <v>422</v>
      </c>
      <c r="P10" s="1276"/>
      <c r="Q10" s="1278"/>
    </row>
    <row r="11" spans="1:17" x14ac:dyDescent="0.25">
      <c r="A11" s="1281"/>
      <c r="B11" s="1282"/>
      <c r="C11" s="1282"/>
      <c r="D11" s="1282"/>
      <c r="E11" s="1283"/>
      <c r="F11" s="1282"/>
      <c r="G11" s="1282"/>
      <c r="H11" s="1282"/>
      <c r="I11" s="1282"/>
      <c r="J11" s="1282"/>
      <c r="K11" s="1284"/>
      <c r="L11" s="1281"/>
      <c r="M11" s="1282" t="s">
        <v>999</v>
      </c>
      <c r="N11" s="1281"/>
      <c r="O11" s="1282" t="s">
        <v>760</v>
      </c>
      <c r="P11" s="1282"/>
      <c r="Q11" s="1284"/>
    </row>
    <row r="12" spans="1:17" x14ac:dyDescent="0.25">
      <c r="A12" s="1281"/>
      <c r="B12" s="1282"/>
      <c r="C12" s="1282"/>
      <c r="D12" s="1282"/>
      <c r="E12" s="1283"/>
      <c r="F12" s="1282"/>
      <c r="G12" s="1282"/>
      <c r="H12" s="1282"/>
      <c r="I12" s="1282"/>
      <c r="J12" s="1282"/>
      <c r="K12" s="1284"/>
      <c r="L12" s="1281"/>
      <c r="M12" s="1282" t="s">
        <v>1000</v>
      </c>
      <c r="N12" s="1281"/>
      <c r="O12" s="1282" t="s">
        <v>762</v>
      </c>
      <c r="P12" s="1282"/>
      <c r="Q12" s="1284"/>
    </row>
    <row r="13" spans="1:17" x14ac:dyDescent="0.25">
      <c r="A13" s="1286"/>
      <c r="B13" s="1287"/>
      <c r="C13" s="1287"/>
      <c r="D13" s="1287"/>
      <c r="E13" s="1288"/>
      <c r="F13" s="1287"/>
      <c r="G13" s="1287"/>
      <c r="H13" s="1287"/>
      <c r="I13" s="1287"/>
      <c r="J13" s="1287"/>
      <c r="K13" s="1289"/>
      <c r="L13" s="1290"/>
      <c r="M13" s="1287" t="s">
        <v>987</v>
      </c>
      <c r="N13" s="1286"/>
      <c r="O13" s="1287" t="s">
        <v>1001</v>
      </c>
      <c r="P13" s="1287"/>
      <c r="Q13" s="1289"/>
    </row>
    <row r="14" spans="1:17" x14ac:dyDescent="0.25">
      <c r="A14" s="1279" t="s">
        <v>430</v>
      </c>
      <c r="B14" s="1280"/>
      <c r="C14" s="1280"/>
      <c r="D14" s="1280"/>
      <c r="E14" s="1291"/>
      <c r="F14" s="1280"/>
      <c r="G14" s="1280"/>
      <c r="H14" s="1280"/>
      <c r="I14" s="1280"/>
      <c r="J14" s="1280"/>
      <c r="K14" s="1280"/>
      <c r="L14" s="1280"/>
      <c r="M14" s="1280"/>
      <c r="N14" s="1280"/>
      <c r="O14" s="1280"/>
      <c r="P14" s="1280"/>
      <c r="Q14" s="1280"/>
    </row>
    <row r="15" spans="1:17" x14ac:dyDescent="0.25">
      <c r="A15" s="1763" t="s">
        <v>431</v>
      </c>
      <c r="B15" s="1764" t="s">
        <v>432</v>
      </c>
      <c r="C15" s="1763" t="s">
        <v>668</v>
      </c>
      <c r="D15" s="1763" t="s">
        <v>434</v>
      </c>
      <c r="E15" s="1766" t="s">
        <v>435</v>
      </c>
      <c r="F15" s="1763" t="s">
        <v>436</v>
      </c>
      <c r="G15" s="1763" t="s">
        <v>956</v>
      </c>
      <c r="H15" s="1763"/>
      <c r="I15" s="1763"/>
      <c r="J15" s="1767" t="s">
        <v>863</v>
      </c>
      <c r="K15" s="1768"/>
      <c r="L15" s="1769" t="s">
        <v>439</v>
      </c>
      <c r="M15" s="1763" t="s">
        <v>957</v>
      </c>
      <c r="N15" s="1764" t="s">
        <v>440</v>
      </c>
      <c r="O15" s="1764"/>
      <c r="P15" s="1764"/>
      <c r="Q15" s="1764"/>
    </row>
    <row r="16" spans="1:17" x14ac:dyDescent="0.25">
      <c r="A16" s="1763"/>
      <c r="B16" s="1764"/>
      <c r="C16" s="1763"/>
      <c r="D16" s="1763"/>
      <c r="E16" s="1766"/>
      <c r="F16" s="1763"/>
      <c r="G16" s="1764" t="s">
        <v>447</v>
      </c>
      <c r="H16" s="1763" t="s">
        <v>448</v>
      </c>
      <c r="I16" s="1763" t="s">
        <v>449</v>
      </c>
      <c r="J16" s="1763" t="s">
        <v>441</v>
      </c>
      <c r="K16" s="1763" t="s">
        <v>442</v>
      </c>
      <c r="L16" s="1770"/>
      <c r="M16" s="1763"/>
      <c r="N16" s="1763" t="s">
        <v>450</v>
      </c>
      <c r="O16" s="1764" t="s">
        <v>958</v>
      </c>
      <c r="P16" s="1764"/>
      <c r="Q16" s="1764" t="s">
        <v>865</v>
      </c>
    </row>
    <row r="17" spans="1:17" ht="60" x14ac:dyDescent="0.25">
      <c r="A17" s="1763"/>
      <c r="B17" s="1764"/>
      <c r="C17" s="1763"/>
      <c r="D17" s="1763"/>
      <c r="E17" s="1766"/>
      <c r="F17" s="1763"/>
      <c r="G17" s="1764"/>
      <c r="H17" s="1763"/>
      <c r="I17" s="1763"/>
      <c r="J17" s="1763"/>
      <c r="K17" s="1763"/>
      <c r="L17" s="1771"/>
      <c r="M17" s="1763"/>
      <c r="N17" s="1763"/>
      <c r="O17" s="1543" t="s">
        <v>959</v>
      </c>
      <c r="P17" s="1543" t="s">
        <v>960</v>
      </c>
      <c r="Q17" s="1764"/>
    </row>
    <row r="18" spans="1:17" x14ac:dyDescent="0.25">
      <c r="A18" s="1292" t="s">
        <v>454</v>
      </c>
      <c r="B18" s="1292">
        <v>1</v>
      </c>
      <c r="C18" s="1292">
        <v>2</v>
      </c>
      <c r="D18" s="1292">
        <v>3</v>
      </c>
      <c r="E18" s="1292">
        <v>4</v>
      </c>
      <c r="F18" s="1292">
        <v>5</v>
      </c>
      <c r="G18" s="1292">
        <v>6</v>
      </c>
      <c r="H18" s="1292">
        <v>7</v>
      </c>
      <c r="I18" s="1292">
        <v>8</v>
      </c>
      <c r="J18" s="1292">
        <v>9</v>
      </c>
      <c r="K18" s="1292">
        <v>10</v>
      </c>
      <c r="L18" s="1292">
        <v>11</v>
      </c>
      <c r="M18" s="1292">
        <v>12</v>
      </c>
      <c r="N18" s="1292">
        <v>13</v>
      </c>
      <c r="O18" s="1292">
        <v>14</v>
      </c>
      <c r="P18" s="1292">
        <v>15</v>
      </c>
      <c r="Q18" s="1292">
        <v>16</v>
      </c>
    </row>
    <row r="19" spans="1:17" x14ac:dyDescent="0.25">
      <c r="A19" s="1292"/>
      <c r="B19" s="1294" t="s">
        <v>470</v>
      </c>
      <c r="C19" s="1292"/>
      <c r="D19" s="1292"/>
      <c r="E19" s="1293"/>
      <c r="F19" s="1292"/>
      <c r="G19" s="1295">
        <f>G21+G52</f>
        <v>4935.28</v>
      </c>
      <c r="H19" s="1295">
        <f>H21+H52</f>
        <v>0.28000000000000003</v>
      </c>
      <c r="I19" s="1295">
        <f>I21+I52</f>
        <v>4935</v>
      </c>
      <c r="J19" s="1295"/>
      <c r="K19" s="1295"/>
      <c r="L19" s="1295"/>
      <c r="M19" s="1295"/>
      <c r="N19" s="1295">
        <f>N21+N52</f>
        <v>2302.7635999999998</v>
      </c>
      <c r="O19" s="1295"/>
      <c r="P19" s="1295"/>
      <c r="Q19" s="1295">
        <f>Q21+Q52</f>
        <v>36844217.600000001</v>
      </c>
    </row>
    <row r="20" spans="1:17" x14ac:dyDescent="0.25">
      <c r="A20" s="1292"/>
      <c r="B20" s="1294"/>
      <c r="C20" s="1292"/>
      <c r="D20" s="1292"/>
      <c r="E20" s="1293"/>
      <c r="F20" s="1292"/>
      <c r="G20" s="1295"/>
      <c r="H20" s="1295"/>
      <c r="I20" s="1295"/>
      <c r="J20" s="1295"/>
      <c r="K20" s="1295"/>
      <c r="L20" s="1295"/>
      <c r="M20" s="1295"/>
      <c r="N20" s="1295"/>
      <c r="O20" s="1295"/>
      <c r="P20" s="1295"/>
      <c r="Q20" s="1295"/>
    </row>
    <row r="21" spans="1:17" x14ac:dyDescent="0.25">
      <c r="A21" s="1292"/>
      <c r="B21" s="1296" t="s">
        <v>537</v>
      </c>
      <c r="C21" s="1292"/>
      <c r="D21" s="1292"/>
      <c r="E21" s="1293"/>
      <c r="F21" s="1292"/>
      <c r="G21" s="1295">
        <f>G22+G32</f>
        <v>4895.28</v>
      </c>
      <c r="H21" s="1295">
        <f>H22+H32</f>
        <v>0.28000000000000003</v>
      </c>
      <c r="I21" s="1295">
        <f>I22+I32</f>
        <v>4895</v>
      </c>
      <c r="J21" s="1295"/>
      <c r="K21" s="1295"/>
      <c r="L21" s="1295"/>
      <c r="M21" s="1295"/>
      <c r="N21" s="1295">
        <f>N22+N32</f>
        <v>2297.5315999999998</v>
      </c>
      <c r="O21" s="1295"/>
      <c r="P21" s="1295"/>
      <c r="Q21" s="1295">
        <f>Q22+Q32</f>
        <v>36760505.600000001</v>
      </c>
    </row>
    <row r="22" spans="1:17" x14ac:dyDescent="0.25">
      <c r="A22" s="1292"/>
      <c r="B22" s="1297" t="s">
        <v>777</v>
      </c>
      <c r="C22" s="1292"/>
      <c r="D22" s="1292"/>
      <c r="E22" s="1293"/>
      <c r="F22" s="1292"/>
      <c r="G22" s="1295">
        <f>SUM(G24:G30)</f>
        <v>931</v>
      </c>
      <c r="H22" s="1295">
        <f>SUM(H24:H30)</f>
        <v>0</v>
      </c>
      <c r="I22" s="1295">
        <f>SUM(I24:I30)</f>
        <v>931</v>
      </c>
      <c r="J22" s="1292"/>
      <c r="K22" s="1292"/>
      <c r="L22" s="1292"/>
      <c r="M22" s="1292"/>
      <c r="N22" s="1295">
        <f>SUM(N24:N30)</f>
        <v>326.03200000000004</v>
      </c>
      <c r="O22" s="1295"/>
      <c r="P22" s="1295"/>
      <c r="Q22" s="1295">
        <f>SUM(Q24:Q30)</f>
        <v>5216512</v>
      </c>
    </row>
    <row r="23" spans="1:17" s="1264" customFormat="1" x14ac:dyDescent="0.25">
      <c r="A23" s="1301"/>
      <c r="B23" s="1298" t="s">
        <v>718</v>
      </c>
      <c r="C23" s="1301"/>
      <c r="D23" s="1301"/>
      <c r="E23" s="1303"/>
      <c r="F23" s="1301"/>
      <c r="G23" s="1328">
        <f>SUM(G24:G25)</f>
        <v>77</v>
      </c>
      <c r="H23" s="1328">
        <f t="shared" ref="H23:Q23" si="0">SUM(H24:H25)</f>
        <v>0</v>
      </c>
      <c r="I23" s="1328">
        <f t="shared" si="0"/>
        <v>77</v>
      </c>
      <c r="J23" s="1328">
        <f t="shared" si="0"/>
        <v>9.94</v>
      </c>
      <c r="K23" s="1328">
        <f t="shared" si="0"/>
        <v>8.44</v>
      </c>
      <c r="L23" s="1328">
        <f t="shared" si="0"/>
        <v>0.2</v>
      </c>
      <c r="M23" s="1328">
        <f t="shared" si="0"/>
        <v>0</v>
      </c>
      <c r="N23" s="1328">
        <f t="shared" si="0"/>
        <v>38.268999999999998</v>
      </c>
      <c r="O23" s="1328">
        <f t="shared" si="0"/>
        <v>0</v>
      </c>
      <c r="P23" s="1328">
        <f t="shared" si="0"/>
        <v>32</v>
      </c>
      <c r="Q23" s="1328">
        <f t="shared" si="0"/>
        <v>612304</v>
      </c>
    </row>
    <row r="24" spans="1:17" x14ac:dyDescent="0.25">
      <c r="A24" s="1292"/>
      <c r="C24" s="1298" t="s">
        <v>713</v>
      </c>
      <c r="D24" s="1293">
        <v>96</v>
      </c>
      <c r="E24" s="1293">
        <v>1142</v>
      </c>
      <c r="F24" s="1299" t="s">
        <v>539</v>
      </c>
      <c r="G24" s="1280">
        <f t="shared" ref="G24:G30" si="1">SUM(H24:I24)</f>
        <v>72</v>
      </c>
      <c r="H24" s="1292"/>
      <c r="I24" s="1292">
        <v>72</v>
      </c>
      <c r="J24" s="1292">
        <v>4.97</v>
      </c>
      <c r="K24" s="1292">
        <v>4.22</v>
      </c>
      <c r="L24" s="1292">
        <v>0.1</v>
      </c>
      <c r="M24" s="1292"/>
      <c r="N24" s="1280">
        <f t="shared" ref="N24:N30" si="2">I24*J24*L24</f>
        <v>35.783999999999999</v>
      </c>
      <c r="O24" s="1280"/>
      <c r="P24" s="1280">
        <v>16</v>
      </c>
      <c r="Q24" s="1280">
        <f t="shared" ref="Q24:Q30" si="3">P24*N24*1000</f>
        <v>572544</v>
      </c>
    </row>
    <row r="25" spans="1:17" x14ac:dyDescent="0.25">
      <c r="A25" s="1292"/>
      <c r="B25" s="1298"/>
      <c r="C25" s="1298"/>
      <c r="D25" s="1293">
        <v>7</v>
      </c>
      <c r="E25" s="1293">
        <v>155</v>
      </c>
      <c r="F25" s="1299" t="s">
        <v>586</v>
      </c>
      <c r="G25" s="1280">
        <f t="shared" si="1"/>
        <v>5</v>
      </c>
      <c r="H25" s="1292"/>
      <c r="I25" s="1292">
        <v>5</v>
      </c>
      <c r="J25" s="1292">
        <v>4.97</v>
      </c>
      <c r="K25" s="1292">
        <v>4.22</v>
      </c>
      <c r="L25" s="1292">
        <v>0.1</v>
      </c>
      <c r="M25" s="1292"/>
      <c r="N25" s="1280">
        <f t="shared" si="2"/>
        <v>2.4849999999999999</v>
      </c>
      <c r="O25" s="1280"/>
      <c r="P25" s="1280">
        <v>16</v>
      </c>
      <c r="Q25" s="1280">
        <f t="shared" si="3"/>
        <v>39760</v>
      </c>
    </row>
    <row r="26" spans="1:17" s="1264" customFormat="1" x14ac:dyDescent="0.25">
      <c r="A26" s="1301"/>
      <c r="B26" s="1298" t="s">
        <v>724</v>
      </c>
      <c r="C26" s="1306"/>
      <c r="D26" s="1303"/>
      <c r="E26" s="1303"/>
      <c r="F26" s="1307"/>
      <c r="G26" s="1328">
        <f>SUM(G27:G28)</f>
        <v>152</v>
      </c>
      <c r="H26" s="1328">
        <f t="shared" ref="H26:Q26" si="4">SUM(H27:H28)</f>
        <v>0</v>
      </c>
      <c r="I26" s="1328">
        <f t="shared" si="4"/>
        <v>152</v>
      </c>
      <c r="J26" s="1328">
        <f t="shared" si="4"/>
        <v>9.94</v>
      </c>
      <c r="K26" s="1328">
        <f t="shared" si="4"/>
        <v>8.44</v>
      </c>
      <c r="L26" s="1328">
        <f t="shared" si="4"/>
        <v>0.2</v>
      </c>
      <c r="M26" s="1328">
        <f t="shared" si="4"/>
        <v>0</v>
      </c>
      <c r="N26" s="1328">
        <f t="shared" si="4"/>
        <v>75.544000000000011</v>
      </c>
      <c r="O26" s="1328">
        <f t="shared" si="4"/>
        <v>0</v>
      </c>
      <c r="P26" s="1328">
        <f t="shared" si="4"/>
        <v>32</v>
      </c>
      <c r="Q26" s="1328">
        <f t="shared" si="4"/>
        <v>1208704</v>
      </c>
    </row>
    <row r="27" spans="1:17" x14ac:dyDescent="0.25">
      <c r="A27" s="1292"/>
      <c r="C27" s="1298" t="s">
        <v>713</v>
      </c>
      <c r="D27" s="1293">
        <v>135</v>
      </c>
      <c r="E27" s="1293">
        <v>815</v>
      </c>
      <c r="F27" s="1299" t="s">
        <v>586</v>
      </c>
      <c r="G27" s="1280">
        <f t="shared" si="1"/>
        <v>101</v>
      </c>
      <c r="H27" s="1292"/>
      <c r="I27" s="1292">
        <v>101</v>
      </c>
      <c r="J27" s="1292">
        <v>4.97</v>
      </c>
      <c r="K27" s="1292">
        <v>4.22</v>
      </c>
      <c r="L27" s="1292">
        <v>0.1</v>
      </c>
      <c r="M27" s="1292"/>
      <c r="N27" s="1280">
        <f t="shared" si="2"/>
        <v>50.197000000000003</v>
      </c>
      <c r="O27" s="1280"/>
      <c r="P27" s="1280">
        <v>16</v>
      </c>
      <c r="Q27" s="1280">
        <f t="shared" si="3"/>
        <v>803152</v>
      </c>
    </row>
    <row r="28" spans="1:17" x14ac:dyDescent="0.25">
      <c r="A28" s="1292"/>
      <c r="B28" s="1298"/>
      <c r="C28" s="1298"/>
      <c r="D28" s="1293">
        <v>68</v>
      </c>
      <c r="E28" s="1293">
        <v>1000</v>
      </c>
      <c r="F28" s="1299" t="s">
        <v>474</v>
      </c>
      <c r="G28" s="1280">
        <f t="shared" si="1"/>
        <v>51</v>
      </c>
      <c r="H28" s="1292"/>
      <c r="I28" s="1292">
        <v>51</v>
      </c>
      <c r="J28" s="1292">
        <v>4.97</v>
      </c>
      <c r="K28" s="1292">
        <v>4.22</v>
      </c>
      <c r="L28" s="1292">
        <v>0.1</v>
      </c>
      <c r="M28" s="1292"/>
      <c r="N28" s="1280">
        <f t="shared" si="2"/>
        <v>25.347000000000001</v>
      </c>
      <c r="O28" s="1280"/>
      <c r="P28" s="1280">
        <v>16</v>
      </c>
      <c r="Q28" s="1280">
        <f t="shared" si="3"/>
        <v>405552</v>
      </c>
    </row>
    <row r="29" spans="1:17" x14ac:dyDescent="0.25">
      <c r="A29" s="1292"/>
      <c r="B29" s="1298" t="s">
        <v>721</v>
      </c>
      <c r="C29" s="1298" t="s">
        <v>713</v>
      </c>
      <c r="D29" s="1293">
        <v>600</v>
      </c>
      <c r="E29" s="1293">
        <v>848</v>
      </c>
      <c r="F29" s="1299" t="s">
        <v>586</v>
      </c>
      <c r="G29" s="1280">
        <f t="shared" si="1"/>
        <v>450</v>
      </c>
      <c r="H29" s="1292"/>
      <c r="I29" s="1292">
        <v>450</v>
      </c>
      <c r="J29" s="1292">
        <v>4.97</v>
      </c>
      <c r="K29" s="1292">
        <v>4.22</v>
      </c>
      <c r="L29" s="1292">
        <v>0.05</v>
      </c>
      <c r="M29" s="1292"/>
      <c r="N29" s="1280">
        <f t="shared" si="2"/>
        <v>111.825</v>
      </c>
      <c r="O29" s="1280"/>
      <c r="P29" s="1280">
        <v>16</v>
      </c>
      <c r="Q29" s="1280">
        <f t="shared" si="3"/>
        <v>1789200</v>
      </c>
    </row>
    <row r="30" spans="1:17" x14ac:dyDescent="0.25">
      <c r="A30" s="1292"/>
      <c r="B30" s="1298" t="s">
        <v>723</v>
      </c>
      <c r="C30" s="1298" t="s">
        <v>713</v>
      </c>
      <c r="D30" s="1293">
        <v>133</v>
      </c>
      <c r="E30" s="1293">
        <v>900</v>
      </c>
      <c r="F30" s="1299" t="s">
        <v>586</v>
      </c>
      <c r="G30" s="1280">
        <f t="shared" si="1"/>
        <v>100</v>
      </c>
      <c r="H30" s="1292"/>
      <c r="I30" s="1292">
        <v>100</v>
      </c>
      <c r="J30" s="1292">
        <v>4.97</v>
      </c>
      <c r="K30" s="1292">
        <v>4.22</v>
      </c>
      <c r="L30" s="1292">
        <v>0.05</v>
      </c>
      <c r="M30" s="1292"/>
      <c r="N30" s="1280">
        <f t="shared" si="2"/>
        <v>24.85</v>
      </c>
      <c r="O30" s="1280"/>
      <c r="P30" s="1280">
        <v>16</v>
      </c>
      <c r="Q30" s="1280">
        <f t="shared" si="3"/>
        <v>397600</v>
      </c>
    </row>
    <row r="31" spans="1:17" x14ac:dyDescent="0.25">
      <c r="A31" s="1292"/>
      <c r="B31" s="1298"/>
      <c r="C31" s="1298"/>
      <c r="D31" s="1293"/>
      <c r="E31" s="1293"/>
      <c r="F31" s="1299"/>
      <c r="G31" s="1280"/>
      <c r="H31" s="1292"/>
      <c r="I31" s="1292"/>
      <c r="J31" s="1292"/>
      <c r="K31" s="1292"/>
      <c r="L31" s="1292"/>
      <c r="M31" s="1292"/>
      <c r="N31" s="1280"/>
      <c r="O31" s="1280"/>
      <c r="P31" s="1280"/>
      <c r="Q31" s="1280"/>
    </row>
    <row r="32" spans="1:17" x14ac:dyDescent="0.25">
      <c r="A32" s="1292"/>
      <c r="B32" s="1297" t="s">
        <v>475</v>
      </c>
      <c r="C32" s="1300"/>
      <c r="D32" s="1293"/>
      <c r="E32" s="1293"/>
      <c r="F32" s="1292"/>
      <c r="G32" s="1295">
        <f>SUM(G34:G51)</f>
        <v>3964.2799999999997</v>
      </c>
      <c r="H32" s="1295">
        <f>SUM(H34:H51)</f>
        <v>0.28000000000000003</v>
      </c>
      <c r="I32" s="1295">
        <f>SUM(I34:I51)</f>
        <v>3964</v>
      </c>
      <c r="J32" s="1295"/>
      <c r="K32" s="1295"/>
      <c r="L32" s="1295"/>
      <c r="M32" s="1295"/>
      <c r="N32" s="1295">
        <f>SUM(N34:N51)</f>
        <v>1971.4995999999996</v>
      </c>
      <c r="O32" s="1295"/>
      <c r="P32" s="1295"/>
      <c r="Q32" s="1295">
        <f>SUM(Q34:Q51)</f>
        <v>31543993.600000001</v>
      </c>
    </row>
    <row r="33" spans="1:17" s="1264" customFormat="1" x14ac:dyDescent="0.25">
      <c r="A33" s="1301"/>
      <c r="B33" s="1298" t="s">
        <v>829</v>
      </c>
      <c r="C33" s="1302"/>
      <c r="D33" s="1303"/>
      <c r="E33" s="1303"/>
      <c r="F33" s="1301"/>
      <c r="G33" s="1328">
        <f>SUM(G34:G35)</f>
        <v>200</v>
      </c>
      <c r="H33" s="1328">
        <f t="shared" ref="H33:Q33" si="5">SUM(H34:H35)</f>
        <v>0</v>
      </c>
      <c r="I33" s="1328">
        <f t="shared" si="5"/>
        <v>200</v>
      </c>
      <c r="J33" s="1328">
        <f t="shared" si="5"/>
        <v>9.94</v>
      </c>
      <c r="K33" s="1328">
        <f t="shared" si="5"/>
        <v>8.44</v>
      </c>
      <c r="L33" s="1328">
        <f t="shared" si="5"/>
        <v>0.2</v>
      </c>
      <c r="M33" s="1328">
        <f t="shared" si="5"/>
        <v>0</v>
      </c>
      <c r="N33" s="1328">
        <f t="shared" si="5"/>
        <v>99.4</v>
      </c>
      <c r="O33" s="1328">
        <f t="shared" si="5"/>
        <v>0</v>
      </c>
      <c r="P33" s="1328">
        <f t="shared" si="5"/>
        <v>32</v>
      </c>
      <c r="Q33" s="1328">
        <f t="shared" si="5"/>
        <v>1590400</v>
      </c>
    </row>
    <row r="34" spans="1:17" x14ac:dyDescent="0.25">
      <c r="A34" s="1292"/>
      <c r="C34" s="1298" t="s">
        <v>713</v>
      </c>
      <c r="D34" s="1293">
        <v>67</v>
      </c>
      <c r="E34" s="1293">
        <v>1940</v>
      </c>
      <c r="F34" s="1299" t="s">
        <v>586</v>
      </c>
      <c r="G34" s="1280">
        <f t="shared" ref="G34:G50" si="6">SUM(H34:I34)</f>
        <v>50</v>
      </c>
      <c r="H34" s="1292"/>
      <c r="I34" s="1292">
        <v>50</v>
      </c>
      <c r="J34" s="1292">
        <v>4.97</v>
      </c>
      <c r="K34" s="1292">
        <v>4.22</v>
      </c>
      <c r="L34" s="1292">
        <v>0.1</v>
      </c>
      <c r="M34" s="1292"/>
      <c r="N34" s="1280">
        <f t="shared" ref="N34:N47" si="7">I34*J34*L34</f>
        <v>24.85</v>
      </c>
      <c r="O34" s="1280"/>
      <c r="P34" s="1280">
        <v>16</v>
      </c>
      <c r="Q34" s="1280">
        <f t="shared" ref="Q34:Q50" si="8">P34*N34*1000</f>
        <v>397600</v>
      </c>
    </row>
    <row r="35" spans="1:17" x14ac:dyDescent="0.25">
      <c r="A35" s="1292"/>
      <c r="B35" s="1298"/>
      <c r="C35" s="1298"/>
      <c r="D35" s="1293">
        <v>200</v>
      </c>
      <c r="E35" s="1293">
        <v>500</v>
      </c>
      <c r="F35" s="1299" t="s">
        <v>474</v>
      </c>
      <c r="G35" s="1280">
        <f t="shared" si="6"/>
        <v>150</v>
      </c>
      <c r="H35" s="1292"/>
      <c r="I35" s="1292">
        <v>150</v>
      </c>
      <c r="J35" s="1292">
        <v>4.97</v>
      </c>
      <c r="K35" s="1292">
        <v>4.22</v>
      </c>
      <c r="L35" s="1292">
        <v>0.1</v>
      </c>
      <c r="M35" s="1292"/>
      <c r="N35" s="1280">
        <f t="shared" si="7"/>
        <v>74.55</v>
      </c>
      <c r="O35" s="1280"/>
      <c r="P35" s="1280">
        <v>16</v>
      </c>
      <c r="Q35" s="1280">
        <f t="shared" si="8"/>
        <v>1192800</v>
      </c>
    </row>
    <row r="36" spans="1:17" s="1264" customFormat="1" x14ac:dyDescent="0.25">
      <c r="A36" s="1301"/>
      <c r="B36" s="1298" t="s">
        <v>830</v>
      </c>
      <c r="C36" s="1306"/>
      <c r="D36" s="1303"/>
      <c r="E36" s="1303"/>
      <c r="F36" s="1307"/>
      <c r="G36" s="1328">
        <f>SUM(G37:G38)</f>
        <v>65</v>
      </c>
      <c r="H36" s="1328">
        <f t="shared" ref="H36:Q36" si="9">SUM(H37:H38)</f>
        <v>0</v>
      </c>
      <c r="I36" s="1328">
        <f t="shared" si="9"/>
        <v>65</v>
      </c>
      <c r="J36" s="1328">
        <f t="shared" si="9"/>
        <v>9.94</v>
      </c>
      <c r="K36" s="1328">
        <f t="shared" si="9"/>
        <v>8.44</v>
      </c>
      <c r="L36" s="1328">
        <f t="shared" si="9"/>
        <v>0.2</v>
      </c>
      <c r="M36" s="1328">
        <f t="shared" si="9"/>
        <v>0</v>
      </c>
      <c r="N36" s="1328">
        <f t="shared" si="9"/>
        <v>32.305</v>
      </c>
      <c r="O36" s="1328">
        <f t="shared" si="9"/>
        <v>0</v>
      </c>
      <c r="P36" s="1328">
        <f t="shared" si="9"/>
        <v>32</v>
      </c>
      <c r="Q36" s="1328">
        <f t="shared" si="9"/>
        <v>516880</v>
      </c>
    </row>
    <row r="37" spans="1:17" x14ac:dyDescent="0.25">
      <c r="A37" s="1292"/>
      <c r="C37" s="1298" t="s">
        <v>713</v>
      </c>
      <c r="D37" s="1293">
        <v>68</v>
      </c>
      <c r="E37" s="1293">
        <v>3921</v>
      </c>
      <c r="F37" s="1299" t="s">
        <v>539</v>
      </c>
      <c r="G37" s="1280">
        <f t="shared" si="6"/>
        <v>51</v>
      </c>
      <c r="H37" s="1292"/>
      <c r="I37" s="1292">
        <v>51</v>
      </c>
      <c r="J37" s="1292">
        <v>4.97</v>
      </c>
      <c r="K37" s="1292">
        <v>4.22</v>
      </c>
      <c r="L37" s="1292">
        <v>0.1</v>
      </c>
      <c r="M37" s="1292"/>
      <c r="N37" s="1280">
        <f t="shared" si="7"/>
        <v>25.347000000000001</v>
      </c>
      <c r="O37" s="1280"/>
      <c r="P37" s="1280">
        <v>16</v>
      </c>
      <c r="Q37" s="1280">
        <f t="shared" si="8"/>
        <v>405552</v>
      </c>
    </row>
    <row r="38" spans="1:17" x14ac:dyDescent="0.25">
      <c r="A38" s="1292"/>
      <c r="B38" s="1298"/>
      <c r="C38" s="1298"/>
      <c r="D38" s="1293">
        <v>19</v>
      </c>
      <c r="E38" s="1293">
        <v>65</v>
      </c>
      <c r="F38" s="1299" t="s">
        <v>586</v>
      </c>
      <c r="G38" s="1280">
        <f t="shared" si="6"/>
        <v>14</v>
      </c>
      <c r="H38" s="1292"/>
      <c r="I38" s="1292">
        <v>14</v>
      </c>
      <c r="J38" s="1292">
        <v>4.97</v>
      </c>
      <c r="K38" s="1292">
        <v>4.22</v>
      </c>
      <c r="L38" s="1292">
        <v>0.1</v>
      </c>
      <c r="M38" s="1292"/>
      <c r="N38" s="1280">
        <f t="shared" si="7"/>
        <v>6.9580000000000002</v>
      </c>
      <c r="O38" s="1280"/>
      <c r="P38" s="1280">
        <v>16</v>
      </c>
      <c r="Q38" s="1280">
        <f t="shared" si="8"/>
        <v>111328</v>
      </c>
    </row>
    <row r="39" spans="1:17" x14ac:dyDescent="0.25">
      <c r="A39" s="1292"/>
      <c r="B39" s="1298" t="s">
        <v>735</v>
      </c>
      <c r="C39" s="1298" t="s">
        <v>713</v>
      </c>
      <c r="D39" s="1293">
        <v>67</v>
      </c>
      <c r="E39" s="1293">
        <v>1499</v>
      </c>
      <c r="F39" s="1299" t="s">
        <v>539</v>
      </c>
      <c r="G39" s="1280">
        <f t="shared" si="6"/>
        <v>50</v>
      </c>
      <c r="H39" s="1292"/>
      <c r="I39" s="1292">
        <v>50</v>
      </c>
      <c r="J39" s="1292">
        <v>4.97</v>
      </c>
      <c r="K39" s="1292">
        <v>4.22</v>
      </c>
      <c r="L39" s="1292">
        <v>0.1</v>
      </c>
      <c r="M39" s="1292"/>
      <c r="N39" s="1280">
        <f t="shared" si="7"/>
        <v>24.85</v>
      </c>
      <c r="O39" s="1280"/>
      <c r="P39" s="1280">
        <v>16</v>
      </c>
      <c r="Q39" s="1280">
        <f t="shared" si="8"/>
        <v>397600</v>
      </c>
    </row>
    <row r="40" spans="1:17" s="1264" customFormat="1" x14ac:dyDescent="0.25">
      <c r="A40" s="1301"/>
      <c r="B40" s="1298" t="s">
        <v>729</v>
      </c>
      <c r="C40" s="1306"/>
      <c r="D40" s="1303"/>
      <c r="E40" s="1303"/>
      <c r="F40" s="1307"/>
      <c r="G40" s="1328">
        <f>SUM(G41:G42)</f>
        <v>450</v>
      </c>
      <c r="H40" s="1328">
        <f t="shared" ref="H40:Q40" si="10">SUM(H41:H42)</f>
        <v>0</v>
      </c>
      <c r="I40" s="1328">
        <f t="shared" si="10"/>
        <v>450</v>
      </c>
      <c r="J40" s="1328">
        <f t="shared" si="10"/>
        <v>9.94</v>
      </c>
      <c r="K40" s="1328">
        <f t="shared" si="10"/>
        <v>8.44</v>
      </c>
      <c r="L40" s="1328">
        <f t="shared" si="10"/>
        <v>0.2</v>
      </c>
      <c r="M40" s="1328">
        <f t="shared" si="10"/>
        <v>0</v>
      </c>
      <c r="N40" s="1328">
        <f t="shared" si="10"/>
        <v>223.65</v>
      </c>
      <c r="O40" s="1328">
        <f t="shared" si="10"/>
        <v>0</v>
      </c>
      <c r="P40" s="1328">
        <f t="shared" si="10"/>
        <v>32</v>
      </c>
      <c r="Q40" s="1328">
        <f t="shared" si="10"/>
        <v>3578400</v>
      </c>
    </row>
    <row r="41" spans="1:17" x14ac:dyDescent="0.25">
      <c r="A41" s="1292"/>
      <c r="C41" s="1298" t="s">
        <v>713</v>
      </c>
      <c r="D41" s="1293">
        <v>333</v>
      </c>
      <c r="E41" s="1293">
        <v>1000</v>
      </c>
      <c r="F41" s="1299" t="s">
        <v>586</v>
      </c>
      <c r="G41" s="1280">
        <f t="shared" si="6"/>
        <v>250</v>
      </c>
      <c r="H41" s="1292"/>
      <c r="I41" s="1292">
        <v>250</v>
      </c>
      <c r="J41" s="1292">
        <v>4.97</v>
      </c>
      <c r="K41" s="1292">
        <v>4.22</v>
      </c>
      <c r="L41" s="1292">
        <v>0.1</v>
      </c>
      <c r="M41" s="1292"/>
      <c r="N41" s="1280">
        <f t="shared" si="7"/>
        <v>124.25</v>
      </c>
      <c r="O41" s="1280"/>
      <c r="P41" s="1280">
        <v>16</v>
      </c>
      <c r="Q41" s="1280">
        <f t="shared" si="8"/>
        <v>1988000</v>
      </c>
    </row>
    <row r="42" spans="1:17" x14ac:dyDescent="0.25">
      <c r="A42" s="1292"/>
      <c r="B42" s="1292"/>
      <c r="C42" s="1300"/>
      <c r="D42" s="1293">
        <v>267</v>
      </c>
      <c r="E42" s="1293">
        <v>260</v>
      </c>
      <c r="F42" s="1299" t="s">
        <v>474</v>
      </c>
      <c r="G42" s="1280">
        <f t="shared" si="6"/>
        <v>200</v>
      </c>
      <c r="H42" s="1292"/>
      <c r="I42" s="1292">
        <v>200</v>
      </c>
      <c r="J42" s="1292">
        <v>4.97</v>
      </c>
      <c r="K42" s="1292">
        <v>4.22</v>
      </c>
      <c r="L42" s="1292">
        <v>0.1</v>
      </c>
      <c r="M42" s="1292"/>
      <c r="N42" s="1280">
        <f t="shared" si="7"/>
        <v>99.4</v>
      </c>
      <c r="O42" s="1280"/>
      <c r="P42" s="1280">
        <v>16</v>
      </c>
      <c r="Q42" s="1280">
        <f t="shared" si="8"/>
        <v>1590400</v>
      </c>
    </row>
    <row r="43" spans="1:17" s="1264" customFormat="1" x14ac:dyDescent="0.25">
      <c r="A43" s="1301"/>
      <c r="B43" s="1298" t="s">
        <v>737</v>
      </c>
      <c r="C43" s="1302"/>
      <c r="D43" s="1303"/>
      <c r="E43" s="1303"/>
      <c r="F43" s="1307"/>
      <c r="G43" s="1328">
        <f>SUM(G44:G45)</f>
        <v>700</v>
      </c>
      <c r="H43" s="1328">
        <f t="shared" ref="H43:Q43" si="11">SUM(H44:H45)</f>
        <v>0</v>
      </c>
      <c r="I43" s="1328">
        <f t="shared" si="11"/>
        <v>700</v>
      </c>
      <c r="J43" s="1328">
        <f t="shared" si="11"/>
        <v>9.94</v>
      </c>
      <c r="K43" s="1328">
        <f t="shared" si="11"/>
        <v>8.44</v>
      </c>
      <c r="L43" s="1328">
        <f t="shared" si="11"/>
        <v>0.2</v>
      </c>
      <c r="M43" s="1328">
        <f t="shared" si="11"/>
        <v>0</v>
      </c>
      <c r="N43" s="1328">
        <f t="shared" si="11"/>
        <v>347.9</v>
      </c>
      <c r="O43" s="1328">
        <f t="shared" si="11"/>
        <v>0</v>
      </c>
      <c r="P43" s="1328">
        <f t="shared" si="11"/>
        <v>32</v>
      </c>
      <c r="Q43" s="1328">
        <f t="shared" si="11"/>
        <v>5566400</v>
      </c>
    </row>
    <row r="44" spans="1:17" x14ac:dyDescent="0.25">
      <c r="A44" s="1292"/>
      <c r="C44" s="1298" t="s">
        <v>713</v>
      </c>
      <c r="D44" s="1293">
        <v>533</v>
      </c>
      <c r="E44" s="1293">
        <v>2000</v>
      </c>
      <c r="F44" s="1299" t="s">
        <v>586</v>
      </c>
      <c r="G44" s="1280">
        <f t="shared" si="6"/>
        <v>400</v>
      </c>
      <c r="H44" s="1292"/>
      <c r="I44" s="1292">
        <v>400</v>
      </c>
      <c r="J44" s="1292">
        <v>4.97</v>
      </c>
      <c r="K44" s="1292">
        <v>4.22</v>
      </c>
      <c r="L44" s="1292">
        <v>0.1</v>
      </c>
      <c r="M44" s="1292"/>
      <c r="N44" s="1280">
        <f t="shared" si="7"/>
        <v>198.8</v>
      </c>
      <c r="O44" s="1280"/>
      <c r="P44" s="1280">
        <v>16</v>
      </c>
      <c r="Q44" s="1280">
        <f t="shared" si="8"/>
        <v>3180800</v>
      </c>
    </row>
    <row r="45" spans="1:17" x14ac:dyDescent="0.25">
      <c r="A45" s="1292"/>
      <c r="B45" s="1292"/>
      <c r="C45" s="1300"/>
      <c r="D45" s="1293">
        <v>400</v>
      </c>
      <c r="E45" s="1293">
        <v>1290</v>
      </c>
      <c r="F45" s="1299" t="s">
        <v>474</v>
      </c>
      <c r="G45" s="1280">
        <f t="shared" si="6"/>
        <v>300</v>
      </c>
      <c r="H45" s="1292"/>
      <c r="I45" s="1292">
        <v>300</v>
      </c>
      <c r="J45" s="1292">
        <v>4.97</v>
      </c>
      <c r="K45" s="1292">
        <v>4.22</v>
      </c>
      <c r="L45" s="1292">
        <v>0.1</v>
      </c>
      <c r="M45" s="1292"/>
      <c r="N45" s="1280">
        <f t="shared" si="7"/>
        <v>149.1</v>
      </c>
      <c r="O45" s="1280"/>
      <c r="P45" s="1280">
        <v>16</v>
      </c>
      <c r="Q45" s="1280">
        <f t="shared" si="8"/>
        <v>2385600</v>
      </c>
    </row>
    <row r="46" spans="1:17" s="1264" customFormat="1" x14ac:dyDescent="0.25">
      <c r="A46" s="1301"/>
      <c r="B46" s="1298" t="s">
        <v>733</v>
      </c>
      <c r="C46" s="1302"/>
      <c r="D46" s="1303"/>
      <c r="E46" s="1303"/>
      <c r="F46" s="1307"/>
      <c r="G46" s="1328">
        <f>SUM(G47:G48)</f>
        <v>22.14</v>
      </c>
      <c r="H46" s="1328">
        <f t="shared" ref="H46:Q46" si="12">SUM(H47:H48)</f>
        <v>0.14000000000000001</v>
      </c>
      <c r="I46" s="1328">
        <f t="shared" si="12"/>
        <v>22</v>
      </c>
      <c r="J46" s="1328">
        <f t="shared" si="12"/>
        <v>9.94</v>
      </c>
      <c r="K46" s="1328">
        <f t="shared" si="12"/>
        <v>4.22</v>
      </c>
      <c r="L46" s="1328">
        <f t="shared" si="12"/>
        <v>1.1000000000000001</v>
      </c>
      <c r="M46" s="1328">
        <f t="shared" si="12"/>
        <v>0</v>
      </c>
      <c r="N46" s="1328">
        <f t="shared" si="12"/>
        <v>11.629799999999999</v>
      </c>
      <c r="O46" s="1328">
        <f t="shared" si="12"/>
        <v>0</v>
      </c>
      <c r="P46" s="1328">
        <f t="shared" si="12"/>
        <v>32</v>
      </c>
      <c r="Q46" s="1328">
        <f t="shared" si="12"/>
        <v>186076.79999999999</v>
      </c>
    </row>
    <row r="47" spans="1:17" x14ac:dyDescent="0.25">
      <c r="A47" s="1292"/>
      <c r="C47" s="1298" t="s">
        <v>713</v>
      </c>
      <c r="D47" s="1293">
        <v>29</v>
      </c>
      <c r="E47" s="1293">
        <v>1400</v>
      </c>
      <c r="F47" s="1299" t="s">
        <v>586</v>
      </c>
      <c r="G47" s="1280">
        <f t="shared" si="6"/>
        <v>22</v>
      </c>
      <c r="H47" s="1292"/>
      <c r="I47" s="1292">
        <v>22</v>
      </c>
      <c r="J47" s="1292">
        <v>4.97</v>
      </c>
      <c r="K47" s="1292">
        <v>4.22</v>
      </c>
      <c r="L47" s="1292">
        <v>0.1</v>
      </c>
      <c r="M47" s="1292"/>
      <c r="N47" s="1280">
        <f t="shared" si="7"/>
        <v>10.933999999999999</v>
      </c>
      <c r="O47" s="1280"/>
      <c r="P47" s="1280">
        <v>16</v>
      </c>
      <c r="Q47" s="1280">
        <f t="shared" si="8"/>
        <v>174944</v>
      </c>
    </row>
    <row r="48" spans="1:17" x14ac:dyDescent="0.25">
      <c r="A48" s="1292"/>
      <c r="B48" s="1298"/>
      <c r="C48" s="1298"/>
      <c r="D48" s="1293">
        <v>1</v>
      </c>
      <c r="E48" s="1293">
        <v>10</v>
      </c>
      <c r="F48" s="1299" t="s">
        <v>474</v>
      </c>
      <c r="G48" s="1280">
        <f t="shared" si="6"/>
        <v>0.14000000000000001</v>
      </c>
      <c r="H48" s="1292">
        <v>0.14000000000000001</v>
      </c>
      <c r="I48" s="1292">
        <v>0</v>
      </c>
      <c r="J48" s="1292">
        <v>4.97</v>
      </c>
      <c r="K48" s="1292">
        <v>0</v>
      </c>
      <c r="L48" s="1292">
        <v>1</v>
      </c>
      <c r="M48" s="1292"/>
      <c r="N48" s="1280">
        <f>L48*J48*H48</f>
        <v>0.69580000000000009</v>
      </c>
      <c r="O48" s="1280"/>
      <c r="P48" s="1280">
        <v>16</v>
      </c>
      <c r="Q48" s="1280">
        <f t="shared" si="8"/>
        <v>11132.800000000001</v>
      </c>
    </row>
    <row r="49" spans="1:17" s="1264" customFormat="1" x14ac:dyDescent="0.25">
      <c r="A49" s="1301"/>
      <c r="B49" s="1298" t="s">
        <v>738</v>
      </c>
      <c r="C49" s="1306"/>
      <c r="D49" s="1303"/>
      <c r="E49" s="1303"/>
      <c r="F49" s="1307"/>
      <c r="G49" s="1328">
        <f>SUM(G50:G51)</f>
        <v>620</v>
      </c>
      <c r="H49" s="1328">
        <f t="shared" ref="H49:Q49" si="13">SUM(H50:H51)</f>
        <v>0</v>
      </c>
      <c r="I49" s="1328">
        <f t="shared" si="13"/>
        <v>620</v>
      </c>
      <c r="J49" s="1328">
        <f t="shared" si="13"/>
        <v>9.94</v>
      </c>
      <c r="K49" s="1328">
        <f t="shared" si="13"/>
        <v>8.44</v>
      </c>
      <c r="L49" s="1328">
        <f t="shared" si="13"/>
        <v>0.2</v>
      </c>
      <c r="M49" s="1328">
        <f t="shared" si="13"/>
        <v>0</v>
      </c>
      <c r="N49" s="1328">
        <f t="shared" si="13"/>
        <v>308.14</v>
      </c>
      <c r="O49" s="1328">
        <f t="shared" si="13"/>
        <v>0</v>
      </c>
      <c r="P49" s="1328">
        <f t="shared" si="13"/>
        <v>32</v>
      </c>
      <c r="Q49" s="1328">
        <f t="shared" si="13"/>
        <v>4930240</v>
      </c>
    </row>
    <row r="50" spans="1:17" x14ac:dyDescent="0.25">
      <c r="A50" s="1292"/>
      <c r="C50" s="1298" t="s">
        <v>713</v>
      </c>
      <c r="D50" s="1293">
        <v>293</v>
      </c>
      <c r="E50" s="1293">
        <v>2000</v>
      </c>
      <c r="F50" s="1299" t="s">
        <v>586</v>
      </c>
      <c r="G50" s="1280">
        <f t="shared" si="6"/>
        <v>220</v>
      </c>
      <c r="H50" s="1292"/>
      <c r="I50" s="1292">
        <v>220</v>
      </c>
      <c r="J50" s="1292">
        <v>4.97</v>
      </c>
      <c r="K50" s="1292">
        <v>4.22</v>
      </c>
      <c r="L50" s="1292">
        <v>0.1</v>
      </c>
      <c r="M50" s="1292"/>
      <c r="N50" s="1280">
        <f>I50*J50*L50</f>
        <v>109.33999999999999</v>
      </c>
      <c r="O50" s="1280"/>
      <c r="P50" s="1280">
        <v>16</v>
      </c>
      <c r="Q50" s="1280">
        <f t="shared" si="8"/>
        <v>1749439.9999999998</v>
      </c>
    </row>
    <row r="51" spans="1:17" x14ac:dyDescent="0.25">
      <c r="A51" s="1292"/>
      <c r="B51" s="1298"/>
      <c r="C51" s="1298"/>
      <c r="D51" s="1293">
        <v>533</v>
      </c>
      <c r="E51" s="1293">
        <v>745</v>
      </c>
      <c r="F51" s="1299" t="s">
        <v>474</v>
      </c>
      <c r="G51" s="1280">
        <f>SUM(H51:I51)</f>
        <v>400</v>
      </c>
      <c r="H51" s="1292"/>
      <c r="I51" s="1292">
        <v>400</v>
      </c>
      <c r="J51" s="1292">
        <v>4.97</v>
      </c>
      <c r="K51" s="1292">
        <v>4.22</v>
      </c>
      <c r="L51" s="1292">
        <v>0.1</v>
      </c>
      <c r="M51" s="1292"/>
      <c r="N51" s="1280">
        <f>I51*J51*L51</f>
        <v>198.8</v>
      </c>
      <c r="O51" s="1280"/>
      <c r="P51" s="1280">
        <v>16</v>
      </c>
      <c r="Q51" s="1280">
        <f>P51*N51*1000</f>
        <v>3180800</v>
      </c>
    </row>
    <row r="52" spans="1:17" s="1410" customFormat="1" x14ac:dyDescent="0.25">
      <c r="A52" s="1406"/>
      <c r="B52" s="1407" t="s">
        <v>540</v>
      </c>
      <c r="C52" s="1406"/>
      <c r="D52" s="1406"/>
      <c r="E52" s="1408"/>
      <c r="F52" s="1406"/>
      <c r="G52" s="1409">
        <f>G53+G61</f>
        <v>40</v>
      </c>
      <c r="H52" s="1409">
        <f>H53+H61</f>
        <v>0</v>
      </c>
      <c r="I52" s="1409">
        <f>I53+I61</f>
        <v>40</v>
      </c>
      <c r="J52" s="1409"/>
      <c r="K52" s="1409"/>
      <c r="L52" s="1409"/>
      <c r="M52" s="1409"/>
      <c r="N52" s="1409">
        <f>N53+N61</f>
        <v>5.2320000000000002</v>
      </c>
      <c r="O52" s="1409"/>
      <c r="P52" s="1409"/>
      <c r="Q52" s="1409">
        <f>Q53+Q61</f>
        <v>83712</v>
      </c>
    </row>
    <row r="53" spans="1:17" x14ac:dyDescent="0.25">
      <c r="A53" s="1292"/>
      <c r="B53" s="1297" t="s">
        <v>622</v>
      </c>
      <c r="C53" s="1292"/>
      <c r="D53" s="1292"/>
      <c r="E53" s="1293"/>
      <c r="F53" s="1292"/>
      <c r="G53" s="1295">
        <f>SUM(G55:G56)</f>
        <v>40</v>
      </c>
      <c r="H53" s="1295">
        <f>SUM(H55:H59)</f>
        <v>0</v>
      </c>
      <c r="I53" s="1295">
        <f>SUM(I55:I59)</f>
        <v>40</v>
      </c>
      <c r="J53" s="1292"/>
      <c r="K53" s="1292"/>
      <c r="L53" s="1292"/>
      <c r="M53" s="1292"/>
      <c r="N53" s="1295">
        <f>SUM(N55:N59)</f>
        <v>5.2320000000000002</v>
      </c>
      <c r="O53" s="1295"/>
      <c r="P53" s="1295"/>
      <c r="Q53" s="1295">
        <f>SUM(Q55:Q59)</f>
        <v>83712</v>
      </c>
    </row>
    <row r="54" spans="1:17" s="1264" customFormat="1" x14ac:dyDescent="0.25">
      <c r="A54" s="1301"/>
      <c r="B54" s="1298" t="s">
        <v>582</v>
      </c>
      <c r="C54" s="1301"/>
      <c r="D54" s="1301"/>
      <c r="E54" s="1303"/>
      <c r="F54" s="1301"/>
      <c r="G54" s="1328">
        <f>SUM(G55:G56)</f>
        <v>40</v>
      </c>
      <c r="H54" s="1328">
        <f t="shared" ref="H54:Q54" si="14">SUM(H55:H56)</f>
        <v>0</v>
      </c>
      <c r="I54" s="1328">
        <f t="shared" si="14"/>
        <v>40</v>
      </c>
      <c r="J54" s="1328">
        <f t="shared" si="14"/>
        <v>8.7200000000000006</v>
      </c>
      <c r="K54" s="1328">
        <f t="shared" si="14"/>
        <v>8.44</v>
      </c>
      <c r="L54" s="1328">
        <f t="shared" si="14"/>
        <v>0.06</v>
      </c>
      <c r="M54" s="1328">
        <f t="shared" si="14"/>
        <v>0</v>
      </c>
      <c r="N54" s="1328">
        <f t="shared" si="14"/>
        <v>5.2320000000000002</v>
      </c>
      <c r="O54" s="1328">
        <f t="shared" si="14"/>
        <v>0</v>
      </c>
      <c r="P54" s="1328">
        <f t="shared" si="14"/>
        <v>32</v>
      </c>
      <c r="Q54" s="1328">
        <f t="shared" si="14"/>
        <v>83712</v>
      </c>
    </row>
    <row r="55" spans="1:17" x14ac:dyDescent="0.25">
      <c r="A55" s="1292"/>
      <c r="C55" s="1298" t="s">
        <v>713</v>
      </c>
      <c r="D55" s="1293"/>
      <c r="E55" s="1293"/>
      <c r="F55" s="1299" t="s">
        <v>586</v>
      </c>
      <c r="G55" s="1280">
        <f>SUM(H55:I55)</f>
        <v>20</v>
      </c>
      <c r="H55" s="1292"/>
      <c r="I55" s="1292">
        <v>20</v>
      </c>
      <c r="J55" s="1292">
        <v>4.3600000000000003</v>
      </c>
      <c r="K55" s="1292">
        <v>4.22</v>
      </c>
      <c r="L55" s="1292">
        <v>0.03</v>
      </c>
      <c r="M55" s="1292"/>
      <c r="N55" s="1280">
        <f>I55*J55*L55</f>
        <v>2.6160000000000001</v>
      </c>
      <c r="O55" s="1280"/>
      <c r="P55" s="1280">
        <v>16</v>
      </c>
      <c r="Q55" s="1280">
        <f>P55*N55*1000</f>
        <v>41856</v>
      </c>
    </row>
    <row r="56" spans="1:17" x14ac:dyDescent="0.25">
      <c r="A56" s="1292"/>
      <c r="B56" s="1298"/>
      <c r="C56" s="1298"/>
      <c r="D56" s="1293"/>
      <c r="E56" s="1293"/>
      <c r="F56" s="1299" t="s">
        <v>474</v>
      </c>
      <c r="G56" s="1280">
        <f>SUM(H56:I56)</f>
        <v>20</v>
      </c>
      <c r="H56" s="1292"/>
      <c r="I56" s="1292">
        <v>20</v>
      </c>
      <c r="J56" s="1292">
        <v>4.3600000000000003</v>
      </c>
      <c r="K56" s="1292">
        <v>4.22</v>
      </c>
      <c r="L56" s="1292">
        <v>0.03</v>
      </c>
      <c r="M56" s="1292"/>
      <c r="N56" s="1280">
        <f>I56*J56*L56</f>
        <v>2.6160000000000001</v>
      </c>
      <c r="O56" s="1280"/>
      <c r="P56" s="1280">
        <v>16</v>
      </c>
      <c r="Q56" s="1280">
        <f>P56*N56*1000</f>
        <v>41856</v>
      </c>
    </row>
    <row r="57" spans="1:17" x14ac:dyDescent="0.25">
      <c r="A57" s="1282"/>
      <c r="B57" s="1319"/>
      <c r="C57" s="1282"/>
      <c r="D57" s="1282"/>
      <c r="E57" s="1283"/>
      <c r="F57" s="1320"/>
      <c r="G57" s="1282"/>
      <c r="H57" s="1282"/>
      <c r="I57" s="1282"/>
      <c r="J57" s="1282"/>
      <c r="K57" s="1282"/>
      <c r="L57" s="1282"/>
      <c r="M57" s="1321"/>
      <c r="N57" s="1282"/>
      <c r="O57" s="1282"/>
      <c r="P57" s="1282"/>
      <c r="Q57" s="1282"/>
    </row>
    <row r="58" spans="1:17" x14ac:dyDescent="0.25">
      <c r="A58" s="1274" t="s">
        <v>522</v>
      </c>
      <c r="B58" s="1274"/>
      <c r="C58" s="1274"/>
      <c r="D58" s="1274"/>
      <c r="E58" s="1322"/>
      <c r="F58" s="1274" t="s">
        <v>815</v>
      </c>
      <c r="G58" s="1274"/>
      <c r="H58" s="1274"/>
      <c r="I58" s="1274"/>
      <c r="J58" s="1274"/>
      <c r="K58" s="1274" t="s">
        <v>816</v>
      </c>
      <c r="L58" s="1274"/>
      <c r="M58" s="1274"/>
      <c r="N58" s="1274"/>
      <c r="O58" s="1274"/>
      <c r="P58" s="1274" t="s">
        <v>940</v>
      </c>
      <c r="Q58" s="1274"/>
    </row>
    <row r="59" spans="1:17" x14ac:dyDescent="0.25">
      <c r="A59" s="1274"/>
      <c r="B59" s="1274"/>
      <c r="C59" s="1274"/>
      <c r="D59" s="1274"/>
      <c r="E59" s="1322"/>
      <c r="F59" s="1274"/>
      <c r="G59" s="1274"/>
      <c r="H59" s="1274"/>
      <c r="I59" s="1274"/>
      <c r="J59" s="1274"/>
      <c r="K59" s="1274"/>
      <c r="L59" s="1274"/>
      <c r="M59" s="1274"/>
      <c r="N59" s="1274"/>
      <c r="O59" s="1274"/>
      <c r="P59" s="1274"/>
      <c r="Q59" s="1274"/>
    </row>
    <row r="60" spans="1:17" x14ac:dyDescent="0.25">
      <c r="A60" s="1274"/>
      <c r="B60" s="1274"/>
      <c r="C60" s="1274"/>
      <c r="D60" s="1274"/>
      <c r="E60" s="1322"/>
      <c r="F60" s="1274"/>
      <c r="G60" s="1274"/>
      <c r="H60" s="1274"/>
      <c r="I60" s="1274"/>
      <c r="J60" s="1274"/>
      <c r="K60" s="1274"/>
      <c r="L60" s="1274"/>
      <c r="M60" s="1274"/>
      <c r="N60" s="1274"/>
      <c r="O60" s="1274"/>
      <c r="P60" s="1274"/>
      <c r="Q60" s="1274"/>
    </row>
    <row r="61" spans="1:17" x14ac:dyDescent="0.25">
      <c r="A61" s="1323" t="s">
        <v>524</v>
      </c>
      <c r="B61" s="1323"/>
      <c r="C61" s="1323"/>
      <c r="D61" s="1323"/>
      <c r="E61" s="1761" t="s">
        <v>693</v>
      </c>
      <c r="F61" s="1761"/>
      <c r="G61" s="1761"/>
      <c r="H61" s="1323"/>
      <c r="I61" s="1323"/>
      <c r="J61" s="1762" t="s">
        <v>943</v>
      </c>
      <c r="K61" s="1762"/>
      <c r="L61" s="1762"/>
      <c r="M61" s="1323"/>
      <c r="N61" s="1323"/>
      <c r="O61" s="1274"/>
      <c r="P61" s="1542" t="s">
        <v>944</v>
      </c>
      <c r="Q61" s="1323"/>
    </row>
    <row r="62" spans="1:17" x14ac:dyDescent="0.25">
      <c r="A62" s="1324" t="s">
        <v>750</v>
      </c>
      <c r="B62" s="1324"/>
      <c r="C62" s="1324"/>
      <c r="D62" s="1324"/>
      <c r="E62" s="1325"/>
      <c r="F62" s="1326" t="s">
        <v>820</v>
      </c>
      <c r="G62" s="1324"/>
      <c r="H62" s="1324"/>
      <c r="I62" s="1324"/>
      <c r="J62" s="1324"/>
      <c r="K62" s="1326" t="s">
        <v>994</v>
      </c>
      <c r="L62" s="1324"/>
      <c r="M62" s="1324"/>
      <c r="N62" s="1324"/>
      <c r="O62" s="1274"/>
      <c r="P62" s="1326" t="s">
        <v>995</v>
      </c>
      <c r="Q62" s="1324"/>
    </row>
  </sheetData>
  <mergeCells count="28">
    <mergeCell ref="A6:Q6"/>
    <mergeCell ref="A1:Q1"/>
    <mergeCell ref="A2:Q2"/>
    <mergeCell ref="A3:Q3"/>
    <mergeCell ref="A4:Q4"/>
    <mergeCell ref="A5:Q5"/>
    <mergeCell ref="A7:Q7"/>
    <mergeCell ref="A15:A17"/>
    <mergeCell ref="B15:B17"/>
    <mergeCell ref="C15:C17"/>
    <mergeCell ref="D15:D17"/>
    <mergeCell ref="E15:E17"/>
    <mergeCell ref="F15:F17"/>
    <mergeCell ref="G15:I15"/>
    <mergeCell ref="J15:K15"/>
    <mergeCell ref="L15:L17"/>
    <mergeCell ref="E61:G61"/>
    <mergeCell ref="J61:L61"/>
    <mergeCell ref="M15:M17"/>
    <mergeCell ref="N15:Q15"/>
    <mergeCell ref="G16:G17"/>
    <mergeCell ref="H16:H17"/>
    <mergeCell ref="I16:I17"/>
    <mergeCell ref="J16:J17"/>
    <mergeCell ref="K16:K17"/>
    <mergeCell ref="N16:N17"/>
    <mergeCell ref="O16:P16"/>
    <mergeCell ref="Q16:Q1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9BFE-8240-5245-8FDE-FC6C1F89057D}">
  <sheetPr>
    <tabColor theme="9" tint="-0.249977111117893"/>
  </sheetPr>
  <dimension ref="A1:T66"/>
  <sheetViews>
    <sheetView topLeftCell="A33" workbookViewId="0">
      <selection activeCell="B21" sqref="B21"/>
    </sheetView>
  </sheetViews>
  <sheetFormatPr defaultColWidth="11" defaultRowHeight="15" x14ac:dyDescent="0.25"/>
  <cols>
    <col min="1" max="1" width="8.875" style="185" customWidth="1"/>
    <col min="2" max="2" width="13.375" style="185" customWidth="1"/>
    <col min="3" max="7" width="8.875" style="185" customWidth="1"/>
    <col min="8" max="8" width="18" style="185" customWidth="1"/>
    <col min="9" max="9" width="8.875" style="185" customWidth="1"/>
    <col min="10" max="10" width="17.375" style="185" customWidth="1"/>
    <col min="11" max="16" width="8.875" style="185" customWidth="1"/>
    <col min="17" max="17" width="18.375" style="185" customWidth="1"/>
    <col min="18" max="18" width="8.875" style="185" customWidth="1"/>
    <col min="19" max="19" width="14.875" style="185" customWidth="1"/>
    <col min="20" max="20" width="17.125" style="185" customWidth="1"/>
    <col min="21" max="257" width="8.875" style="185" customWidth="1"/>
    <col min="258" max="258" width="13.375" style="185" customWidth="1"/>
    <col min="259" max="263" width="8.875" style="185" customWidth="1"/>
    <col min="264" max="264" width="18" style="185" customWidth="1"/>
    <col min="265" max="265" width="8.875" style="185" customWidth="1"/>
    <col min="266" max="266" width="17.375" style="185" customWidth="1"/>
    <col min="267" max="272" width="8.875" style="185" customWidth="1"/>
    <col min="273" max="273" width="18.375" style="185" customWidth="1"/>
    <col min="274" max="274" width="8.875" style="185" customWidth="1"/>
    <col min="275" max="275" width="14.875" style="185" customWidth="1"/>
    <col min="276" max="276" width="17.125" style="185" customWidth="1"/>
    <col min="277" max="513" width="8.875" style="185" customWidth="1"/>
    <col min="514" max="514" width="13.375" style="185" customWidth="1"/>
    <col min="515" max="519" width="8.875" style="185" customWidth="1"/>
    <col min="520" max="520" width="18" style="185" customWidth="1"/>
    <col min="521" max="521" width="8.875" style="185" customWidth="1"/>
    <col min="522" max="522" width="17.375" style="185" customWidth="1"/>
    <col min="523" max="528" width="8.875" style="185" customWidth="1"/>
    <col min="529" max="529" width="18.375" style="185" customWidth="1"/>
    <col min="530" max="530" width="8.875" style="185" customWidth="1"/>
    <col min="531" max="531" width="14.875" style="185" customWidth="1"/>
    <col min="532" max="532" width="17.125" style="185" customWidth="1"/>
    <col min="533" max="769" width="8.875" style="185" customWidth="1"/>
    <col min="770" max="770" width="13.375" style="185" customWidth="1"/>
    <col min="771" max="775" width="8.875" style="185" customWidth="1"/>
    <col min="776" max="776" width="18" style="185" customWidth="1"/>
    <col min="777" max="777" width="8.875" style="185" customWidth="1"/>
    <col min="778" max="778" width="17.375" style="185" customWidth="1"/>
    <col min="779" max="784" width="8.875" style="185" customWidth="1"/>
    <col min="785" max="785" width="18.375" style="185" customWidth="1"/>
    <col min="786" max="786" width="8.875" style="185" customWidth="1"/>
    <col min="787" max="787" width="14.875" style="185" customWidth="1"/>
    <col min="788" max="788" width="17.125" style="185" customWidth="1"/>
    <col min="789" max="1025" width="8.875" style="185" customWidth="1"/>
    <col min="1026" max="1026" width="13.375" style="185" customWidth="1"/>
    <col min="1027" max="1031" width="8.875" style="185" customWidth="1"/>
    <col min="1032" max="1032" width="18" style="185" customWidth="1"/>
    <col min="1033" max="1033" width="8.875" style="185" customWidth="1"/>
    <col min="1034" max="1034" width="17.375" style="185" customWidth="1"/>
    <col min="1035" max="1040" width="8.875" style="185" customWidth="1"/>
    <col min="1041" max="1041" width="18.375" style="185" customWidth="1"/>
    <col min="1042" max="1042" width="8.875" style="185" customWidth="1"/>
    <col min="1043" max="1043" width="14.875" style="185" customWidth="1"/>
    <col min="1044" max="1044" width="17.125" style="185" customWidth="1"/>
    <col min="1045" max="1281" width="8.875" style="185" customWidth="1"/>
    <col min="1282" max="1282" width="13.375" style="185" customWidth="1"/>
    <col min="1283" max="1287" width="8.875" style="185" customWidth="1"/>
    <col min="1288" max="1288" width="18" style="185" customWidth="1"/>
    <col min="1289" max="1289" width="8.875" style="185" customWidth="1"/>
    <col min="1290" max="1290" width="17.375" style="185" customWidth="1"/>
    <col min="1291" max="1296" width="8.875" style="185" customWidth="1"/>
    <col min="1297" max="1297" width="18.375" style="185" customWidth="1"/>
    <col min="1298" max="1298" width="8.875" style="185" customWidth="1"/>
    <col min="1299" max="1299" width="14.875" style="185" customWidth="1"/>
    <col min="1300" max="1300" width="17.125" style="185" customWidth="1"/>
    <col min="1301" max="1537" width="8.875" style="185" customWidth="1"/>
    <col min="1538" max="1538" width="13.375" style="185" customWidth="1"/>
    <col min="1539" max="1543" width="8.875" style="185" customWidth="1"/>
    <col min="1544" max="1544" width="18" style="185" customWidth="1"/>
    <col min="1545" max="1545" width="8.875" style="185" customWidth="1"/>
    <col min="1546" max="1546" width="17.375" style="185" customWidth="1"/>
    <col min="1547" max="1552" width="8.875" style="185" customWidth="1"/>
    <col min="1553" max="1553" width="18.375" style="185" customWidth="1"/>
    <col min="1554" max="1554" width="8.875" style="185" customWidth="1"/>
    <col min="1555" max="1555" width="14.875" style="185" customWidth="1"/>
    <col min="1556" max="1556" width="17.125" style="185" customWidth="1"/>
    <col min="1557" max="1793" width="8.875" style="185" customWidth="1"/>
    <col min="1794" max="1794" width="13.375" style="185" customWidth="1"/>
    <col min="1795" max="1799" width="8.875" style="185" customWidth="1"/>
    <col min="1800" max="1800" width="18" style="185" customWidth="1"/>
    <col min="1801" max="1801" width="8.875" style="185" customWidth="1"/>
    <col min="1802" max="1802" width="17.375" style="185" customWidth="1"/>
    <col min="1803" max="1808" width="8.875" style="185" customWidth="1"/>
    <col min="1809" max="1809" width="18.375" style="185" customWidth="1"/>
    <col min="1810" max="1810" width="8.875" style="185" customWidth="1"/>
    <col min="1811" max="1811" width="14.875" style="185" customWidth="1"/>
    <col min="1812" max="1812" width="17.125" style="185" customWidth="1"/>
    <col min="1813" max="2049" width="8.875" style="185" customWidth="1"/>
    <col min="2050" max="2050" width="13.375" style="185" customWidth="1"/>
    <col min="2051" max="2055" width="8.875" style="185" customWidth="1"/>
    <col min="2056" max="2056" width="18" style="185" customWidth="1"/>
    <col min="2057" max="2057" width="8.875" style="185" customWidth="1"/>
    <col min="2058" max="2058" width="17.375" style="185" customWidth="1"/>
    <col min="2059" max="2064" width="8.875" style="185" customWidth="1"/>
    <col min="2065" max="2065" width="18.375" style="185" customWidth="1"/>
    <col min="2066" max="2066" width="8.875" style="185" customWidth="1"/>
    <col min="2067" max="2067" width="14.875" style="185" customWidth="1"/>
    <col min="2068" max="2068" width="17.125" style="185" customWidth="1"/>
    <col min="2069" max="2305" width="8.875" style="185" customWidth="1"/>
    <col min="2306" max="2306" width="13.375" style="185" customWidth="1"/>
    <col min="2307" max="2311" width="8.875" style="185" customWidth="1"/>
    <col min="2312" max="2312" width="18" style="185" customWidth="1"/>
    <col min="2313" max="2313" width="8.875" style="185" customWidth="1"/>
    <col min="2314" max="2314" width="17.375" style="185" customWidth="1"/>
    <col min="2315" max="2320" width="8.875" style="185" customWidth="1"/>
    <col min="2321" max="2321" width="18.375" style="185" customWidth="1"/>
    <col min="2322" max="2322" width="8.875" style="185" customWidth="1"/>
    <col min="2323" max="2323" width="14.875" style="185" customWidth="1"/>
    <col min="2324" max="2324" width="17.125" style="185" customWidth="1"/>
    <col min="2325" max="2561" width="8.875" style="185" customWidth="1"/>
    <col min="2562" max="2562" width="13.375" style="185" customWidth="1"/>
    <col min="2563" max="2567" width="8.875" style="185" customWidth="1"/>
    <col min="2568" max="2568" width="18" style="185" customWidth="1"/>
    <col min="2569" max="2569" width="8.875" style="185" customWidth="1"/>
    <col min="2570" max="2570" width="17.375" style="185" customWidth="1"/>
    <col min="2571" max="2576" width="8.875" style="185" customWidth="1"/>
    <col min="2577" max="2577" width="18.375" style="185" customWidth="1"/>
    <col min="2578" max="2578" width="8.875" style="185" customWidth="1"/>
    <col min="2579" max="2579" width="14.875" style="185" customWidth="1"/>
    <col min="2580" max="2580" width="17.125" style="185" customWidth="1"/>
    <col min="2581" max="2817" width="8.875" style="185" customWidth="1"/>
    <col min="2818" max="2818" width="13.375" style="185" customWidth="1"/>
    <col min="2819" max="2823" width="8.875" style="185" customWidth="1"/>
    <col min="2824" max="2824" width="18" style="185" customWidth="1"/>
    <col min="2825" max="2825" width="8.875" style="185" customWidth="1"/>
    <col min="2826" max="2826" width="17.375" style="185" customWidth="1"/>
    <col min="2827" max="2832" width="8.875" style="185" customWidth="1"/>
    <col min="2833" max="2833" width="18.375" style="185" customWidth="1"/>
    <col min="2834" max="2834" width="8.875" style="185" customWidth="1"/>
    <col min="2835" max="2835" width="14.875" style="185" customWidth="1"/>
    <col min="2836" max="2836" width="17.125" style="185" customWidth="1"/>
    <col min="2837" max="3073" width="8.875" style="185" customWidth="1"/>
    <col min="3074" max="3074" width="13.375" style="185" customWidth="1"/>
    <col min="3075" max="3079" width="8.875" style="185" customWidth="1"/>
    <col min="3080" max="3080" width="18" style="185" customWidth="1"/>
    <col min="3081" max="3081" width="8.875" style="185" customWidth="1"/>
    <col min="3082" max="3082" width="17.375" style="185" customWidth="1"/>
    <col min="3083" max="3088" width="8.875" style="185" customWidth="1"/>
    <col min="3089" max="3089" width="18.375" style="185" customWidth="1"/>
    <col min="3090" max="3090" width="8.875" style="185" customWidth="1"/>
    <col min="3091" max="3091" width="14.875" style="185" customWidth="1"/>
    <col min="3092" max="3092" width="17.125" style="185" customWidth="1"/>
    <col min="3093" max="3329" width="8.875" style="185" customWidth="1"/>
    <col min="3330" max="3330" width="13.375" style="185" customWidth="1"/>
    <col min="3331" max="3335" width="8.875" style="185" customWidth="1"/>
    <col min="3336" max="3336" width="18" style="185" customWidth="1"/>
    <col min="3337" max="3337" width="8.875" style="185" customWidth="1"/>
    <col min="3338" max="3338" width="17.375" style="185" customWidth="1"/>
    <col min="3339" max="3344" width="8.875" style="185" customWidth="1"/>
    <col min="3345" max="3345" width="18.375" style="185" customWidth="1"/>
    <col min="3346" max="3346" width="8.875" style="185" customWidth="1"/>
    <col min="3347" max="3347" width="14.875" style="185" customWidth="1"/>
    <col min="3348" max="3348" width="17.125" style="185" customWidth="1"/>
    <col min="3349" max="3585" width="8.875" style="185" customWidth="1"/>
    <col min="3586" max="3586" width="13.375" style="185" customWidth="1"/>
    <col min="3587" max="3591" width="8.875" style="185" customWidth="1"/>
    <col min="3592" max="3592" width="18" style="185" customWidth="1"/>
    <col min="3593" max="3593" width="8.875" style="185" customWidth="1"/>
    <col min="3594" max="3594" width="17.375" style="185" customWidth="1"/>
    <col min="3595" max="3600" width="8.875" style="185" customWidth="1"/>
    <col min="3601" max="3601" width="18.375" style="185" customWidth="1"/>
    <col min="3602" max="3602" width="8.875" style="185" customWidth="1"/>
    <col min="3603" max="3603" width="14.875" style="185" customWidth="1"/>
    <col min="3604" max="3604" width="17.125" style="185" customWidth="1"/>
    <col min="3605" max="3841" width="8.875" style="185" customWidth="1"/>
    <col min="3842" max="3842" width="13.375" style="185" customWidth="1"/>
    <col min="3843" max="3847" width="8.875" style="185" customWidth="1"/>
    <col min="3848" max="3848" width="18" style="185" customWidth="1"/>
    <col min="3849" max="3849" width="8.875" style="185" customWidth="1"/>
    <col min="3850" max="3850" width="17.375" style="185" customWidth="1"/>
    <col min="3851" max="3856" width="8.875" style="185" customWidth="1"/>
    <col min="3857" max="3857" width="18.375" style="185" customWidth="1"/>
    <col min="3858" max="3858" width="8.875" style="185" customWidth="1"/>
    <col min="3859" max="3859" width="14.875" style="185" customWidth="1"/>
    <col min="3860" max="3860" width="17.125" style="185" customWidth="1"/>
    <col min="3861" max="4097" width="8.875" style="185" customWidth="1"/>
    <col min="4098" max="4098" width="13.375" style="185" customWidth="1"/>
    <col min="4099" max="4103" width="8.875" style="185" customWidth="1"/>
    <col min="4104" max="4104" width="18" style="185" customWidth="1"/>
    <col min="4105" max="4105" width="8.875" style="185" customWidth="1"/>
    <col min="4106" max="4106" width="17.375" style="185" customWidth="1"/>
    <col min="4107" max="4112" width="8.875" style="185" customWidth="1"/>
    <col min="4113" max="4113" width="18.375" style="185" customWidth="1"/>
    <col min="4114" max="4114" width="8.875" style="185" customWidth="1"/>
    <col min="4115" max="4115" width="14.875" style="185" customWidth="1"/>
    <col min="4116" max="4116" width="17.125" style="185" customWidth="1"/>
    <col min="4117" max="4353" width="8.875" style="185" customWidth="1"/>
    <col min="4354" max="4354" width="13.375" style="185" customWidth="1"/>
    <col min="4355" max="4359" width="8.875" style="185" customWidth="1"/>
    <col min="4360" max="4360" width="18" style="185" customWidth="1"/>
    <col min="4361" max="4361" width="8.875" style="185" customWidth="1"/>
    <col min="4362" max="4362" width="17.375" style="185" customWidth="1"/>
    <col min="4363" max="4368" width="8.875" style="185" customWidth="1"/>
    <col min="4369" max="4369" width="18.375" style="185" customWidth="1"/>
    <col min="4370" max="4370" width="8.875" style="185" customWidth="1"/>
    <col min="4371" max="4371" width="14.875" style="185" customWidth="1"/>
    <col min="4372" max="4372" width="17.125" style="185" customWidth="1"/>
    <col min="4373" max="4609" width="8.875" style="185" customWidth="1"/>
    <col min="4610" max="4610" width="13.375" style="185" customWidth="1"/>
    <col min="4611" max="4615" width="8.875" style="185" customWidth="1"/>
    <col min="4616" max="4616" width="18" style="185" customWidth="1"/>
    <col min="4617" max="4617" width="8.875" style="185" customWidth="1"/>
    <col min="4618" max="4618" width="17.375" style="185" customWidth="1"/>
    <col min="4619" max="4624" width="8.875" style="185" customWidth="1"/>
    <col min="4625" max="4625" width="18.375" style="185" customWidth="1"/>
    <col min="4626" max="4626" width="8.875" style="185" customWidth="1"/>
    <col min="4627" max="4627" width="14.875" style="185" customWidth="1"/>
    <col min="4628" max="4628" width="17.125" style="185" customWidth="1"/>
    <col min="4629" max="4865" width="8.875" style="185" customWidth="1"/>
    <col min="4866" max="4866" width="13.375" style="185" customWidth="1"/>
    <col min="4867" max="4871" width="8.875" style="185" customWidth="1"/>
    <col min="4872" max="4872" width="18" style="185" customWidth="1"/>
    <col min="4873" max="4873" width="8.875" style="185" customWidth="1"/>
    <col min="4874" max="4874" width="17.375" style="185" customWidth="1"/>
    <col min="4875" max="4880" width="8.875" style="185" customWidth="1"/>
    <col min="4881" max="4881" width="18.375" style="185" customWidth="1"/>
    <col min="4882" max="4882" width="8.875" style="185" customWidth="1"/>
    <col min="4883" max="4883" width="14.875" style="185" customWidth="1"/>
    <col min="4884" max="4884" width="17.125" style="185" customWidth="1"/>
    <col min="4885" max="5121" width="8.875" style="185" customWidth="1"/>
    <col min="5122" max="5122" width="13.375" style="185" customWidth="1"/>
    <col min="5123" max="5127" width="8.875" style="185" customWidth="1"/>
    <col min="5128" max="5128" width="18" style="185" customWidth="1"/>
    <col min="5129" max="5129" width="8.875" style="185" customWidth="1"/>
    <col min="5130" max="5130" width="17.375" style="185" customWidth="1"/>
    <col min="5131" max="5136" width="8.875" style="185" customWidth="1"/>
    <col min="5137" max="5137" width="18.375" style="185" customWidth="1"/>
    <col min="5138" max="5138" width="8.875" style="185" customWidth="1"/>
    <col min="5139" max="5139" width="14.875" style="185" customWidth="1"/>
    <col min="5140" max="5140" width="17.125" style="185" customWidth="1"/>
    <col min="5141" max="5377" width="8.875" style="185" customWidth="1"/>
    <col min="5378" max="5378" width="13.375" style="185" customWidth="1"/>
    <col min="5379" max="5383" width="8.875" style="185" customWidth="1"/>
    <col min="5384" max="5384" width="18" style="185" customWidth="1"/>
    <col min="5385" max="5385" width="8.875" style="185" customWidth="1"/>
    <col min="5386" max="5386" width="17.375" style="185" customWidth="1"/>
    <col min="5387" max="5392" width="8.875" style="185" customWidth="1"/>
    <col min="5393" max="5393" width="18.375" style="185" customWidth="1"/>
    <col min="5394" max="5394" width="8.875" style="185" customWidth="1"/>
    <col min="5395" max="5395" width="14.875" style="185" customWidth="1"/>
    <col min="5396" max="5396" width="17.125" style="185" customWidth="1"/>
    <col min="5397" max="5633" width="8.875" style="185" customWidth="1"/>
    <col min="5634" max="5634" width="13.375" style="185" customWidth="1"/>
    <col min="5635" max="5639" width="8.875" style="185" customWidth="1"/>
    <col min="5640" max="5640" width="18" style="185" customWidth="1"/>
    <col min="5641" max="5641" width="8.875" style="185" customWidth="1"/>
    <col min="5642" max="5642" width="17.375" style="185" customWidth="1"/>
    <col min="5643" max="5648" width="8.875" style="185" customWidth="1"/>
    <col min="5649" max="5649" width="18.375" style="185" customWidth="1"/>
    <col min="5650" max="5650" width="8.875" style="185" customWidth="1"/>
    <col min="5651" max="5651" width="14.875" style="185" customWidth="1"/>
    <col min="5652" max="5652" width="17.125" style="185" customWidth="1"/>
    <col min="5653" max="5889" width="8.875" style="185" customWidth="1"/>
    <col min="5890" max="5890" width="13.375" style="185" customWidth="1"/>
    <col min="5891" max="5895" width="8.875" style="185" customWidth="1"/>
    <col min="5896" max="5896" width="18" style="185" customWidth="1"/>
    <col min="5897" max="5897" width="8.875" style="185" customWidth="1"/>
    <col min="5898" max="5898" width="17.375" style="185" customWidth="1"/>
    <col min="5899" max="5904" width="8.875" style="185" customWidth="1"/>
    <col min="5905" max="5905" width="18.375" style="185" customWidth="1"/>
    <col min="5906" max="5906" width="8.875" style="185" customWidth="1"/>
    <col min="5907" max="5907" width="14.875" style="185" customWidth="1"/>
    <col min="5908" max="5908" width="17.125" style="185" customWidth="1"/>
    <col min="5909" max="6145" width="8.875" style="185" customWidth="1"/>
    <col min="6146" max="6146" width="13.375" style="185" customWidth="1"/>
    <col min="6147" max="6151" width="8.875" style="185" customWidth="1"/>
    <col min="6152" max="6152" width="18" style="185" customWidth="1"/>
    <col min="6153" max="6153" width="8.875" style="185" customWidth="1"/>
    <col min="6154" max="6154" width="17.375" style="185" customWidth="1"/>
    <col min="6155" max="6160" width="8.875" style="185" customWidth="1"/>
    <col min="6161" max="6161" width="18.375" style="185" customWidth="1"/>
    <col min="6162" max="6162" width="8.875" style="185" customWidth="1"/>
    <col min="6163" max="6163" width="14.875" style="185" customWidth="1"/>
    <col min="6164" max="6164" width="17.125" style="185" customWidth="1"/>
    <col min="6165" max="6401" width="8.875" style="185" customWidth="1"/>
    <col min="6402" max="6402" width="13.375" style="185" customWidth="1"/>
    <col min="6403" max="6407" width="8.875" style="185" customWidth="1"/>
    <col min="6408" max="6408" width="18" style="185" customWidth="1"/>
    <col min="6409" max="6409" width="8.875" style="185" customWidth="1"/>
    <col min="6410" max="6410" width="17.375" style="185" customWidth="1"/>
    <col min="6411" max="6416" width="8.875" style="185" customWidth="1"/>
    <col min="6417" max="6417" width="18.375" style="185" customWidth="1"/>
    <col min="6418" max="6418" width="8.875" style="185" customWidth="1"/>
    <col min="6419" max="6419" width="14.875" style="185" customWidth="1"/>
    <col min="6420" max="6420" width="17.125" style="185" customWidth="1"/>
    <col min="6421" max="6657" width="8.875" style="185" customWidth="1"/>
    <col min="6658" max="6658" width="13.375" style="185" customWidth="1"/>
    <col min="6659" max="6663" width="8.875" style="185" customWidth="1"/>
    <col min="6664" max="6664" width="18" style="185" customWidth="1"/>
    <col min="6665" max="6665" width="8.875" style="185" customWidth="1"/>
    <col min="6666" max="6666" width="17.375" style="185" customWidth="1"/>
    <col min="6667" max="6672" width="8.875" style="185" customWidth="1"/>
    <col min="6673" max="6673" width="18.375" style="185" customWidth="1"/>
    <col min="6674" max="6674" width="8.875" style="185" customWidth="1"/>
    <col min="6675" max="6675" width="14.875" style="185" customWidth="1"/>
    <col min="6676" max="6676" width="17.125" style="185" customWidth="1"/>
    <col min="6677" max="6913" width="8.875" style="185" customWidth="1"/>
    <col min="6914" max="6914" width="13.375" style="185" customWidth="1"/>
    <col min="6915" max="6919" width="8.875" style="185" customWidth="1"/>
    <col min="6920" max="6920" width="18" style="185" customWidth="1"/>
    <col min="6921" max="6921" width="8.875" style="185" customWidth="1"/>
    <col min="6922" max="6922" width="17.375" style="185" customWidth="1"/>
    <col min="6923" max="6928" width="8.875" style="185" customWidth="1"/>
    <col min="6929" max="6929" width="18.375" style="185" customWidth="1"/>
    <col min="6930" max="6930" width="8.875" style="185" customWidth="1"/>
    <col min="6931" max="6931" width="14.875" style="185" customWidth="1"/>
    <col min="6932" max="6932" width="17.125" style="185" customWidth="1"/>
    <col min="6933" max="7169" width="8.875" style="185" customWidth="1"/>
    <col min="7170" max="7170" width="13.375" style="185" customWidth="1"/>
    <col min="7171" max="7175" width="8.875" style="185" customWidth="1"/>
    <col min="7176" max="7176" width="18" style="185" customWidth="1"/>
    <col min="7177" max="7177" width="8.875" style="185" customWidth="1"/>
    <col min="7178" max="7178" width="17.375" style="185" customWidth="1"/>
    <col min="7179" max="7184" width="8.875" style="185" customWidth="1"/>
    <col min="7185" max="7185" width="18.375" style="185" customWidth="1"/>
    <col min="7186" max="7186" width="8.875" style="185" customWidth="1"/>
    <col min="7187" max="7187" width="14.875" style="185" customWidth="1"/>
    <col min="7188" max="7188" width="17.125" style="185" customWidth="1"/>
    <col min="7189" max="7425" width="8.875" style="185" customWidth="1"/>
    <col min="7426" max="7426" width="13.375" style="185" customWidth="1"/>
    <col min="7427" max="7431" width="8.875" style="185" customWidth="1"/>
    <col min="7432" max="7432" width="18" style="185" customWidth="1"/>
    <col min="7433" max="7433" width="8.875" style="185" customWidth="1"/>
    <col min="7434" max="7434" width="17.375" style="185" customWidth="1"/>
    <col min="7435" max="7440" width="8.875" style="185" customWidth="1"/>
    <col min="7441" max="7441" width="18.375" style="185" customWidth="1"/>
    <col min="7442" max="7442" width="8.875" style="185" customWidth="1"/>
    <col min="7443" max="7443" width="14.875" style="185" customWidth="1"/>
    <col min="7444" max="7444" width="17.125" style="185" customWidth="1"/>
    <col min="7445" max="7681" width="8.875" style="185" customWidth="1"/>
    <col min="7682" max="7682" width="13.375" style="185" customWidth="1"/>
    <col min="7683" max="7687" width="8.875" style="185" customWidth="1"/>
    <col min="7688" max="7688" width="18" style="185" customWidth="1"/>
    <col min="7689" max="7689" width="8.875" style="185" customWidth="1"/>
    <col min="7690" max="7690" width="17.375" style="185" customWidth="1"/>
    <col min="7691" max="7696" width="8.875" style="185" customWidth="1"/>
    <col min="7697" max="7697" width="18.375" style="185" customWidth="1"/>
    <col min="7698" max="7698" width="8.875" style="185" customWidth="1"/>
    <col min="7699" max="7699" width="14.875" style="185" customWidth="1"/>
    <col min="7700" max="7700" width="17.125" style="185" customWidth="1"/>
    <col min="7701" max="7937" width="8.875" style="185" customWidth="1"/>
    <col min="7938" max="7938" width="13.375" style="185" customWidth="1"/>
    <col min="7939" max="7943" width="8.875" style="185" customWidth="1"/>
    <col min="7944" max="7944" width="18" style="185" customWidth="1"/>
    <col min="7945" max="7945" width="8.875" style="185" customWidth="1"/>
    <col min="7946" max="7946" width="17.375" style="185" customWidth="1"/>
    <col min="7947" max="7952" width="8.875" style="185" customWidth="1"/>
    <col min="7953" max="7953" width="18.375" style="185" customWidth="1"/>
    <col min="7954" max="7954" width="8.875" style="185" customWidth="1"/>
    <col min="7955" max="7955" width="14.875" style="185" customWidth="1"/>
    <col min="7956" max="7956" width="17.125" style="185" customWidth="1"/>
    <col min="7957" max="8193" width="8.875" style="185" customWidth="1"/>
    <col min="8194" max="8194" width="13.375" style="185" customWidth="1"/>
    <col min="8195" max="8199" width="8.875" style="185" customWidth="1"/>
    <col min="8200" max="8200" width="18" style="185" customWidth="1"/>
    <col min="8201" max="8201" width="8.875" style="185" customWidth="1"/>
    <col min="8202" max="8202" width="17.375" style="185" customWidth="1"/>
    <col min="8203" max="8208" width="8.875" style="185" customWidth="1"/>
    <col min="8209" max="8209" width="18.375" style="185" customWidth="1"/>
    <col min="8210" max="8210" width="8.875" style="185" customWidth="1"/>
    <col min="8211" max="8211" width="14.875" style="185" customWidth="1"/>
    <col min="8212" max="8212" width="17.125" style="185" customWidth="1"/>
    <col min="8213" max="8449" width="8.875" style="185" customWidth="1"/>
    <col min="8450" max="8450" width="13.375" style="185" customWidth="1"/>
    <col min="8451" max="8455" width="8.875" style="185" customWidth="1"/>
    <col min="8456" max="8456" width="18" style="185" customWidth="1"/>
    <col min="8457" max="8457" width="8.875" style="185" customWidth="1"/>
    <col min="8458" max="8458" width="17.375" style="185" customWidth="1"/>
    <col min="8459" max="8464" width="8.875" style="185" customWidth="1"/>
    <col min="8465" max="8465" width="18.375" style="185" customWidth="1"/>
    <col min="8466" max="8466" width="8.875" style="185" customWidth="1"/>
    <col min="8467" max="8467" width="14.875" style="185" customWidth="1"/>
    <col min="8468" max="8468" width="17.125" style="185" customWidth="1"/>
    <col min="8469" max="8705" width="8.875" style="185" customWidth="1"/>
    <col min="8706" max="8706" width="13.375" style="185" customWidth="1"/>
    <col min="8707" max="8711" width="8.875" style="185" customWidth="1"/>
    <col min="8712" max="8712" width="18" style="185" customWidth="1"/>
    <col min="8713" max="8713" width="8.875" style="185" customWidth="1"/>
    <col min="8714" max="8714" width="17.375" style="185" customWidth="1"/>
    <col min="8715" max="8720" width="8.875" style="185" customWidth="1"/>
    <col min="8721" max="8721" width="18.375" style="185" customWidth="1"/>
    <col min="8722" max="8722" width="8.875" style="185" customWidth="1"/>
    <col min="8723" max="8723" width="14.875" style="185" customWidth="1"/>
    <col min="8724" max="8724" width="17.125" style="185" customWidth="1"/>
    <col min="8725" max="8961" width="8.875" style="185" customWidth="1"/>
    <col min="8962" max="8962" width="13.375" style="185" customWidth="1"/>
    <col min="8963" max="8967" width="8.875" style="185" customWidth="1"/>
    <col min="8968" max="8968" width="18" style="185" customWidth="1"/>
    <col min="8969" max="8969" width="8.875" style="185" customWidth="1"/>
    <col min="8970" max="8970" width="17.375" style="185" customWidth="1"/>
    <col min="8971" max="8976" width="8.875" style="185" customWidth="1"/>
    <col min="8977" max="8977" width="18.375" style="185" customWidth="1"/>
    <col min="8978" max="8978" width="8.875" style="185" customWidth="1"/>
    <col min="8979" max="8979" width="14.875" style="185" customWidth="1"/>
    <col min="8980" max="8980" width="17.125" style="185" customWidth="1"/>
    <col min="8981" max="9217" width="8.875" style="185" customWidth="1"/>
    <col min="9218" max="9218" width="13.375" style="185" customWidth="1"/>
    <col min="9219" max="9223" width="8.875" style="185" customWidth="1"/>
    <col min="9224" max="9224" width="18" style="185" customWidth="1"/>
    <col min="9225" max="9225" width="8.875" style="185" customWidth="1"/>
    <col min="9226" max="9226" width="17.375" style="185" customWidth="1"/>
    <col min="9227" max="9232" width="8.875" style="185" customWidth="1"/>
    <col min="9233" max="9233" width="18.375" style="185" customWidth="1"/>
    <col min="9234" max="9234" width="8.875" style="185" customWidth="1"/>
    <col min="9235" max="9235" width="14.875" style="185" customWidth="1"/>
    <col min="9236" max="9236" width="17.125" style="185" customWidth="1"/>
    <col min="9237" max="9473" width="8.875" style="185" customWidth="1"/>
    <col min="9474" max="9474" width="13.375" style="185" customWidth="1"/>
    <col min="9475" max="9479" width="8.875" style="185" customWidth="1"/>
    <col min="9480" max="9480" width="18" style="185" customWidth="1"/>
    <col min="9481" max="9481" width="8.875" style="185" customWidth="1"/>
    <col min="9482" max="9482" width="17.375" style="185" customWidth="1"/>
    <col min="9483" max="9488" width="8.875" style="185" customWidth="1"/>
    <col min="9489" max="9489" width="18.375" style="185" customWidth="1"/>
    <col min="9490" max="9490" width="8.875" style="185" customWidth="1"/>
    <col min="9491" max="9491" width="14.875" style="185" customWidth="1"/>
    <col min="9492" max="9492" width="17.125" style="185" customWidth="1"/>
    <col min="9493" max="9729" width="8.875" style="185" customWidth="1"/>
    <col min="9730" max="9730" width="13.375" style="185" customWidth="1"/>
    <col min="9731" max="9735" width="8.875" style="185" customWidth="1"/>
    <col min="9736" max="9736" width="18" style="185" customWidth="1"/>
    <col min="9737" max="9737" width="8.875" style="185" customWidth="1"/>
    <col min="9738" max="9738" width="17.375" style="185" customWidth="1"/>
    <col min="9739" max="9744" width="8.875" style="185" customWidth="1"/>
    <col min="9745" max="9745" width="18.375" style="185" customWidth="1"/>
    <col min="9746" max="9746" width="8.875" style="185" customWidth="1"/>
    <col min="9747" max="9747" width="14.875" style="185" customWidth="1"/>
    <col min="9748" max="9748" width="17.125" style="185" customWidth="1"/>
    <col min="9749" max="9985" width="8.875" style="185" customWidth="1"/>
    <col min="9986" max="9986" width="13.375" style="185" customWidth="1"/>
    <col min="9987" max="9991" width="8.875" style="185" customWidth="1"/>
    <col min="9992" max="9992" width="18" style="185" customWidth="1"/>
    <col min="9993" max="9993" width="8.875" style="185" customWidth="1"/>
    <col min="9994" max="9994" width="17.375" style="185" customWidth="1"/>
    <col min="9995" max="10000" width="8.875" style="185" customWidth="1"/>
    <col min="10001" max="10001" width="18.375" style="185" customWidth="1"/>
    <col min="10002" max="10002" width="8.875" style="185" customWidth="1"/>
    <col min="10003" max="10003" width="14.875" style="185" customWidth="1"/>
    <col min="10004" max="10004" width="17.125" style="185" customWidth="1"/>
    <col min="10005" max="10241" width="8.875" style="185" customWidth="1"/>
    <col min="10242" max="10242" width="13.375" style="185" customWidth="1"/>
    <col min="10243" max="10247" width="8.875" style="185" customWidth="1"/>
    <col min="10248" max="10248" width="18" style="185" customWidth="1"/>
    <col min="10249" max="10249" width="8.875" style="185" customWidth="1"/>
    <col min="10250" max="10250" width="17.375" style="185" customWidth="1"/>
    <col min="10251" max="10256" width="8.875" style="185" customWidth="1"/>
    <col min="10257" max="10257" width="18.375" style="185" customWidth="1"/>
    <col min="10258" max="10258" width="8.875" style="185" customWidth="1"/>
    <col min="10259" max="10259" width="14.875" style="185" customWidth="1"/>
    <col min="10260" max="10260" width="17.125" style="185" customWidth="1"/>
    <col min="10261" max="10497" width="8.875" style="185" customWidth="1"/>
    <col min="10498" max="10498" width="13.375" style="185" customWidth="1"/>
    <col min="10499" max="10503" width="8.875" style="185" customWidth="1"/>
    <col min="10504" max="10504" width="18" style="185" customWidth="1"/>
    <col min="10505" max="10505" width="8.875" style="185" customWidth="1"/>
    <col min="10506" max="10506" width="17.375" style="185" customWidth="1"/>
    <col min="10507" max="10512" width="8.875" style="185" customWidth="1"/>
    <col min="10513" max="10513" width="18.375" style="185" customWidth="1"/>
    <col min="10514" max="10514" width="8.875" style="185" customWidth="1"/>
    <col min="10515" max="10515" width="14.875" style="185" customWidth="1"/>
    <col min="10516" max="10516" width="17.125" style="185" customWidth="1"/>
    <col min="10517" max="10753" width="8.875" style="185" customWidth="1"/>
    <col min="10754" max="10754" width="13.375" style="185" customWidth="1"/>
    <col min="10755" max="10759" width="8.875" style="185" customWidth="1"/>
    <col min="10760" max="10760" width="18" style="185" customWidth="1"/>
    <col min="10761" max="10761" width="8.875" style="185" customWidth="1"/>
    <col min="10762" max="10762" width="17.375" style="185" customWidth="1"/>
    <col min="10763" max="10768" width="8.875" style="185" customWidth="1"/>
    <col min="10769" max="10769" width="18.375" style="185" customWidth="1"/>
    <col min="10770" max="10770" width="8.875" style="185" customWidth="1"/>
    <col min="10771" max="10771" width="14.875" style="185" customWidth="1"/>
    <col min="10772" max="10772" width="17.125" style="185" customWidth="1"/>
    <col min="10773" max="11009" width="8.875" style="185" customWidth="1"/>
    <col min="11010" max="11010" width="13.375" style="185" customWidth="1"/>
    <col min="11011" max="11015" width="8.875" style="185" customWidth="1"/>
    <col min="11016" max="11016" width="18" style="185" customWidth="1"/>
    <col min="11017" max="11017" width="8.875" style="185" customWidth="1"/>
    <col min="11018" max="11018" width="17.375" style="185" customWidth="1"/>
    <col min="11019" max="11024" width="8.875" style="185" customWidth="1"/>
    <col min="11025" max="11025" width="18.375" style="185" customWidth="1"/>
    <col min="11026" max="11026" width="8.875" style="185" customWidth="1"/>
    <col min="11027" max="11027" width="14.875" style="185" customWidth="1"/>
    <col min="11028" max="11028" width="17.125" style="185" customWidth="1"/>
    <col min="11029" max="11265" width="8.875" style="185" customWidth="1"/>
    <col min="11266" max="11266" width="13.375" style="185" customWidth="1"/>
    <col min="11267" max="11271" width="8.875" style="185" customWidth="1"/>
    <col min="11272" max="11272" width="18" style="185" customWidth="1"/>
    <col min="11273" max="11273" width="8.875" style="185" customWidth="1"/>
    <col min="11274" max="11274" width="17.375" style="185" customWidth="1"/>
    <col min="11275" max="11280" width="8.875" style="185" customWidth="1"/>
    <col min="11281" max="11281" width="18.375" style="185" customWidth="1"/>
    <col min="11282" max="11282" width="8.875" style="185" customWidth="1"/>
    <col min="11283" max="11283" width="14.875" style="185" customWidth="1"/>
    <col min="11284" max="11284" width="17.125" style="185" customWidth="1"/>
    <col min="11285" max="11521" width="8.875" style="185" customWidth="1"/>
    <col min="11522" max="11522" width="13.375" style="185" customWidth="1"/>
    <col min="11523" max="11527" width="8.875" style="185" customWidth="1"/>
    <col min="11528" max="11528" width="18" style="185" customWidth="1"/>
    <col min="11529" max="11529" width="8.875" style="185" customWidth="1"/>
    <col min="11530" max="11530" width="17.375" style="185" customWidth="1"/>
    <col min="11531" max="11536" width="8.875" style="185" customWidth="1"/>
    <col min="11537" max="11537" width="18.375" style="185" customWidth="1"/>
    <col min="11538" max="11538" width="8.875" style="185" customWidth="1"/>
    <col min="11539" max="11539" width="14.875" style="185" customWidth="1"/>
    <col min="11540" max="11540" width="17.125" style="185" customWidth="1"/>
    <col min="11541" max="11777" width="8.875" style="185" customWidth="1"/>
    <col min="11778" max="11778" width="13.375" style="185" customWidth="1"/>
    <col min="11779" max="11783" width="8.875" style="185" customWidth="1"/>
    <col min="11784" max="11784" width="18" style="185" customWidth="1"/>
    <col min="11785" max="11785" width="8.875" style="185" customWidth="1"/>
    <col min="11786" max="11786" width="17.375" style="185" customWidth="1"/>
    <col min="11787" max="11792" width="8.875" style="185" customWidth="1"/>
    <col min="11793" max="11793" width="18.375" style="185" customWidth="1"/>
    <col min="11794" max="11794" width="8.875" style="185" customWidth="1"/>
    <col min="11795" max="11795" width="14.875" style="185" customWidth="1"/>
    <col min="11796" max="11796" width="17.125" style="185" customWidth="1"/>
    <col min="11797" max="12033" width="8.875" style="185" customWidth="1"/>
    <col min="12034" max="12034" width="13.375" style="185" customWidth="1"/>
    <col min="12035" max="12039" width="8.875" style="185" customWidth="1"/>
    <col min="12040" max="12040" width="18" style="185" customWidth="1"/>
    <col min="12041" max="12041" width="8.875" style="185" customWidth="1"/>
    <col min="12042" max="12042" width="17.375" style="185" customWidth="1"/>
    <col min="12043" max="12048" width="8.875" style="185" customWidth="1"/>
    <col min="12049" max="12049" width="18.375" style="185" customWidth="1"/>
    <col min="12050" max="12050" width="8.875" style="185" customWidth="1"/>
    <col min="12051" max="12051" width="14.875" style="185" customWidth="1"/>
    <col min="12052" max="12052" width="17.125" style="185" customWidth="1"/>
    <col min="12053" max="12289" width="8.875" style="185" customWidth="1"/>
    <col min="12290" max="12290" width="13.375" style="185" customWidth="1"/>
    <col min="12291" max="12295" width="8.875" style="185" customWidth="1"/>
    <col min="12296" max="12296" width="18" style="185" customWidth="1"/>
    <col min="12297" max="12297" width="8.875" style="185" customWidth="1"/>
    <col min="12298" max="12298" width="17.375" style="185" customWidth="1"/>
    <col min="12299" max="12304" width="8.875" style="185" customWidth="1"/>
    <col min="12305" max="12305" width="18.375" style="185" customWidth="1"/>
    <col min="12306" max="12306" width="8.875" style="185" customWidth="1"/>
    <col min="12307" max="12307" width="14.875" style="185" customWidth="1"/>
    <col min="12308" max="12308" width="17.125" style="185" customWidth="1"/>
    <col min="12309" max="12545" width="8.875" style="185" customWidth="1"/>
    <col min="12546" max="12546" width="13.375" style="185" customWidth="1"/>
    <col min="12547" max="12551" width="8.875" style="185" customWidth="1"/>
    <col min="12552" max="12552" width="18" style="185" customWidth="1"/>
    <col min="12553" max="12553" width="8.875" style="185" customWidth="1"/>
    <col min="12554" max="12554" width="17.375" style="185" customWidth="1"/>
    <col min="12555" max="12560" width="8.875" style="185" customWidth="1"/>
    <col min="12561" max="12561" width="18.375" style="185" customWidth="1"/>
    <col min="12562" max="12562" width="8.875" style="185" customWidth="1"/>
    <col min="12563" max="12563" width="14.875" style="185" customWidth="1"/>
    <col min="12564" max="12564" width="17.125" style="185" customWidth="1"/>
    <col min="12565" max="12801" width="8.875" style="185" customWidth="1"/>
    <col min="12802" max="12802" width="13.375" style="185" customWidth="1"/>
    <col min="12803" max="12807" width="8.875" style="185" customWidth="1"/>
    <col min="12808" max="12808" width="18" style="185" customWidth="1"/>
    <col min="12809" max="12809" width="8.875" style="185" customWidth="1"/>
    <col min="12810" max="12810" width="17.375" style="185" customWidth="1"/>
    <col min="12811" max="12816" width="8.875" style="185" customWidth="1"/>
    <col min="12817" max="12817" width="18.375" style="185" customWidth="1"/>
    <col min="12818" max="12818" width="8.875" style="185" customWidth="1"/>
    <col min="12819" max="12819" width="14.875" style="185" customWidth="1"/>
    <col min="12820" max="12820" width="17.125" style="185" customWidth="1"/>
    <col min="12821" max="13057" width="8.875" style="185" customWidth="1"/>
    <col min="13058" max="13058" width="13.375" style="185" customWidth="1"/>
    <col min="13059" max="13063" width="8.875" style="185" customWidth="1"/>
    <col min="13064" max="13064" width="18" style="185" customWidth="1"/>
    <col min="13065" max="13065" width="8.875" style="185" customWidth="1"/>
    <col min="13066" max="13066" width="17.375" style="185" customWidth="1"/>
    <col min="13067" max="13072" width="8.875" style="185" customWidth="1"/>
    <col min="13073" max="13073" width="18.375" style="185" customWidth="1"/>
    <col min="13074" max="13074" width="8.875" style="185" customWidth="1"/>
    <col min="13075" max="13075" width="14.875" style="185" customWidth="1"/>
    <col min="13076" max="13076" width="17.125" style="185" customWidth="1"/>
    <col min="13077" max="13313" width="8.875" style="185" customWidth="1"/>
    <col min="13314" max="13314" width="13.375" style="185" customWidth="1"/>
    <col min="13315" max="13319" width="8.875" style="185" customWidth="1"/>
    <col min="13320" max="13320" width="18" style="185" customWidth="1"/>
    <col min="13321" max="13321" width="8.875" style="185" customWidth="1"/>
    <col min="13322" max="13322" width="17.375" style="185" customWidth="1"/>
    <col min="13323" max="13328" width="8.875" style="185" customWidth="1"/>
    <col min="13329" max="13329" width="18.375" style="185" customWidth="1"/>
    <col min="13330" max="13330" width="8.875" style="185" customWidth="1"/>
    <col min="13331" max="13331" width="14.875" style="185" customWidth="1"/>
    <col min="13332" max="13332" width="17.125" style="185" customWidth="1"/>
    <col min="13333" max="13569" width="8.875" style="185" customWidth="1"/>
    <col min="13570" max="13570" width="13.375" style="185" customWidth="1"/>
    <col min="13571" max="13575" width="8.875" style="185" customWidth="1"/>
    <col min="13576" max="13576" width="18" style="185" customWidth="1"/>
    <col min="13577" max="13577" width="8.875" style="185" customWidth="1"/>
    <col min="13578" max="13578" width="17.375" style="185" customWidth="1"/>
    <col min="13579" max="13584" width="8.875" style="185" customWidth="1"/>
    <col min="13585" max="13585" width="18.375" style="185" customWidth="1"/>
    <col min="13586" max="13586" width="8.875" style="185" customWidth="1"/>
    <col min="13587" max="13587" width="14.875" style="185" customWidth="1"/>
    <col min="13588" max="13588" width="17.125" style="185" customWidth="1"/>
    <col min="13589" max="13825" width="8.875" style="185" customWidth="1"/>
    <col min="13826" max="13826" width="13.375" style="185" customWidth="1"/>
    <col min="13827" max="13831" width="8.875" style="185" customWidth="1"/>
    <col min="13832" max="13832" width="18" style="185" customWidth="1"/>
    <col min="13833" max="13833" width="8.875" style="185" customWidth="1"/>
    <col min="13834" max="13834" width="17.375" style="185" customWidth="1"/>
    <col min="13835" max="13840" width="8.875" style="185" customWidth="1"/>
    <col min="13841" max="13841" width="18.375" style="185" customWidth="1"/>
    <col min="13842" max="13842" width="8.875" style="185" customWidth="1"/>
    <col min="13843" max="13843" width="14.875" style="185" customWidth="1"/>
    <col min="13844" max="13844" width="17.125" style="185" customWidth="1"/>
    <col min="13845" max="14081" width="8.875" style="185" customWidth="1"/>
    <col min="14082" max="14082" width="13.375" style="185" customWidth="1"/>
    <col min="14083" max="14087" width="8.875" style="185" customWidth="1"/>
    <col min="14088" max="14088" width="18" style="185" customWidth="1"/>
    <col min="14089" max="14089" width="8.875" style="185" customWidth="1"/>
    <col min="14090" max="14090" width="17.375" style="185" customWidth="1"/>
    <col min="14091" max="14096" width="8.875" style="185" customWidth="1"/>
    <col min="14097" max="14097" width="18.375" style="185" customWidth="1"/>
    <col min="14098" max="14098" width="8.875" style="185" customWidth="1"/>
    <col min="14099" max="14099" width="14.875" style="185" customWidth="1"/>
    <col min="14100" max="14100" width="17.125" style="185" customWidth="1"/>
    <col min="14101" max="14337" width="8.875" style="185" customWidth="1"/>
    <col min="14338" max="14338" width="13.375" style="185" customWidth="1"/>
    <col min="14339" max="14343" width="8.875" style="185" customWidth="1"/>
    <col min="14344" max="14344" width="18" style="185" customWidth="1"/>
    <col min="14345" max="14345" width="8.875" style="185" customWidth="1"/>
    <col min="14346" max="14346" width="17.375" style="185" customWidth="1"/>
    <col min="14347" max="14352" width="8.875" style="185" customWidth="1"/>
    <col min="14353" max="14353" width="18.375" style="185" customWidth="1"/>
    <col min="14354" max="14354" width="8.875" style="185" customWidth="1"/>
    <col min="14355" max="14355" width="14.875" style="185" customWidth="1"/>
    <col min="14356" max="14356" width="17.125" style="185" customWidth="1"/>
    <col min="14357" max="14593" width="8.875" style="185" customWidth="1"/>
    <col min="14594" max="14594" width="13.375" style="185" customWidth="1"/>
    <col min="14595" max="14599" width="8.875" style="185" customWidth="1"/>
    <col min="14600" max="14600" width="18" style="185" customWidth="1"/>
    <col min="14601" max="14601" width="8.875" style="185" customWidth="1"/>
    <col min="14602" max="14602" width="17.375" style="185" customWidth="1"/>
    <col min="14603" max="14608" width="8.875" style="185" customWidth="1"/>
    <col min="14609" max="14609" width="18.375" style="185" customWidth="1"/>
    <col min="14610" max="14610" width="8.875" style="185" customWidth="1"/>
    <col min="14611" max="14611" width="14.875" style="185" customWidth="1"/>
    <col min="14612" max="14612" width="17.125" style="185" customWidth="1"/>
    <col min="14613" max="14849" width="8.875" style="185" customWidth="1"/>
    <col min="14850" max="14850" width="13.375" style="185" customWidth="1"/>
    <col min="14851" max="14855" width="8.875" style="185" customWidth="1"/>
    <col min="14856" max="14856" width="18" style="185" customWidth="1"/>
    <col min="14857" max="14857" width="8.875" style="185" customWidth="1"/>
    <col min="14858" max="14858" width="17.375" style="185" customWidth="1"/>
    <col min="14859" max="14864" width="8.875" style="185" customWidth="1"/>
    <col min="14865" max="14865" width="18.375" style="185" customWidth="1"/>
    <col min="14866" max="14866" width="8.875" style="185" customWidth="1"/>
    <col min="14867" max="14867" width="14.875" style="185" customWidth="1"/>
    <col min="14868" max="14868" width="17.125" style="185" customWidth="1"/>
    <col min="14869" max="15105" width="8.875" style="185" customWidth="1"/>
    <col min="15106" max="15106" width="13.375" style="185" customWidth="1"/>
    <col min="15107" max="15111" width="8.875" style="185" customWidth="1"/>
    <col min="15112" max="15112" width="18" style="185" customWidth="1"/>
    <col min="15113" max="15113" width="8.875" style="185" customWidth="1"/>
    <col min="15114" max="15114" width="17.375" style="185" customWidth="1"/>
    <col min="15115" max="15120" width="8.875" style="185" customWidth="1"/>
    <col min="15121" max="15121" width="18.375" style="185" customWidth="1"/>
    <col min="15122" max="15122" width="8.875" style="185" customWidth="1"/>
    <col min="15123" max="15123" width="14.875" style="185" customWidth="1"/>
    <col min="15124" max="15124" width="17.125" style="185" customWidth="1"/>
    <col min="15125" max="15361" width="8.875" style="185" customWidth="1"/>
    <col min="15362" max="15362" width="13.375" style="185" customWidth="1"/>
    <col min="15363" max="15367" width="8.875" style="185" customWidth="1"/>
    <col min="15368" max="15368" width="18" style="185" customWidth="1"/>
    <col min="15369" max="15369" width="8.875" style="185" customWidth="1"/>
    <col min="15370" max="15370" width="17.375" style="185" customWidth="1"/>
    <col min="15371" max="15376" width="8.875" style="185" customWidth="1"/>
    <col min="15377" max="15377" width="18.375" style="185" customWidth="1"/>
    <col min="15378" max="15378" width="8.875" style="185" customWidth="1"/>
    <col min="15379" max="15379" width="14.875" style="185" customWidth="1"/>
    <col min="15380" max="15380" width="17.125" style="185" customWidth="1"/>
    <col min="15381" max="15617" width="8.875" style="185" customWidth="1"/>
    <col min="15618" max="15618" width="13.375" style="185" customWidth="1"/>
    <col min="15619" max="15623" width="8.875" style="185" customWidth="1"/>
    <col min="15624" max="15624" width="18" style="185" customWidth="1"/>
    <col min="15625" max="15625" width="8.875" style="185" customWidth="1"/>
    <col min="15626" max="15626" width="17.375" style="185" customWidth="1"/>
    <col min="15627" max="15632" width="8.875" style="185" customWidth="1"/>
    <col min="15633" max="15633" width="18.375" style="185" customWidth="1"/>
    <col min="15634" max="15634" width="8.875" style="185" customWidth="1"/>
    <col min="15635" max="15635" width="14.875" style="185" customWidth="1"/>
    <col min="15636" max="15636" width="17.125" style="185" customWidth="1"/>
    <col min="15637" max="15873" width="8.875" style="185" customWidth="1"/>
    <col min="15874" max="15874" width="13.375" style="185" customWidth="1"/>
    <col min="15875" max="15879" width="8.875" style="185" customWidth="1"/>
    <col min="15880" max="15880" width="18" style="185" customWidth="1"/>
    <col min="15881" max="15881" width="8.875" style="185" customWidth="1"/>
    <col min="15882" max="15882" width="17.375" style="185" customWidth="1"/>
    <col min="15883" max="15888" width="8.875" style="185" customWidth="1"/>
    <col min="15889" max="15889" width="18.375" style="185" customWidth="1"/>
    <col min="15890" max="15890" width="8.875" style="185" customWidth="1"/>
    <col min="15891" max="15891" width="14.875" style="185" customWidth="1"/>
    <col min="15892" max="15892" width="17.125" style="185" customWidth="1"/>
    <col min="15893" max="16129" width="8.875" style="185" customWidth="1"/>
    <col min="16130" max="16130" width="13.375" style="185" customWidth="1"/>
    <col min="16131" max="16135" width="8.875" style="185" customWidth="1"/>
    <col min="16136" max="16136" width="18" style="185" customWidth="1"/>
    <col min="16137" max="16137" width="8.875" style="185" customWidth="1"/>
    <col min="16138" max="16138" width="17.375" style="185" customWidth="1"/>
    <col min="16139" max="16144" width="8.875" style="185" customWidth="1"/>
    <col min="16145" max="16145" width="18.375" style="185" customWidth="1"/>
    <col min="16146" max="16146" width="8.875" style="185" customWidth="1"/>
    <col min="16147" max="16147" width="14.875" style="185" customWidth="1"/>
    <col min="16148" max="16148" width="17.125" style="185" customWidth="1"/>
    <col min="16149" max="16384" width="8.875" style="185" customWidth="1"/>
  </cols>
  <sheetData>
    <row r="1" spans="1:20" x14ac:dyDescent="0.25">
      <c r="A1" s="1785" t="s">
        <v>926</v>
      </c>
      <c r="B1" s="1785"/>
      <c r="C1" s="1785"/>
      <c r="D1" s="1785"/>
      <c r="E1" s="1785"/>
      <c r="F1" s="1785"/>
      <c r="G1" s="1785"/>
      <c r="H1" s="1785"/>
      <c r="I1" s="1785"/>
      <c r="J1" s="1785"/>
      <c r="K1" s="1785"/>
      <c r="L1" s="1785"/>
      <c r="M1" s="1785"/>
      <c r="N1" s="1785"/>
      <c r="O1" s="1785"/>
      <c r="P1" s="1785"/>
      <c r="Q1" s="1785"/>
      <c r="R1" s="1785"/>
      <c r="S1" s="1785"/>
      <c r="T1" s="1785"/>
    </row>
    <row r="2" spans="1:20" x14ac:dyDescent="0.25">
      <c r="A2" s="1785" t="s">
        <v>927</v>
      </c>
      <c r="B2" s="1785"/>
      <c r="C2" s="1785"/>
      <c r="D2" s="1785"/>
      <c r="E2" s="1785"/>
      <c r="F2" s="1785"/>
      <c r="G2" s="1785"/>
      <c r="H2" s="1785"/>
      <c r="I2" s="1785"/>
      <c r="J2" s="1785"/>
      <c r="K2" s="1785"/>
      <c r="L2" s="1785"/>
      <c r="M2" s="1785"/>
      <c r="N2" s="1785"/>
      <c r="O2" s="1785"/>
      <c r="P2" s="1785"/>
      <c r="Q2" s="1785"/>
      <c r="R2" s="1785"/>
      <c r="S2" s="1785"/>
      <c r="T2" s="1785"/>
    </row>
    <row r="3" spans="1:20" ht="15.75" x14ac:dyDescent="0.25">
      <c r="A3" s="1786" t="s">
        <v>413</v>
      </c>
      <c r="B3" s="1786"/>
      <c r="C3" s="1786"/>
      <c r="D3" s="1786"/>
      <c r="E3" s="1786"/>
      <c r="F3" s="1786"/>
      <c r="G3" s="1786"/>
      <c r="H3" s="1786"/>
      <c r="I3" s="1786"/>
      <c r="J3" s="1786"/>
      <c r="K3" s="1786"/>
      <c r="L3" s="1786"/>
      <c r="M3" s="1786"/>
      <c r="N3" s="1786"/>
      <c r="O3" s="1786"/>
      <c r="P3" s="1786"/>
      <c r="Q3" s="1786"/>
      <c r="R3" s="1786"/>
      <c r="S3" s="1786"/>
      <c r="T3" s="1786"/>
    </row>
    <row r="4" spans="1:20" x14ac:dyDescent="0.25">
      <c r="A4" s="1177" t="s">
        <v>1002</v>
      </c>
      <c r="B4" s="1177"/>
      <c r="C4" s="1177"/>
      <c r="D4" s="1177"/>
      <c r="E4" s="1177"/>
      <c r="F4" s="1177"/>
      <c r="G4" s="1177"/>
      <c r="H4" s="1177"/>
      <c r="I4" s="1177"/>
      <c r="J4" s="1177"/>
      <c r="K4" s="1177"/>
      <c r="L4" s="1177"/>
      <c r="M4" s="1177"/>
      <c r="N4" s="1177"/>
      <c r="O4" s="1177"/>
      <c r="P4" s="1177"/>
      <c r="Q4" s="1177"/>
      <c r="R4" s="1177"/>
      <c r="S4" s="1177"/>
      <c r="T4" s="1177"/>
    </row>
    <row r="5" spans="1:20" x14ac:dyDescent="0.25">
      <c r="A5" s="1777" t="s">
        <v>1003</v>
      </c>
      <c r="B5" s="1777"/>
      <c r="C5" s="1777"/>
      <c r="D5" s="1777"/>
      <c r="E5" s="1777"/>
      <c r="F5" s="1777"/>
      <c r="G5" s="1777"/>
      <c r="H5" s="1777"/>
      <c r="I5" s="1777"/>
      <c r="J5" s="1777"/>
      <c r="K5" s="1777"/>
      <c r="L5" s="1777"/>
      <c r="M5" s="1777"/>
      <c r="N5" s="1777"/>
      <c r="O5" s="1777"/>
      <c r="P5" s="1777"/>
      <c r="Q5" s="1777"/>
      <c r="R5" s="1777"/>
      <c r="S5" s="1777"/>
      <c r="T5" s="1777"/>
    </row>
    <row r="6" spans="1:20" x14ac:dyDescent="0.25">
      <c r="A6" s="1777" t="s">
        <v>848</v>
      </c>
      <c r="B6" s="1777"/>
      <c r="C6" s="1777"/>
      <c r="D6" s="1777"/>
      <c r="E6" s="1777"/>
      <c r="F6" s="1777"/>
      <c r="G6" s="1777"/>
      <c r="H6" s="1777"/>
      <c r="I6" s="1777"/>
      <c r="J6" s="1777"/>
      <c r="K6" s="1777"/>
      <c r="L6" s="1777"/>
      <c r="M6" s="1777"/>
      <c r="N6" s="1777"/>
      <c r="O6" s="1777"/>
      <c r="P6" s="1777"/>
      <c r="Q6" s="1777"/>
      <c r="R6" s="1777"/>
      <c r="S6" s="1777"/>
      <c r="T6" s="1777"/>
    </row>
    <row r="7" spans="1:20" x14ac:dyDescent="0.25">
      <c r="A7" s="1777" t="s">
        <v>1004</v>
      </c>
      <c r="B7" s="1777"/>
      <c r="C7" s="1777"/>
      <c r="D7" s="1777"/>
      <c r="E7" s="1777"/>
      <c r="F7" s="1777"/>
      <c r="G7" s="1777"/>
      <c r="H7" s="1777"/>
      <c r="I7" s="1777"/>
      <c r="J7" s="1777"/>
      <c r="K7" s="1777"/>
      <c r="L7" s="1777"/>
      <c r="M7" s="1777"/>
      <c r="N7" s="1777"/>
      <c r="O7" s="1777"/>
      <c r="P7" s="1777"/>
      <c r="Q7" s="1777"/>
      <c r="R7" s="1777"/>
      <c r="S7" s="1777"/>
      <c r="T7" s="1777"/>
    </row>
    <row r="8" spans="1:20" x14ac:dyDescent="0.25">
      <c r="A8" s="1777" t="s">
        <v>1005</v>
      </c>
      <c r="B8" s="1777"/>
      <c r="C8" s="1777"/>
      <c r="D8" s="1777"/>
      <c r="E8" s="1777"/>
      <c r="F8" s="1777"/>
      <c r="G8" s="1777"/>
      <c r="H8" s="1777"/>
      <c r="I8" s="1777"/>
      <c r="J8" s="1777"/>
      <c r="K8" s="1777"/>
      <c r="L8" s="1777"/>
      <c r="M8" s="1777"/>
      <c r="N8" s="1777"/>
      <c r="O8" s="1777"/>
      <c r="P8" s="1777"/>
      <c r="Q8" s="1777"/>
      <c r="R8" s="1777"/>
      <c r="S8" s="1777"/>
      <c r="T8" s="1777"/>
    </row>
    <row r="9" spans="1:20" ht="15.75" thickBot="1" x14ac:dyDescent="0.3">
      <c r="A9" s="1547"/>
      <c r="B9" s="1547"/>
      <c r="C9" s="1547"/>
      <c r="D9" s="1547"/>
      <c r="E9" s="1547"/>
      <c r="F9" s="1547"/>
      <c r="G9" s="1547"/>
      <c r="H9" s="1547"/>
      <c r="I9" s="1547"/>
      <c r="J9" s="1547"/>
      <c r="K9" s="1547"/>
      <c r="L9" s="1547"/>
      <c r="M9" s="1547"/>
      <c r="N9" s="1547"/>
      <c r="O9" s="1547"/>
      <c r="P9" s="1547"/>
      <c r="Q9" s="1547"/>
      <c r="R9" s="1547"/>
      <c r="S9" s="1547"/>
      <c r="T9" s="1547"/>
    </row>
    <row r="10" spans="1:20" x14ac:dyDescent="0.25">
      <c r="A10" s="1329" t="s">
        <v>851</v>
      </c>
      <c r="B10" s="1330"/>
      <c r="C10" s="1330"/>
      <c r="D10" s="1330"/>
      <c r="E10" s="1330"/>
      <c r="F10" s="1330"/>
      <c r="G10" s="1330"/>
      <c r="H10" s="1330"/>
      <c r="I10" s="1330"/>
      <c r="J10" s="1330"/>
      <c r="K10" s="1331"/>
      <c r="L10" s="1330"/>
      <c r="M10" s="1778" t="s">
        <v>852</v>
      </c>
      <c r="N10" s="1779"/>
      <c r="O10" s="1780"/>
      <c r="P10" s="1780"/>
      <c r="Q10" s="1780"/>
      <c r="R10" s="1780"/>
      <c r="S10" s="1548"/>
      <c r="T10" s="1332"/>
    </row>
    <row r="11" spans="1:20" x14ac:dyDescent="0.25">
      <c r="A11" s="1333"/>
      <c r="B11" s="1177" t="s">
        <v>1006</v>
      </c>
      <c r="C11" s="1334"/>
      <c r="D11" s="1334"/>
      <c r="E11" s="1334"/>
      <c r="F11" s="1334"/>
      <c r="G11" s="1334"/>
      <c r="H11" s="1334"/>
      <c r="I11" s="1334"/>
      <c r="J11" s="1334"/>
      <c r="K11" s="1177"/>
      <c r="L11" s="1177"/>
      <c r="M11" s="1335" t="s">
        <v>421</v>
      </c>
      <c r="N11" s="1336"/>
      <c r="O11" s="1337"/>
      <c r="P11" s="1337"/>
      <c r="Q11" s="1337"/>
      <c r="R11" s="1338" t="s">
        <v>422</v>
      </c>
      <c r="S11" s="1338"/>
      <c r="T11" s="1339"/>
    </row>
    <row r="12" spans="1:20" x14ac:dyDescent="0.25">
      <c r="A12" s="1333"/>
      <c r="B12" s="1177" t="s">
        <v>1007</v>
      </c>
      <c r="C12" s="1334"/>
      <c r="D12" s="1334"/>
      <c r="E12" s="1334"/>
      <c r="F12" s="1334"/>
      <c r="G12" s="1334"/>
      <c r="H12" s="1334"/>
      <c r="I12" s="1334"/>
      <c r="J12" s="1334"/>
      <c r="K12" s="1177"/>
      <c r="L12" s="1177"/>
      <c r="M12" s="1340"/>
      <c r="N12" s="1177"/>
      <c r="O12" s="1341" t="s">
        <v>854</v>
      </c>
      <c r="P12" s="1334"/>
      <c r="Q12" s="1334"/>
      <c r="R12" s="1342"/>
      <c r="S12" s="1342"/>
      <c r="T12" s="1343" t="s">
        <v>424</v>
      </c>
    </row>
    <row r="13" spans="1:20" x14ac:dyDescent="0.25">
      <c r="A13" s="1333"/>
      <c r="B13" s="1177"/>
      <c r="C13" s="1177"/>
      <c r="D13" s="1177"/>
      <c r="E13" s="1177"/>
      <c r="F13" s="1177"/>
      <c r="G13" s="1177"/>
      <c r="H13" s="1177"/>
      <c r="I13" s="1177"/>
      <c r="J13" s="1177"/>
      <c r="K13" s="1177"/>
      <c r="L13" s="1177"/>
      <c r="M13" s="1340"/>
      <c r="N13" s="1177"/>
      <c r="O13" s="1341" t="s">
        <v>855</v>
      </c>
      <c r="P13" s="1177"/>
      <c r="Q13" s="1177"/>
      <c r="R13" s="1177"/>
      <c r="S13" s="1177"/>
      <c r="T13" s="1343" t="s">
        <v>856</v>
      </c>
    </row>
    <row r="14" spans="1:20" x14ac:dyDescent="0.25">
      <c r="A14" s="1333"/>
      <c r="B14" s="1177"/>
      <c r="C14" s="1177"/>
      <c r="D14" s="1177"/>
      <c r="E14" s="1177"/>
      <c r="F14" s="1177"/>
      <c r="G14" s="1177"/>
      <c r="H14" s="1177"/>
      <c r="I14" s="1177"/>
      <c r="J14" s="1177"/>
      <c r="K14" s="1177"/>
      <c r="L14" s="1177"/>
      <c r="M14" s="1344"/>
      <c r="N14" s="1345"/>
      <c r="O14" s="1346" t="s">
        <v>857</v>
      </c>
      <c r="P14" s="1345"/>
      <c r="Q14" s="1345"/>
      <c r="R14" s="1346"/>
      <c r="S14" s="1346"/>
      <c r="T14" s="1347" t="s">
        <v>859</v>
      </c>
    </row>
    <row r="15" spans="1:20" ht="15.75" thickBot="1" x14ac:dyDescent="0.3">
      <c r="A15" s="1781"/>
      <c r="B15" s="1782"/>
      <c r="C15" s="1782"/>
      <c r="D15" s="1782"/>
      <c r="E15" s="1782"/>
      <c r="F15" s="1782"/>
      <c r="G15" s="1782"/>
      <c r="H15" s="1782"/>
      <c r="I15" s="1782"/>
      <c r="J15" s="1782"/>
      <c r="K15" s="1782"/>
      <c r="L15" s="1782"/>
      <c r="M15" s="1782"/>
      <c r="N15" s="1782"/>
      <c r="O15" s="1782"/>
      <c r="P15" s="1782"/>
      <c r="Q15" s="1782"/>
      <c r="R15" s="1782"/>
      <c r="S15" s="1549"/>
      <c r="T15" s="1348"/>
    </row>
    <row r="16" spans="1:20" ht="15.75" thickBot="1" x14ac:dyDescent="0.3">
      <c r="A16" s="1772" t="s">
        <v>431</v>
      </c>
      <c r="B16" s="1772" t="s">
        <v>860</v>
      </c>
      <c r="C16" s="1772" t="s">
        <v>933</v>
      </c>
      <c r="D16" s="1772" t="s">
        <v>434</v>
      </c>
      <c r="E16" s="1772" t="s">
        <v>435</v>
      </c>
      <c r="F16" s="1772" t="s">
        <v>436</v>
      </c>
      <c r="G16" s="1776" t="s">
        <v>764</v>
      </c>
      <c r="H16" s="1776" t="s">
        <v>1008</v>
      </c>
      <c r="I16" s="1776"/>
      <c r="J16" s="1776"/>
      <c r="K16" s="1776" t="s">
        <v>863</v>
      </c>
      <c r="L16" s="1783"/>
      <c r="M16" s="1776" t="s">
        <v>864</v>
      </c>
      <c r="N16" s="1776" t="s">
        <v>865</v>
      </c>
      <c r="O16" s="1776"/>
      <c r="P16" s="1776"/>
      <c r="Q16" s="1776"/>
      <c r="R16" s="1776"/>
      <c r="S16" s="1776"/>
      <c r="T16" s="1776"/>
    </row>
    <row r="17" spans="1:20" ht="15.75" thickBot="1" x14ac:dyDescent="0.3">
      <c r="A17" s="1772"/>
      <c r="B17" s="1772"/>
      <c r="C17" s="1772"/>
      <c r="D17" s="1772"/>
      <c r="E17" s="1772"/>
      <c r="F17" s="1772"/>
      <c r="G17" s="1783"/>
      <c r="H17" s="1776"/>
      <c r="I17" s="1776"/>
      <c r="J17" s="1776"/>
      <c r="K17" s="1783"/>
      <c r="L17" s="1783"/>
      <c r="M17" s="1783"/>
      <c r="N17" s="1776"/>
      <c r="O17" s="1776"/>
      <c r="P17" s="1776"/>
      <c r="Q17" s="1776"/>
      <c r="R17" s="1776"/>
      <c r="S17" s="1776"/>
      <c r="T17" s="1776"/>
    </row>
    <row r="18" spans="1:20" ht="16.5" thickBot="1" x14ac:dyDescent="0.3">
      <c r="A18" s="1772"/>
      <c r="B18" s="1772"/>
      <c r="C18" s="1772"/>
      <c r="D18" s="1772"/>
      <c r="E18" s="1772"/>
      <c r="F18" s="1772"/>
      <c r="G18" s="1783"/>
      <c r="H18" s="1776"/>
      <c r="I18" s="1776"/>
      <c r="J18" s="1776"/>
      <c r="K18" s="1776"/>
      <c r="L18" s="1783"/>
      <c r="M18" s="1783"/>
      <c r="N18" s="1783" t="s">
        <v>1009</v>
      </c>
      <c r="O18" s="1783"/>
      <c r="P18" s="1783"/>
      <c r="Q18" s="1784" t="s">
        <v>1010</v>
      </c>
      <c r="R18" s="1784"/>
      <c r="S18" s="1784"/>
      <c r="T18" s="1784"/>
    </row>
    <row r="19" spans="1:20" ht="15.75" thickBot="1" x14ac:dyDescent="0.3">
      <c r="A19" s="1772"/>
      <c r="B19" s="1772"/>
      <c r="C19" s="1772"/>
      <c r="D19" s="1772"/>
      <c r="E19" s="1772"/>
      <c r="F19" s="1772"/>
      <c r="G19" s="1783"/>
      <c r="H19" s="1776" t="s">
        <v>447</v>
      </c>
      <c r="I19" s="1776" t="s">
        <v>868</v>
      </c>
      <c r="J19" s="1776" t="s">
        <v>449</v>
      </c>
      <c r="K19" s="1776" t="s">
        <v>869</v>
      </c>
      <c r="L19" s="1776" t="s">
        <v>870</v>
      </c>
      <c r="M19" s="1783"/>
      <c r="N19" s="1776" t="s">
        <v>871</v>
      </c>
      <c r="O19" s="1776" t="s">
        <v>872</v>
      </c>
      <c r="P19" s="1776" t="s">
        <v>452</v>
      </c>
      <c r="Q19" s="1776" t="s">
        <v>871</v>
      </c>
      <c r="R19" s="1772" t="s">
        <v>873</v>
      </c>
      <c r="S19" s="1772" t="s">
        <v>452</v>
      </c>
      <c r="T19" s="1772" t="s">
        <v>937</v>
      </c>
    </row>
    <row r="20" spans="1:20" ht="15.75" thickBot="1" x14ac:dyDescent="0.3">
      <c r="A20" s="1772"/>
      <c r="B20" s="1772"/>
      <c r="C20" s="1772"/>
      <c r="D20" s="1772"/>
      <c r="E20" s="1772"/>
      <c r="F20" s="1772"/>
      <c r="G20" s="1776"/>
      <c r="H20" s="1776"/>
      <c r="I20" s="1776"/>
      <c r="J20" s="1776"/>
      <c r="K20" s="1776"/>
      <c r="L20" s="1776"/>
      <c r="M20" s="1776"/>
      <c r="N20" s="1776"/>
      <c r="O20" s="1776"/>
      <c r="P20" s="1776"/>
      <c r="Q20" s="1776"/>
      <c r="R20" s="1772"/>
      <c r="S20" s="1772"/>
      <c r="T20" s="1772"/>
    </row>
    <row r="21" spans="1:20" ht="15.75" thickBot="1" x14ac:dyDescent="0.3">
      <c r="A21" s="1349" t="s">
        <v>454</v>
      </c>
      <c r="B21" s="1349" t="s">
        <v>1011</v>
      </c>
      <c r="C21" s="1349" t="s">
        <v>1012</v>
      </c>
      <c r="D21" s="1349" t="s">
        <v>1013</v>
      </c>
      <c r="E21" s="1349" t="s">
        <v>1014</v>
      </c>
      <c r="F21" s="1349" t="s">
        <v>1015</v>
      </c>
      <c r="G21" s="1349" t="s">
        <v>1016</v>
      </c>
      <c r="H21" s="1349" t="s">
        <v>1017</v>
      </c>
      <c r="I21" s="1349" t="s">
        <v>1018</v>
      </c>
      <c r="J21" s="1349" t="s">
        <v>1019</v>
      </c>
      <c r="K21" s="1349" t="s">
        <v>1020</v>
      </c>
      <c r="L21" s="1349" t="s">
        <v>1021</v>
      </c>
      <c r="M21" s="1349" t="s">
        <v>1022</v>
      </c>
      <c r="N21" s="1349" t="s">
        <v>1023</v>
      </c>
      <c r="O21" s="1349" t="s">
        <v>1024</v>
      </c>
      <c r="P21" s="1349" t="s">
        <v>1025</v>
      </c>
      <c r="Q21" s="1349" t="s">
        <v>1026</v>
      </c>
      <c r="R21" s="1349" t="s">
        <v>1027</v>
      </c>
      <c r="S21" s="1349" t="s">
        <v>1028</v>
      </c>
      <c r="T21" s="1349" t="s">
        <v>1029</v>
      </c>
    </row>
    <row r="22" spans="1:20" ht="15.75" thickBot="1" x14ac:dyDescent="0.3">
      <c r="A22" s="1350" t="s">
        <v>36</v>
      </c>
      <c r="B22" s="1351"/>
      <c r="C22" s="1351"/>
      <c r="D22" s="1351"/>
      <c r="E22" s="1351"/>
      <c r="F22" s="1351"/>
      <c r="G22" s="1352"/>
      <c r="H22" s="1353">
        <f>H23+H35</f>
        <v>6658.05</v>
      </c>
      <c r="I22" s="1353">
        <f>I23+I35</f>
        <v>0</v>
      </c>
      <c r="J22" s="1353">
        <f>J23+J35</f>
        <v>6658.05</v>
      </c>
      <c r="K22" s="1351"/>
      <c r="L22" s="1351"/>
      <c r="M22" s="1351"/>
      <c r="N22" s="1351"/>
      <c r="O22" s="1351"/>
      <c r="P22" s="1351"/>
      <c r="Q22" s="1353">
        <f>Q23+Q35</f>
        <v>2242.7243749999998</v>
      </c>
      <c r="R22" s="1353"/>
      <c r="S22" s="1353">
        <f>S23+S35</f>
        <v>44024679.481250003</v>
      </c>
      <c r="T22" s="1353">
        <f>T23+T35</f>
        <v>44024679.481250003</v>
      </c>
    </row>
    <row r="23" spans="1:20" ht="15.75" thickBot="1" x14ac:dyDescent="0.3">
      <c r="A23" s="1349"/>
      <c r="B23" s="1354" t="s">
        <v>471</v>
      </c>
      <c r="C23" s="1355"/>
      <c r="D23" s="1355"/>
      <c r="E23" s="1355"/>
      <c r="F23" s="1355"/>
      <c r="G23" s="1356"/>
      <c r="H23" s="1357">
        <f>SUM(H24:H34)</f>
        <v>2189</v>
      </c>
      <c r="I23" s="1357">
        <f>SUM(I26:I34)</f>
        <v>0</v>
      </c>
      <c r="J23" s="1357">
        <f>SUM(J24:J34)</f>
        <v>2189</v>
      </c>
      <c r="K23" s="1358"/>
      <c r="L23" s="1358"/>
      <c r="M23" s="1358"/>
      <c r="N23" s="1358"/>
      <c r="O23" s="1355"/>
      <c r="P23" s="1355"/>
      <c r="Q23" s="1357">
        <f>SUM(Q24:Q34)</f>
        <v>617.02500000000009</v>
      </c>
      <c r="R23" s="1357"/>
      <c r="S23" s="1357">
        <f>SUM(S24:S34)</f>
        <v>12112200.75</v>
      </c>
      <c r="T23" s="1357">
        <f>SUM(T24:T34)</f>
        <v>12112200.75</v>
      </c>
    </row>
    <row r="24" spans="1:20" ht="15.75" thickBot="1" x14ac:dyDescent="0.3">
      <c r="A24" s="1359"/>
      <c r="B24" s="1359" t="s">
        <v>827</v>
      </c>
      <c r="C24" s="1360" t="s">
        <v>938</v>
      </c>
      <c r="D24" s="1361">
        <v>80</v>
      </c>
      <c r="E24" s="1362">
        <v>640</v>
      </c>
      <c r="F24" s="1363" t="s">
        <v>474</v>
      </c>
      <c r="G24" s="1364" t="s">
        <v>1030</v>
      </c>
      <c r="H24" s="1365">
        <f t="shared" ref="H24:H34" si="0">J24+I24</f>
        <v>60</v>
      </c>
      <c r="I24" s="1366"/>
      <c r="J24" s="1362">
        <v>60</v>
      </c>
      <c r="K24" s="1365">
        <v>4.75</v>
      </c>
      <c r="L24" s="1365">
        <v>4.51</v>
      </c>
      <c r="M24" s="1365">
        <v>0.05</v>
      </c>
      <c r="N24" s="1365"/>
      <c r="O24" s="1363"/>
      <c r="P24" s="1366"/>
      <c r="Q24" s="1367">
        <f t="shared" ref="Q24:Q34" si="1">H24*K24*M24</f>
        <v>14.25</v>
      </c>
      <c r="R24" s="1368">
        <v>19.63</v>
      </c>
      <c r="S24" s="1369">
        <f t="shared" ref="S24:S34" si="2">Q24*1000*R24</f>
        <v>279727.5</v>
      </c>
      <c r="T24" s="1370">
        <f>S24+P24</f>
        <v>279727.5</v>
      </c>
    </row>
    <row r="25" spans="1:20" s="1264" customFormat="1" ht="15.75" thickBot="1" x14ac:dyDescent="0.3">
      <c r="A25" s="1371"/>
      <c r="B25" s="1359" t="s">
        <v>720</v>
      </c>
      <c r="C25" s="1372"/>
      <c r="D25" s="1373">
        <f>SUM(D26:D27)</f>
        <v>400</v>
      </c>
      <c r="E25" s="1373">
        <f t="shared" ref="E25:T25" si="3">SUM(E26:E27)</f>
        <v>547</v>
      </c>
      <c r="F25" s="1373">
        <f t="shared" si="3"/>
        <v>0</v>
      </c>
      <c r="G25" s="1373">
        <f t="shared" si="3"/>
        <v>0</v>
      </c>
      <c r="H25" s="1373">
        <f t="shared" si="3"/>
        <v>300</v>
      </c>
      <c r="I25" s="1373">
        <f t="shared" si="3"/>
        <v>0</v>
      </c>
      <c r="J25" s="1373">
        <f t="shared" si="3"/>
        <v>300</v>
      </c>
      <c r="K25" s="1373">
        <f t="shared" si="3"/>
        <v>9.5</v>
      </c>
      <c r="L25" s="1373">
        <f t="shared" si="3"/>
        <v>8.7899999999999991</v>
      </c>
      <c r="M25" s="1373">
        <f t="shared" si="3"/>
        <v>0.15000000000000002</v>
      </c>
      <c r="N25" s="1373">
        <f t="shared" si="3"/>
        <v>0</v>
      </c>
      <c r="O25" s="1373">
        <f t="shared" si="3"/>
        <v>0</v>
      </c>
      <c r="P25" s="1373">
        <f t="shared" si="3"/>
        <v>0</v>
      </c>
      <c r="Q25" s="1373">
        <f t="shared" si="3"/>
        <v>83.837500000000006</v>
      </c>
      <c r="R25" s="1373">
        <f t="shared" si="3"/>
        <v>39.26</v>
      </c>
      <c r="S25" s="1373">
        <f t="shared" si="3"/>
        <v>1645730.125</v>
      </c>
      <c r="T25" s="1373">
        <f t="shared" si="3"/>
        <v>1645730.125</v>
      </c>
    </row>
    <row r="26" spans="1:20" ht="15.75" thickBot="1" x14ac:dyDescent="0.3">
      <c r="A26" s="1359"/>
      <c r="C26" s="1360" t="s">
        <v>938</v>
      </c>
      <c r="D26" s="1374">
        <v>71</v>
      </c>
      <c r="E26" s="1375">
        <v>300</v>
      </c>
      <c r="F26" s="1363" t="s">
        <v>586</v>
      </c>
      <c r="G26" s="1364" t="s">
        <v>1031</v>
      </c>
      <c r="H26" s="1365">
        <f t="shared" si="0"/>
        <v>53</v>
      </c>
      <c r="I26" s="1366"/>
      <c r="J26" s="1362">
        <v>53</v>
      </c>
      <c r="K26" s="1365">
        <v>4.75</v>
      </c>
      <c r="L26" s="1362">
        <v>4.28</v>
      </c>
      <c r="M26" s="1362">
        <v>0.1</v>
      </c>
      <c r="N26" s="1362"/>
      <c r="O26" s="1363"/>
      <c r="P26" s="1366"/>
      <c r="Q26" s="1367">
        <f t="shared" si="1"/>
        <v>25.175000000000001</v>
      </c>
      <c r="R26" s="1368">
        <v>19.63</v>
      </c>
      <c r="S26" s="1369">
        <f t="shared" si="2"/>
        <v>494185.25</v>
      </c>
      <c r="T26" s="1370">
        <f>S26+P26</f>
        <v>494185.25</v>
      </c>
    </row>
    <row r="27" spans="1:20" ht="15.75" thickBot="1" x14ac:dyDescent="0.3">
      <c r="A27" s="1359"/>
      <c r="B27" s="1359"/>
      <c r="C27" s="1360" t="s">
        <v>938</v>
      </c>
      <c r="D27" s="1361">
        <v>329</v>
      </c>
      <c r="E27" s="1362">
        <v>247</v>
      </c>
      <c r="F27" s="1363" t="s">
        <v>474</v>
      </c>
      <c r="G27" s="1364" t="s">
        <v>1030</v>
      </c>
      <c r="H27" s="1365">
        <f t="shared" si="0"/>
        <v>247</v>
      </c>
      <c r="I27" s="1366"/>
      <c r="J27" s="1362">
        <v>247</v>
      </c>
      <c r="K27" s="1365">
        <v>4.75</v>
      </c>
      <c r="L27" s="1365">
        <v>4.51</v>
      </c>
      <c r="M27" s="1365">
        <v>0.05</v>
      </c>
      <c r="N27" s="1365"/>
      <c r="O27" s="1363"/>
      <c r="P27" s="1366"/>
      <c r="Q27" s="1367">
        <f t="shared" si="1"/>
        <v>58.662500000000001</v>
      </c>
      <c r="R27" s="1368">
        <v>19.63</v>
      </c>
      <c r="S27" s="1369">
        <f t="shared" si="2"/>
        <v>1151544.875</v>
      </c>
      <c r="T27" s="1370">
        <f>S27+P27</f>
        <v>1151544.875</v>
      </c>
    </row>
    <row r="28" spans="1:20" ht="15.75" thickBot="1" x14ac:dyDescent="0.3">
      <c r="A28" s="1360"/>
      <c r="B28" s="1360" t="s">
        <v>570</v>
      </c>
      <c r="C28" s="1360" t="s">
        <v>938</v>
      </c>
      <c r="D28" s="1376">
        <v>498</v>
      </c>
      <c r="E28" s="1362">
        <v>662</v>
      </c>
      <c r="F28" s="1363" t="s">
        <v>474</v>
      </c>
      <c r="G28" s="1364" t="s">
        <v>1030</v>
      </c>
      <c r="H28" s="1365">
        <f t="shared" si="0"/>
        <v>376</v>
      </c>
      <c r="I28" s="1365"/>
      <c r="J28" s="1365">
        <v>376</v>
      </c>
      <c r="K28" s="1365">
        <v>4.75</v>
      </c>
      <c r="L28" s="1365">
        <v>4.51</v>
      </c>
      <c r="M28" s="1365">
        <v>0.05</v>
      </c>
      <c r="N28" s="1365"/>
      <c r="O28" s="1363"/>
      <c r="P28" s="1366"/>
      <c r="Q28" s="1367">
        <f t="shared" si="1"/>
        <v>89.300000000000011</v>
      </c>
      <c r="R28" s="1368">
        <v>19.63</v>
      </c>
      <c r="S28" s="1369">
        <f t="shared" si="2"/>
        <v>1752959.0000000002</v>
      </c>
      <c r="T28" s="1370">
        <f>S28+P28</f>
        <v>1752959.0000000002</v>
      </c>
    </row>
    <row r="29" spans="1:20" s="1264" customFormat="1" ht="15.75" thickBot="1" x14ac:dyDescent="0.3">
      <c r="A29" s="1372"/>
      <c r="B29" s="1360" t="s">
        <v>718</v>
      </c>
      <c r="C29" s="1372"/>
      <c r="D29" s="1373">
        <f>SUM(D30:D31)</f>
        <v>487</v>
      </c>
      <c r="E29" s="1373">
        <f t="shared" ref="E29:T29" si="4">SUM(E30:E31)</f>
        <v>694</v>
      </c>
      <c r="F29" s="1373">
        <f t="shared" si="4"/>
        <v>0</v>
      </c>
      <c r="G29" s="1373">
        <f t="shared" si="4"/>
        <v>0</v>
      </c>
      <c r="H29" s="1373">
        <f t="shared" si="4"/>
        <v>365.5</v>
      </c>
      <c r="I29" s="1373">
        <f t="shared" si="4"/>
        <v>0</v>
      </c>
      <c r="J29" s="1373">
        <f t="shared" si="4"/>
        <v>365.5</v>
      </c>
      <c r="K29" s="1373">
        <f t="shared" si="4"/>
        <v>9.5</v>
      </c>
      <c r="L29" s="1373">
        <f t="shared" si="4"/>
        <v>8.7899999999999991</v>
      </c>
      <c r="M29" s="1373">
        <f t="shared" si="4"/>
        <v>0.15000000000000002</v>
      </c>
      <c r="N29" s="1373">
        <f t="shared" si="4"/>
        <v>0</v>
      </c>
      <c r="O29" s="1373">
        <f t="shared" si="4"/>
        <v>0</v>
      </c>
      <c r="P29" s="1373">
        <f t="shared" si="4"/>
        <v>0</v>
      </c>
      <c r="Q29" s="1373">
        <f t="shared" si="4"/>
        <v>122.78750000000001</v>
      </c>
      <c r="R29" s="1373">
        <f t="shared" si="4"/>
        <v>39.26</v>
      </c>
      <c r="S29" s="1373">
        <f t="shared" si="4"/>
        <v>2410318.625</v>
      </c>
      <c r="T29" s="1373">
        <f t="shared" si="4"/>
        <v>2410318.625</v>
      </c>
    </row>
    <row r="30" spans="1:20" ht="15.75" thickBot="1" x14ac:dyDescent="0.3">
      <c r="A30" s="1360"/>
      <c r="C30" s="1360" t="s">
        <v>938</v>
      </c>
      <c r="D30" s="1376">
        <v>202</v>
      </c>
      <c r="E30" s="1377">
        <v>202</v>
      </c>
      <c r="F30" s="1363" t="s">
        <v>586</v>
      </c>
      <c r="G30" s="1364" t="s">
        <v>1031</v>
      </c>
      <c r="H30" s="1365">
        <f t="shared" si="0"/>
        <v>151.5</v>
      </c>
      <c r="I30" s="1365"/>
      <c r="J30" s="1365">
        <v>151.5</v>
      </c>
      <c r="K30" s="1365">
        <v>4.75</v>
      </c>
      <c r="L30" s="1362">
        <v>4.28</v>
      </c>
      <c r="M30" s="1365">
        <v>0.1</v>
      </c>
      <c r="N30" s="1365"/>
      <c r="O30" s="1378"/>
      <c r="P30" s="1378"/>
      <c r="Q30" s="1367">
        <f t="shared" si="1"/>
        <v>71.962500000000006</v>
      </c>
      <c r="R30" s="1368">
        <v>19.63</v>
      </c>
      <c r="S30" s="1369">
        <f t="shared" si="2"/>
        <v>1412623.875</v>
      </c>
      <c r="T30" s="1370">
        <f t="shared" ref="T30:T56" si="5">S30+P30</f>
        <v>1412623.875</v>
      </c>
    </row>
    <row r="31" spans="1:20" ht="15.75" thickBot="1" x14ac:dyDescent="0.3">
      <c r="A31" s="1360"/>
      <c r="B31" s="1360"/>
      <c r="C31" s="1360" t="s">
        <v>938</v>
      </c>
      <c r="D31" s="1376">
        <v>285</v>
      </c>
      <c r="E31" s="1362">
        <v>492</v>
      </c>
      <c r="F31" s="1363" t="s">
        <v>474</v>
      </c>
      <c r="G31" s="1364" t="s">
        <v>1030</v>
      </c>
      <c r="H31" s="1365">
        <f t="shared" si="0"/>
        <v>214</v>
      </c>
      <c r="I31" s="1365"/>
      <c r="J31" s="1365">
        <v>214</v>
      </c>
      <c r="K31" s="1365">
        <v>4.75</v>
      </c>
      <c r="L31" s="1365">
        <v>4.51</v>
      </c>
      <c r="M31" s="1365">
        <v>0.05</v>
      </c>
      <c r="N31" s="1365"/>
      <c r="O31" s="1363"/>
      <c r="P31" s="1366"/>
      <c r="Q31" s="1367">
        <f t="shared" si="1"/>
        <v>50.825000000000003</v>
      </c>
      <c r="R31" s="1368">
        <v>19.63</v>
      </c>
      <c r="S31" s="1369">
        <f t="shared" si="2"/>
        <v>997694.75</v>
      </c>
      <c r="T31" s="1370">
        <f>S31+P31</f>
        <v>997694.75</v>
      </c>
    </row>
    <row r="32" spans="1:20" ht="15.75" thickBot="1" x14ac:dyDescent="0.3">
      <c r="A32" s="1360"/>
      <c r="B32" s="1360" t="s">
        <v>719</v>
      </c>
      <c r="C32" s="1360" t="s">
        <v>938</v>
      </c>
      <c r="D32" s="1376">
        <v>373</v>
      </c>
      <c r="E32" s="1362">
        <v>347</v>
      </c>
      <c r="F32" s="1363" t="s">
        <v>474</v>
      </c>
      <c r="G32" s="1364" t="s">
        <v>1030</v>
      </c>
      <c r="H32" s="1365">
        <f t="shared" si="0"/>
        <v>347</v>
      </c>
      <c r="I32" s="1379"/>
      <c r="J32" s="1365">
        <v>347</v>
      </c>
      <c r="K32" s="1365">
        <v>4.75</v>
      </c>
      <c r="L32" s="1365">
        <v>4.51</v>
      </c>
      <c r="M32" s="1365">
        <v>0.05</v>
      </c>
      <c r="N32" s="1365"/>
      <c r="O32" s="1363"/>
      <c r="P32" s="1366"/>
      <c r="Q32" s="1367">
        <f t="shared" si="1"/>
        <v>82.412500000000009</v>
      </c>
      <c r="R32" s="1368">
        <v>19.63</v>
      </c>
      <c r="S32" s="1369">
        <f t="shared" si="2"/>
        <v>1617757.3750000002</v>
      </c>
      <c r="T32" s="1370">
        <f>S32+P32</f>
        <v>1617757.3750000002</v>
      </c>
    </row>
    <row r="33" spans="1:20" ht="15.75" thickBot="1" x14ac:dyDescent="0.3">
      <c r="A33" s="1360"/>
      <c r="B33" s="1360" t="s">
        <v>724</v>
      </c>
      <c r="C33" s="1360" t="s">
        <v>938</v>
      </c>
      <c r="D33" s="1376">
        <v>20</v>
      </c>
      <c r="E33" s="1362">
        <v>1177.7</v>
      </c>
      <c r="F33" s="1363" t="s">
        <v>474</v>
      </c>
      <c r="G33" s="1364" t="s">
        <v>1030</v>
      </c>
      <c r="H33" s="1365">
        <f t="shared" si="0"/>
        <v>15</v>
      </c>
      <c r="I33" s="1379"/>
      <c r="J33" s="1365">
        <v>15</v>
      </c>
      <c r="K33" s="1365">
        <v>4.75</v>
      </c>
      <c r="L33" s="1365">
        <v>4.51</v>
      </c>
      <c r="M33" s="1365">
        <v>0.05</v>
      </c>
      <c r="N33" s="1365"/>
      <c r="O33" s="1363"/>
      <c r="P33" s="1366"/>
      <c r="Q33" s="1367">
        <f t="shared" si="1"/>
        <v>3.5625</v>
      </c>
      <c r="R33" s="1368">
        <v>19.63</v>
      </c>
      <c r="S33" s="1369">
        <f t="shared" si="2"/>
        <v>69931.875</v>
      </c>
      <c r="T33" s="1370">
        <f>S33+P33</f>
        <v>69931.875</v>
      </c>
    </row>
    <row r="34" spans="1:20" ht="15.75" thickBot="1" x14ac:dyDescent="0.3">
      <c r="A34" s="1360"/>
      <c r="B34" s="1360" t="s">
        <v>723</v>
      </c>
      <c r="C34" s="1360" t="s">
        <v>938</v>
      </c>
      <c r="D34" s="1376">
        <v>80</v>
      </c>
      <c r="E34" s="1362">
        <v>537</v>
      </c>
      <c r="F34" s="1363" t="s">
        <v>474</v>
      </c>
      <c r="G34" s="1364" t="s">
        <v>1030</v>
      </c>
      <c r="H34" s="1365">
        <f t="shared" si="0"/>
        <v>60</v>
      </c>
      <c r="I34" s="1379"/>
      <c r="J34" s="1365">
        <v>60</v>
      </c>
      <c r="K34" s="1365">
        <v>4.75</v>
      </c>
      <c r="L34" s="1365">
        <v>4.51</v>
      </c>
      <c r="M34" s="1365">
        <v>0.05</v>
      </c>
      <c r="N34" s="1365"/>
      <c r="O34" s="1363"/>
      <c r="P34" s="1366"/>
      <c r="Q34" s="1367">
        <f t="shared" si="1"/>
        <v>14.25</v>
      </c>
      <c r="R34" s="1368">
        <v>19.63</v>
      </c>
      <c r="S34" s="1369">
        <f t="shared" si="2"/>
        <v>279727.5</v>
      </c>
      <c r="T34" s="1370">
        <f>S34+P34</f>
        <v>279727.5</v>
      </c>
    </row>
    <row r="35" spans="1:20" ht="15.75" thickBot="1" x14ac:dyDescent="0.3">
      <c r="A35" s="1360"/>
      <c r="B35" s="1354" t="s">
        <v>475</v>
      </c>
      <c r="C35" s="1380"/>
      <c r="D35" s="1381"/>
      <c r="E35" s="1366"/>
      <c r="F35" s="1546"/>
      <c r="G35" s="1382"/>
      <c r="H35" s="1357">
        <f>SUM(H36:H56)</f>
        <v>4469.05</v>
      </c>
      <c r="I35" s="1357">
        <f>SUM(I37:I56)</f>
        <v>0</v>
      </c>
      <c r="J35" s="1357">
        <f>SUM(J36:J56)</f>
        <v>4469.05</v>
      </c>
      <c r="K35" s="1379"/>
      <c r="L35" s="1379"/>
      <c r="M35" s="1379"/>
      <c r="N35" s="1379"/>
      <c r="O35" s="1546"/>
      <c r="P35" s="1366"/>
      <c r="Q35" s="1357">
        <f>SUM(Q36:Q56)</f>
        <v>1625.6993749999999</v>
      </c>
      <c r="R35" s="1383"/>
      <c r="S35" s="1357">
        <f>SUM(S36:S56)</f>
        <v>31912478.731249999</v>
      </c>
      <c r="T35" s="1357">
        <f>SUM(T36:T56)</f>
        <v>31912478.731249999</v>
      </c>
    </row>
    <row r="36" spans="1:20" ht="15.75" thickBot="1" x14ac:dyDescent="0.3">
      <c r="A36" s="1359"/>
      <c r="B36" s="1359" t="s">
        <v>728</v>
      </c>
      <c r="C36" s="1360" t="s">
        <v>938</v>
      </c>
      <c r="D36" s="1361">
        <v>10</v>
      </c>
      <c r="E36" s="1362">
        <v>181</v>
      </c>
      <c r="F36" s="1363" t="s">
        <v>474</v>
      </c>
      <c r="G36" s="1364" t="s">
        <v>1030</v>
      </c>
      <c r="H36" s="1365">
        <f t="shared" ref="H36:H56" si="6">J36+I36</f>
        <v>7.75</v>
      </c>
      <c r="I36" s="1366"/>
      <c r="J36" s="1362">
        <v>7.75</v>
      </c>
      <c r="K36" s="1365">
        <v>4.75</v>
      </c>
      <c r="L36" s="1365">
        <v>4.51</v>
      </c>
      <c r="M36" s="1365">
        <v>0.05</v>
      </c>
      <c r="N36" s="1365"/>
      <c r="O36" s="1363"/>
      <c r="P36" s="1366"/>
      <c r="Q36" s="1367">
        <f>H36*K36*M36</f>
        <v>1.8406250000000002</v>
      </c>
      <c r="R36" s="1368">
        <v>19.63</v>
      </c>
      <c r="S36" s="1369">
        <f t="shared" ref="S36:S56" si="7">Q36*1000*R36</f>
        <v>36131.46875</v>
      </c>
      <c r="T36" s="1370">
        <f t="shared" si="5"/>
        <v>36131.46875</v>
      </c>
    </row>
    <row r="37" spans="1:20" ht="15.75" thickBot="1" x14ac:dyDescent="0.3">
      <c r="A37" s="1359"/>
      <c r="B37" s="1359" t="s">
        <v>729</v>
      </c>
      <c r="C37" s="1360" t="s">
        <v>938</v>
      </c>
      <c r="D37" s="1361">
        <v>27</v>
      </c>
      <c r="E37" s="1362">
        <v>1797</v>
      </c>
      <c r="F37" s="1363" t="s">
        <v>474</v>
      </c>
      <c r="G37" s="1364" t="s">
        <v>1030</v>
      </c>
      <c r="H37" s="1365">
        <f t="shared" si="6"/>
        <v>20</v>
      </c>
      <c r="I37" s="1366"/>
      <c r="J37" s="1362">
        <v>20</v>
      </c>
      <c r="K37" s="1365">
        <v>4.75</v>
      </c>
      <c r="L37" s="1365">
        <v>4.51</v>
      </c>
      <c r="M37" s="1365">
        <v>0.05</v>
      </c>
      <c r="N37" s="1365"/>
      <c r="O37" s="1363"/>
      <c r="P37" s="1366"/>
      <c r="Q37" s="1367">
        <f t="shared" ref="Q37:Q56" si="8">H37*K37*M37</f>
        <v>4.75</v>
      </c>
      <c r="R37" s="1368">
        <v>19.63</v>
      </c>
      <c r="S37" s="1369">
        <f t="shared" si="7"/>
        <v>93242.5</v>
      </c>
      <c r="T37" s="1370">
        <f t="shared" si="5"/>
        <v>93242.5</v>
      </c>
    </row>
    <row r="38" spans="1:20" s="1264" customFormat="1" ht="15.75" thickBot="1" x14ac:dyDescent="0.3">
      <c r="A38" s="1371"/>
      <c r="B38" s="1360" t="s">
        <v>830</v>
      </c>
      <c r="C38" s="1372"/>
      <c r="D38" s="1373">
        <f>SUM(D39:D40)</f>
        <v>2253</v>
      </c>
      <c r="E38" s="1373">
        <f t="shared" ref="E38:T38" si="9">SUM(E39:E40)</f>
        <v>1450</v>
      </c>
      <c r="F38" s="1373">
        <f t="shared" si="9"/>
        <v>0</v>
      </c>
      <c r="G38" s="1373">
        <f t="shared" si="9"/>
        <v>0</v>
      </c>
      <c r="H38" s="1373">
        <f t="shared" si="9"/>
        <v>1132</v>
      </c>
      <c r="I38" s="1373">
        <f t="shared" si="9"/>
        <v>0</v>
      </c>
      <c r="J38" s="1373">
        <f t="shared" si="9"/>
        <v>1132</v>
      </c>
      <c r="K38" s="1373">
        <f t="shared" si="9"/>
        <v>9.5</v>
      </c>
      <c r="L38" s="1373">
        <f t="shared" si="9"/>
        <v>8.7899999999999991</v>
      </c>
      <c r="M38" s="1373">
        <f t="shared" si="9"/>
        <v>0.15000000000000002</v>
      </c>
      <c r="N38" s="1373">
        <f t="shared" si="9"/>
        <v>0</v>
      </c>
      <c r="O38" s="1373">
        <f t="shared" si="9"/>
        <v>0</v>
      </c>
      <c r="P38" s="1373">
        <f t="shared" si="9"/>
        <v>0</v>
      </c>
      <c r="Q38" s="1373">
        <f t="shared" si="9"/>
        <v>506.35</v>
      </c>
      <c r="R38" s="1373">
        <f t="shared" si="9"/>
        <v>39.26</v>
      </c>
      <c r="S38" s="1373">
        <f t="shared" si="9"/>
        <v>9939650.5</v>
      </c>
      <c r="T38" s="1373">
        <f t="shared" si="9"/>
        <v>9939650.5</v>
      </c>
    </row>
    <row r="39" spans="1:20" ht="15.75" thickBot="1" x14ac:dyDescent="0.3">
      <c r="A39" s="1360"/>
      <c r="C39" s="1360" t="s">
        <v>938</v>
      </c>
      <c r="D39" s="1376">
        <v>653</v>
      </c>
      <c r="E39" s="1362">
        <v>132</v>
      </c>
      <c r="F39" s="1363" t="s">
        <v>474</v>
      </c>
      <c r="G39" s="1364" t="s">
        <v>1030</v>
      </c>
      <c r="H39" s="1365">
        <f t="shared" si="6"/>
        <v>132</v>
      </c>
      <c r="I39" s="1379"/>
      <c r="J39" s="1365">
        <v>132</v>
      </c>
      <c r="K39" s="1365">
        <v>4.75</v>
      </c>
      <c r="L39" s="1365">
        <v>4.51</v>
      </c>
      <c r="M39" s="1365">
        <v>0.05</v>
      </c>
      <c r="N39" s="1365"/>
      <c r="O39" s="1363"/>
      <c r="P39" s="1366"/>
      <c r="Q39" s="1367">
        <f t="shared" si="8"/>
        <v>31.35</v>
      </c>
      <c r="R39" s="1368">
        <v>19.63</v>
      </c>
      <c r="S39" s="1369">
        <f t="shared" si="7"/>
        <v>615400.5</v>
      </c>
      <c r="T39" s="1370">
        <f t="shared" si="5"/>
        <v>615400.5</v>
      </c>
    </row>
    <row r="40" spans="1:20" ht="15.75" thickBot="1" x14ac:dyDescent="0.3">
      <c r="A40" s="1360"/>
      <c r="B40" s="1360"/>
      <c r="C40" s="1360" t="s">
        <v>938</v>
      </c>
      <c r="D40" s="1376">
        <v>1600</v>
      </c>
      <c r="E40" s="1384">
        <v>1318</v>
      </c>
      <c r="F40" s="1363" t="s">
        <v>586</v>
      </c>
      <c r="G40" s="1364" t="s">
        <v>1031</v>
      </c>
      <c r="H40" s="1365">
        <f t="shared" si="6"/>
        <v>1000</v>
      </c>
      <c r="I40" s="1365"/>
      <c r="J40" s="1365">
        <v>1000</v>
      </c>
      <c r="K40" s="1365">
        <v>4.75</v>
      </c>
      <c r="L40" s="1362">
        <v>4.28</v>
      </c>
      <c r="M40" s="1365">
        <v>0.1</v>
      </c>
      <c r="N40" s="1365"/>
      <c r="O40" s="1378"/>
      <c r="P40" s="1378"/>
      <c r="Q40" s="1367">
        <f>H40*K40*M40</f>
        <v>475</v>
      </c>
      <c r="R40" s="1368">
        <v>19.63</v>
      </c>
      <c r="S40" s="1369">
        <f t="shared" si="7"/>
        <v>9324250</v>
      </c>
      <c r="T40" s="1370">
        <f>S40+P40</f>
        <v>9324250</v>
      </c>
    </row>
    <row r="41" spans="1:20" ht="15.75" thickBot="1" x14ac:dyDescent="0.3">
      <c r="A41" s="1360"/>
      <c r="B41" s="1360" t="s">
        <v>732</v>
      </c>
      <c r="C41" s="1360" t="s">
        <v>938</v>
      </c>
      <c r="D41" s="1376">
        <v>72</v>
      </c>
      <c r="E41" s="1362">
        <v>190</v>
      </c>
      <c r="F41" s="1363" t="s">
        <v>474</v>
      </c>
      <c r="G41" s="1364" t="s">
        <v>1030</v>
      </c>
      <c r="H41" s="1365">
        <f t="shared" si="6"/>
        <v>54.3</v>
      </c>
      <c r="I41" s="1379"/>
      <c r="J41" s="1365">
        <v>54.3</v>
      </c>
      <c r="K41" s="1365">
        <v>4.75</v>
      </c>
      <c r="L41" s="1365">
        <v>4.51</v>
      </c>
      <c r="M41" s="1365">
        <v>0.05</v>
      </c>
      <c r="N41" s="1365"/>
      <c r="O41" s="1363"/>
      <c r="P41" s="1366"/>
      <c r="Q41" s="1367">
        <f t="shared" si="8"/>
        <v>12.896250000000002</v>
      </c>
      <c r="R41" s="1368">
        <v>19.63</v>
      </c>
      <c r="S41" s="1369">
        <f t="shared" si="7"/>
        <v>253153.38750000001</v>
      </c>
      <c r="T41" s="1370">
        <f t="shared" si="5"/>
        <v>253153.38750000001</v>
      </c>
    </row>
    <row r="42" spans="1:20" s="1264" customFormat="1" ht="15.75" thickBot="1" x14ac:dyDescent="0.3">
      <c r="A42" s="1372"/>
      <c r="B42" s="1360" t="s">
        <v>829</v>
      </c>
      <c r="C42" s="1372"/>
      <c r="D42" s="1373">
        <f>SUM(D43:D44)</f>
        <v>114</v>
      </c>
      <c r="E42" s="1373">
        <f t="shared" ref="E42:T42" si="10">SUM(E43:E44)</f>
        <v>2718</v>
      </c>
      <c r="F42" s="1373">
        <f t="shared" si="10"/>
        <v>0</v>
      </c>
      <c r="G42" s="1373">
        <f t="shared" si="10"/>
        <v>0</v>
      </c>
      <c r="H42" s="1373">
        <f t="shared" si="10"/>
        <v>85</v>
      </c>
      <c r="I42" s="1373">
        <f t="shared" si="10"/>
        <v>0</v>
      </c>
      <c r="J42" s="1373">
        <f t="shared" si="10"/>
        <v>85</v>
      </c>
      <c r="K42" s="1373">
        <f t="shared" si="10"/>
        <v>9.5</v>
      </c>
      <c r="L42" s="1373">
        <f t="shared" si="10"/>
        <v>8.7899999999999991</v>
      </c>
      <c r="M42" s="1373">
        <f t="shared" si="10"/>
        <v>0.15000000000000002</v>
      </c>
      <c r="N42" s="1373">
        <f t="shared" si="10"/>
        <v>0</v>
      </c>
      <c r="O42" s="1373">
        <f t="shared" si="10"/>
        <v>0</v>
      </c>
      <c r="P42" s="1373">
        <f t="shared" si="10"/>
        <v>0</v>
      </c>
      <c r="Q42" s="1373">
        <f t="shared" si="10"/>
        <v>24.9375</v>
      </c>
      <c r="R42" s="1373">
        <f t="shared" si="10"/>
        <v>39.26</v>
      </c>
      <c r="S42" s="1373">
        <f t="shared" si="10"/>
        <v>489523.125</v>
      </c>
      <c r="T42" s="1373">
        <f t="shared" si="10"/>
        <v>489523.125</v>
      </c>
    </row>
    <row r="43" spans="1:20" ht="15.75" thickBot="1" x14ac:dyDescent="0.3">
      <c r="A43" s="1360"/>
      <c r="C43" s="1360" t="s">
        <v>938</v>
      </c>
      <c r="D43" s="1376">
        <v>87</v>
      </c>
      <c r="E43" s="1362">
        <v>2227</v>
      </c>
      <c r="F43" s="1363" t="s">
        <v>474</v>
      </c>
      <c r="G43" s="1364" t="s">
        <v>1030</v>
      </c>
      <c r="H43" s="1365">
        <f t="shared" si="6"/>
        <v>65</v>
      </c>
      <c r="I43" s="1379"/>
      <c r="J43" s="1365">
        <v>65</v>
      </c>
      <c r="K43" s="1365">
        <v>4.75</v>
      </c>
      <c r="L43" s="1365">
        <v>4.51</v>
      </c>
      <c r="M43" s="1365">
        <v>0.05</v>
      </c>
      <c r="N43" s="1365"/>
      <c r="O43" s="1363"/>
      <c r="P43" s="1366"/>
      <c r="Q43" s="1367">
        <f t="shared" si="8"/>
        <v>15.4375</v>
      </c>
      <c r="R43" s="1368">
        <v>19.63</v>
      </c>
      <c r="S43" s="1369">
        <f t="shared" si="7"/>
        <v>303038.125</v>
      </c>
      <c r="T43" s="1370">
        <f t="shared" si="5"/>
        <v>303038.125</v>
      </c>
    </row>
    <row r="44" spans="1:20" ht="15.75" thickBot="1" x14ac:dyDescent="0.3">
      <c r="A44" s="1360"/>
      <c r="B44" s="1360"/>
      <c r="C44" s="1360" t="s">
        <v>938</v>
      </c>
      <c r="D44" s="1376">
        <v>27</v>
      </c>
      <c r="E44" s="1384">
        <v>491</v>
      </c>
      <c r="F44" s="1363" t="s">
        <v>586</v>
      </c>
      <c r="G44" s="1364" t="s">
        <v>1031</v>
      </c>
      <c r="H44" s="1365">
        <f t="shared" si="6"/>
        <v>20</v>
      </c>
      <c r="I44" s="1365"/>
      <c r="J44" s="1365">
        <v>20</v>
      </c>
      <c r="K44" s="1365">
        <v>4.75</v>
      </c>
      <c r="L44" s="1362">
        <v>4.28</v>
      </c>
      <c r="M44" s="1365">
        <v>0.1</v>
      </c>
      <c r="N44" s="1365"/>
      <c r="O44" s="1378"/>
      <c r="P44" s="1378"/>
      <c r="Q44" s="1367">
        <f>H44*K44*M44</f>
        <v>9.5</v>
      </c>
      <c r="R44" s="1368">
        <v>19.63</v>
      </c>
      <c r="S44" s="1369">
        <f t="shared" si="7"/>
        <v>186485</v>
      </c>
      <c r="T44" s="1370">
        <f>S44+P44</f>
        <v>186485</v>
      </c>
    </row>
    <row r="45" spans="1:20" ht="15.75" thickBot="1" x14ac:dyDescent="0.3">
      <c r="A45" s="1360"/>
      <c r="B45" s="1360" t="s">
        <v>733</v>
      </c>
      <c r="C45" s="1360" t="s">
        <v>938</v>
      </c>
      <c r="D45" s="1376">
        <v>15</v>
      </c>
      <c r="E45" s="1362">
        <v>404</v>
      </c>
      <c r="F45" s="1363" t="s">
        <v>474</v>
      </c>
      <c r="G45" s="1364" t="s">
        <v>1030</v>
      </c>
      <c r="H45" s="1365">
        <f t="shared" si="6"/>
        <v>11</v>
      </c>
      <c r="I45" s="1365"/>
      <c r="J45" s="1365">
        <v>11</v>
      </c>
      <c r="K45" s="1365">
        <v>4.75</v>
      </c>
      <c r="L45" s="1365">
        <v>4.51</v>
      </c>
      <c r="M45" s="1365">
        <v>0.05</v>
      </c>
      <c r="N45" s="1365"/>
      <c r="O45" s="1363"/>
      <c r="P45" s="1366"/>
      <c r="Q45" s="1367">
        <f t="shared" si="8"/>
        <v>2.6125000000000003</v>
      </c>
      <c r="R45" s="1368">
        <v>19.63</v>
      </c>
      <c r="S45" s="1369">
        <f t="shared" si="7"/>
        <v>51283.375000000007</v>
      </c>
      <c r="T45" s="1370">
        <f t="shared" si="5"/>
        <v>51283.375000000007</v>
      </c>
    </row>
    <row r="46" spans="1:20" ht="15.75" thickBot="1" x14ac:dyDescent="0.3">
      <c r="A46" s="1360"/>
      <c r="B46" s="1360" t="s">
        <v>734</v>
      </c>
      <c r="C46" s="1360" t="s">
        <v>938</v>
      </c>
      <c r="D46" s="1376">
        <v>333</v>
      </c>
      <c r="E46" s="1362">
        <v>306</v>
      </c>
      <c r="F46" s="1363" t="s">
        <v>474</v>
      </c>
      <c r="G46" s="1364" t="s">
        <v>1030</v>
      </c>
      <c r="H46" s="1365">
        <f t="shared" si="6"/>
        <v>250</v>
      </c>
      <c r="I46" s="1365"/>
      <c r="J46" s="1365">
        <v>250</v>
      </c>
      <c r="K46" s="1365">
        <v>4.75</v>
      </c>
      <c r="L46" s="1365">
        <v>4.51</v>
      </c>
      <c r="M46" s="1365">
        <v>0.05</v>
      </c>
      <c r="N46" s="1365"/>
      <c r="O46" s="1363"/>
      <c r="P46" s="1366"/>
      <c r="Q46" s="1367">
        <f t="shared" si="8"/>
        <v>59.375</v>
      </c>
      <c r="R46" s="1368">
        <v>19.63</v>
      </c>
      <c r="S46" s="1369">
        <f t="shared" si="7"/>
        <v>1165531.25</v>
      </c>
      <c r="T46" s="1370">
        <f t="shared" si="5"/>
        <v>1165531.25</v>
      </c>
    </row>
    <row r="47" spans="1:20" s="1264" customFormat="1" ht="15.75" thickBot="1" x14ac:dyDescent="0.3">
      <c r="A47" s="1372"/>
      <c r="B47" s="1360" t="s">
        <v>735</v>
      </c>
      <c r="C47" s="1372"/>
      <c r="D47" s="1373">
        <f>SUM(D48:D49)</f>
        <v>654</v>
      </c>
      <c r="E47" s="1373">
        <f t="shared" ref="E47:T47" si="11">SUM(E48:E49)</f>
        <v>920</v>
      </c>
      <c r="F47" s="1373">
        <f t="shared" si="11"/>
        <v>0</v>
      </c>
      <c r="G47" s="1373">
        <f t="shared" si="11"/>
        <v>0</v>
      </c>
      <c r="H47" s="1373">
        <f t="shared" si="11"/>
        <v>491</v>
      </c>
      <c r="I47" s="1373">
        <f t="shared" si="11"/>
        <v>0</v>
      </c>
      <c r="J47" s="1373">
        <f t="shared" si="11"/>
        <v>491</v>
      </c>
      <c r="K47" s="1373">
        <f t="shared" si="11"/>
        <v>9.5</v>
      </c>
      <c r="L47" s="1373">
        <f t="shared" si="11"/>
        <v>8.7899999999999991</v>
      </c>
      <c r="M47" s="1373">
        <f t="shared" si="11"/>
        <v>0.15000000000000002</v>
      </c>
      <c r="N47" s="1373">
        <f t="shared" si="11"/>
        <v>0</v>
      </c>
      <c r="O47" s="1373">
        <f t="shared" si="11"/>
        <v>0</v>
      </c>
      <c r="P47" s="1373">
        <f t="shared" si="11"/>
        <v>0</v>
      </c>
      <c r="Q47" s="1373">
        <f t="shared" si="11"/>
        <v>129.67500000000001</v>
      </c>
      <c r="R47" s="1373">
        <f t="shared" si="11"/>
        <v>39.26</v>
      </c>
      <c r="S47" s="1373">
        <f t="shared" si="11"/>
        <v>2545520.25</v>
      </c>
      <c r="T47" s="1373">
        <f t="shared" si="11"/>
        <v>2545520.25</v>
      </c>
    </row>
    <row r="48" spans="1:20" ht="15.75" thickBot="1" x14ac:dyDescent="0.3">
      <c r="A48" s="1360"/>
      <c r="C48" s="1360" t="s">
        <v>938</v>
      </c>
      <c r="D48" s="1376">
        <v>581</v>
      </c>
      <c r="E48" s="1362">
        <v>436</v>
      </c>
      <c r="F48" s="1363" t="s">
        <v>474</v>
      </c>
      <c r="G48" s="1364" t="s">
        <v>1030</v>
      </c>
      <c r="H48" s="1365">
        <f t="shared" si="6"/>
        <v>436</v>
      </c>
      <c r="I48" s="1365"/>
      <c r="J48" s="1365">
        <v>436</v>
      </c>
      <c r="K48" s="1365">
        <v>4.75</v>
      </c>
      <c r="L48" s="1365">
        <v>4.51</v>
      </c>
      <c r="M48" s="1365">
        <v>0.05</v>
      </c>
      <c r="N48" s="1365"/>
      <c r="O48" s="1363"/>
      <c r="P48" s="1366"/>
      <c r="Q48" s="1367">
        <f t="shared" si="8"/>
        <v>103.55000000000001</v>
      </c>
      <c r="R48" s="1368">
        <v>19.63</v>
      </c>
      <c r="S48" s="1369">
        <f t="shared" si="7"/>
        <v>2032686.5000000002</v>
      </c>
      <c r="T48" s="1370">
        <f t="shared" si="5"/>
        <v>2032686.5000000002</v>
      </c>
    </row>
    <row r="49" spans="1:20" ht="15.75" thickBot="1" x14ac:dyDescent="0.3">
      <c r="A49" s="1360"/>
      <c r="B49" s="1360"/>
      <c r="C49" s="1360" t="s">
        <v>938</v>
      </c>
      <c r="D49" s="1376">
        <v>73</v>
      </c>
      <c r="E49" s="1377">
        <v>484</v>
      </c>
      <c r="F49" s="1363" t="s">
        <v>586</v>
      </c>
      <c r="G49" s="1364" t="s">
        <v>1031</v>
      </c>
      <c r="H49" s="1365">
        <f t="shared" si="6"/>
        <v>55</v>
      </c>
      <c r="I49" s="1365"/>
      <c r="J49" s="1365">
        <v>55</v>
      </c>
      <c r="K49" s="1365">
        <v>4.75</v>
      </c>
      <c r="L49" s="1362">
        <v>4.28</v>
      </c>
      <c r="M49" s="1365">
        <v>0.1</v>
      </c>
      <c r="N49" s="1365"/>
      <c r="O49" s="1378"/>
      <c r="P49" s="1378"/>
      <c r="Q49" s="1367">
        <f>H49*K49*M49</f>
        <v>26.125</v>
      </c>
      <c r="R49" s="1368">
        <v>19.63</v>
      </c>
      <c r="S49" s="1369">
        <f t="shared" si="7"/>
        <v>512833.75</v>
      </c>
      <c r="T49" s="1370">
        <f>S49+P49</f>
        <v>512833.75</v>
      </c>
    </row>
    <row r="50" spans="1:20" s="1264" customFormat="1" ht="15.75" thickBot="1" x14ac:dyDescent="0.3">
      <c r="A50" s="1372"/>
      <c r="B50" s="1360" t="s">
        <v>736</v>
      </c>
      <c r="C50" s="1372"/>
      <c r="D50" s="1373">
        <f>SUM(D51:D52)</f>
        <v>300</v>
      </c>
      <c r="E50" s="1373">
        <f t="shared" ref="E50:T50" si="12">SUM(E51:E52)</f>
        <v>1000</v>
      </c>
      <c r="F50" s="1373">
        <f t="shared" si="12"/>
        <v>0</v>
      </c>
      <c r="G50" s="1373">
        <f t="shared" si="12"/>
        <v>0</v>
      </c>
      <c r="H50" s="1373">
        <f t="shared" si="12"/>
        <v>225</v>
      </c>
      <c r="I50" s="1373">
        <f t="shared" si="12"/>
        <v>0</v>
      </c>
      <c r="J50" s="1373">
        <f t="shared" si="12"/>
        <v>225</v>
      </c>
      <c r="K50" s="1373">
        <f t="shared" si="12"/>
        <v>9.5</v>
      </c>
      <c r="L50" s="1373">
        <f t="shared" si="12"/>
        <v>8.7899999999999991</v>
      </c>
      <c r="M50" s="1373">
        <f t="shared" si="12"/>
        <v>0.15000000000000002</v>
      </c>
      <c r="N50" s="1373">
        <f t="shared" si="12"/>
        <v>0</v>
      </c>
      <c r="O50" s="1373">
        <f t="shared" si="12"/>
        <v>0</v>
      </c>
      <c r="P50" s="1373">
        <f t="shared" si="12"/>
        <v>0</v>
      </c>
      <c r="Q50" s="1373">
        <f t="shared" si="12"/>
        <v>71.25</v>
      </c>
      <c r="R50" s="1373">
        <f t="shared" si="12"/>
        <v>39.26</v>
      </c>
      <c r="S50" s="1373">
        <f t="shared" si="12"/>
        <v>1398637.5</v>
      </c>
      <c r="T50" s="1373">
        <f t="shared" si="12"/>
        <v>1398637.5</v>
      </c>
    </row>
    <row r="51" spans="1:20" ht="15.75" thickBot="1" x14ac:dyDescent="0.3">
      <c r="A51" s="1360"/>
      <c r="C51" s="1360" t="s">
        <v>938</v>
      </c>
      <c r="D51" s="1376">
        <v>200</v>
      </c>
      <c r="E51" s="1362">
        <v>200</v>
      </c>
      <c r="F51" s="1363" t="s">
        <v>474</v>
      </c>
      <c r="G51" s="1364" t="s">
        <v>1030</v>
      </c>
      <c r="H51" s="1365">
        <f t="shared" si="6"/>
        <v>150</v>
      </c>
      <c r="I51" s="1379"/>
      <c r="J51" s="1365">
        <v>150</v>
      </c>
      <c r="K51" s="1365">
        <v>4.75</v>
      </c>
      <c r="L51" s="1365">
        <v>4.51</v>
      </c>
      <c r="M51" s="1365">
        <v>0.05</v>
      </c>
      <c r="N51" s="1365"/>
      <c r="O51" s="1363"/>
      <c r="P51" s="1366"/>
      <c r="Q51" s="1367">
        <f t="shared" si="8"/>
        <v>35.625</v>
      </c>
      <c r="R51" s="1368">
        <v>19.63</v>
      </c>
      <c r="S51" s="1369">
        <f t="shared" si="7"/>
        <v>699318.75</v>
      </c>
      <c r="T51" s="1370">
        <f t="shared" si="5"/>
        <v>699318.75</v>
      </c>
    </row>
    <row r="52" spans="1:20" ht="15.75" thickBot="1" x14ac:dyDescent="0.3">
      <c r="A52" s="1360"/>
      <c r="B52" s="1360"/>
      <c r="C52" s="1360" t="s">
        <v>938</v>
      </c>
      <c r="D52" s="1376">
        <v>100</v>
      </c>
      <c r="E52" s="1377">
        <v>800</v>
      </c>
      <c r="F52" s="1363" t="s">
        <v>586</v>
      </c>
      <c r="G52" s="1364" t="s">
        <v>1031</v>
      </c>
      <c r="H52" s="1365">
        <f t="shared" si="6"/>
        <v>75</v>
      </c>
      <c r="I52" s="1365"/>
      <c r="J52" s="1365">
        <v>75</v>
      </c>
      <c r="K52" s="1365">
        <v>4.75</v>
      </c>
      <c r="L52" s="1362">
        <v>4.28</v>
      </c>
      <c r="M52" s="1365">
        <v>0.1</v>
      </c>
      <c r="N52" s="1365"/>
      <c r="O52" s="1378"/>
      <c r="P52" s="1378"/>
      <c r="Q52" s="1367">
        <f>H52*K52*M52</f>
        <v>35.625</v>
      </c>
      <c r="R52" s="1368">
        <v>19.63</v>
      </c>
      <c r="S52" s="1369">
        <f t="shared" si="7"/>
        <v>699318.75</v>
      </c>
      <c r="T52" s="1370">
        <f>S52+P52</f>
        <v>699318.75</v>
      </c>
    </row>
    <row r="53" spans="1:20" s="1264" customFormat="1" ht="15.75" thickBot="1" x14ac:dyDescent="0.3">
      <c r="A53" s="1372"/>
      <c r="B53" s="1360" t="s">
        <v>655</v>
      </c>
      <c r="C53" s="1372"/>
      <c r="D53" s="1373">
        <f>SUM(D54:D55)</f>
        <v>164</v>
      </c>
      <c r="E53" s="1373">
        <f t="shared" ref="E53:T53" si="13">SUM(E54:E55)</f>
        <v>1660</v>
      </c>
      <c r="F53" s="1373">
        <f t="shared" si="13"/>
        <v>0</v>
      </c>
      <c r="G53" s="1373">
        <f t="shared" si="13"/>
        <v>0</v>
      </c>
      <c r="H53" s="1373">
        <f t="shared" si="13"/>
        <v>122.5</v>
      </c>
      <c r="I53" s="1373">
        <f t="shared" si="13"/>
        <v>0</v>
      </c>
      <c r="J53" s="1373">
        <f t="shared" si="13"/>
        <v>122.5</v>
      </c>
      <c r="K53" s="1373">
        <f t="shared" si="13"/>
        <v>9.5</v>
      </c>
      <c r="L53" s="1373">
        <f t="shared" si="13"/>
        <v>8.7899999999999991</v>
      </c>
      <c r="M53" s="1373">
        <f t="shared" si="13"/>
        <v>0.15000000000000002</v>
      </c>
      <c r="N53" s="1373">
        <f t="shared" si="13"/>
        <v>0</v>
      </c>
      <c r="O53" s="1373">
        <f t="shared" si="13"/>
        <v>0</v>
      </c>
      <c r="P53" s="1373">
        <f t="shared" si="13"/>
        <v>0</v>
      </c>
      <c r="Q53" s="1373">
        <f t="shared" si="13"/>
        <v>38.118750000000006</v>
      </c>
      <c r="R53" s="1373">
        <f t="shared" si="13"/>
        <v>39.26</v>
      </c>
      <c r="S53" s="1373">
        <f t="shared" si="13"/>
        <v>748271.0625</v>
      </c>
      <c r="T53" s="1373">
        <f t="shared" si="13"/>
        <v>748271.0625</v>
      </c>
    </row>
    <row r="54" spans="1:20" ht="15.75" thickBot="1" x14ac:dyDescent="0.3">
      <c r="A54" s="1360"/>
      <c r="C54" s="1360" t="s">
        <v>938</v>
      </c>
      <c r="D54" s="1376">
        <v>113</v>
      </c>
      <c r="E54" s="1362">
        <v>760</v>
      </c>
      <c r="F54" s="1363" t="s">
        <v>474</v>
      </c>
      <c r="G54" s="1364" t="s">
        <v>1030</v>
      </c>
      <c r="H54" s="1365">
        <f t="shared" si="6"/>
        <v>84.5</v>
      </c>
      <c r="I54" s="1379"/>
      <c r="J54" s="1365">
        <v>84.5</v>
      </c>
      <c r="K54" s="1365">
        <v>4.75</v>
      </c>
      <c r="L54" s="1365">
        <v>4.51</v>
      </c>
      <c r="M54" s="1365">
        <v>0.05</v>
      </c>
      <c r="N54" s="1365"/>
      <c r="O54" s="1363"/>
      <c r="P54" s="1366"/>
      <c r="Q54" s="1367">
        <f>H54*K54*M54</f>
        <v>20.068750000000001</v>
      </c>
      <c r="R54" s="1368">
        <v>19.63</v>
      </c>
      <c r="S54" s="1369">
        <f t="shared" si="7"/>
        <v>393949.5625</v>
      </c>
      <c r="T54" s="1370">
        <f t="shared" si="5"/>
        <v>393949.5625</v>
      </c>
    </row>
    <row r="55" spans="1:20" ht="15.75" thickBot="1" x14ac:dyDescent="0.3">
      <c r="A55" s="1360"/>
      <c r="B55" s="1360"/>
      <c r="C55" s="1360" t="s">
        <v>938</v>
      </c>
      <c r="D55" s="1376">
        <v>51</v>
      </c>
      <c r="E55" s="1377">
        <v>900</v>
      </c>
      <c r="F55" s="1363" t="s">
        <v>586</v>
      </c>
      <c r="G55" s="1364" t="s">
        <v>1031</v>
      </c>
      <c r="H55" s="1365">
        <f t="shared" si="6"/>
        <v>38</v>
      </c>
      <c r="I55" s="1365"/>
      <c r="J55" s="1385">
        <v>38</v>
      </c>
      <c r="K55" s="1365">
        <v>4.75</v>
      </c>
      <c r="L55" s="1362">
        <v>4.28</v>
      </c>
      <c r="M55" s="1365">
        <v>0.1</v>
      </c>
      <c r="N55" s="1365"/>
      <c r="O55" s="1378"/>
      <c r="P55" s="1378"/>
      <c r="Q55" s="1386">
        <f>H55*M55*K55</f>
        <v>18.05</v>
      </c>
      <c r="R55" s="1368">
        <v>19.63</v>
      </c>
      <c r="S55" s="1369">
        <f t="shared" si="7"/>
        <v>354321.5</v>
      </c>
      <c r="T55" s="1370">
        <f>S55+P55</f>
        <v>354321.5</v>
      </c>
    </row>
    <row r="56" spans="1:20" ht="15.75" thickBot="1" x14ac:dyDescent="0.3">
      <c r="A56" s="1360"/>
      <c r="B56" s="1360" t="s">
        <v>738</v>
      </c>
      <c r="C56" s="1360" t="s">
        <v>938</v>
      </c>
      <c r="D56" s="1376">
        <v>20</v>
      </c>
      <c r="E56" s="1362">
        <v>415</v>
      </c>
      <c r="F56" s="1363" t="s">
        <v>474</v>
      </c>
      <c r="G56" s="1364" t="s">
        <v>1030</v>
      </c>
      <c r="H56" s="1365">
        <f t="shared" si="6"/>
        <v>15</v>
      </c>
      <c r="I56" s="1379"/>
      <c r="J56" s="1365">
        <v>15</v>
      </c>
      <c r="K56" s="1365">
        <v>4.75</v>
      </c>
      <c r="L56" s="1365">
        <v>4.51</v>
      </c>
      <c r="M56" s="1365">
        <v>0.05</v>
      </c>
      <c r="N56" s="1365"/>
      <c r="O56" s="1363"/>
      <c r="P56" s="1366"/>
      <c r="Q56" s="1367">
        <f t="shared" si="8"/>
        <v>3.5625</v>
      </c>
      <c r="R56" s="1368">
        <v>19.63</v>
      </c>
      <c r="S56" s="1369">
        <f t="shared" si="7"/>
        <v>69931.875</v>
      </c>
      <c r="T56" s="1370">
        <f t="shared" si="5"/>
        <v>69931.875</v>
      </c>
    </row>
    <row r="57" spans="1:20" ht="15.75" thickBot="1" x14ac:dyDescent="0.3">
      <c r="A57" s="1360"/>
      <c r="B57" s="1360"/>
      <c r="C57" s="1360"/>
      <c r="D57" s="1376"/>
      <c r="E57" s="1362"/>
      <c r="F57" s="1363"/>
      <c r="G57" s="1364"/>
      <c r="H57" s="1365"/>
      <c r="I57" s="1379"/>
      <c r="J57" s="1365"/>
      <c r="K57" s="1365"/>
      <c r="L57" s="1365"/>
      <c r="M57" s="1365"/>
      <c r="N57" s="1365"/>
      <c r="O57" s="1363"/>
      <c r="P57" s="1366"/>
      <c r="Q57" s="1367"/>
      <c r="R57" s="1368"/>
      <c r="S57" s="1369"/>
      <c r="T57" s="1370"/>
    </row>
    <row r="58" spans="1:20" ht="15.75" thickBot="1" x14ac:dyDescent="0.3">
      <c r="A58" s="1350" t="s">
        <v>107</v>
      </c>
      <c r="B58" s="1351"/>
      <c r="C58" s="1351"/>
      <c r="D58" s="1351"/>
      <c r="E58" s="1351"/>
      <c r="F58" s="1351"/>
      <c r="G58" s="1352"/>
      <c r="H58" s="1353">
        <f>H59</f>
        <v>4.5</v>
      </c>
      <c r="I58" s="1353">
        <f>I59</f>
        <v>0</v>
      </c>
      <c r="J58" s="1353">
        <f>J59</f>
        <v>4.5</v>
      </c>
      <c r="K58" s="1351"/>
      <c r="L58" s="1351"/>
      <c r="M58" s="1351"/>
      <c r="N58" s="1351"/>
      <c r="O58" s="1351"/>
      <c r="P58" s="1351"/>
      <c r="Q58" s="1353">
        <f>Q59</f>
        <v>5.13</v>
      </c>
      <c r="R58" s="1353"/>
      <c r="S58" s="1353">
        <f>S59</f>
        <v>107730</v>
      </c>
      <c r="T58" s="1353">
        <f>T59</f>
        <v>107730</v>
      </c>
    </row>
    <row r="59" spans="1:20" ht="15.75" thickBot="1" x14ac:dyDescent="0.3">
      <c r="A59" s="1387"/>
      <c r="B59" s="1354" t="s">
        <v>471</v>
      </c>
      <c r="C59" s="1355"/>
      <c r="D59" s="1355"/>
      <c r="E59" s="1355"/>
      <c r="F59" s="1355"/>
      <c r="G59" s="1356"/>
      <c r="H59" s="1357">
        <f>SUM(H60)</f>
        <v>4.5</v>
      </c>
      <c r="I59" s="1357">
        <f>SUM(I60)</f>
        <v>0</v>
      </c>
      <c r="J59" s="1357">
        <f>SUM(J60)</f>
        <v>4.5</v>
      </c>
      <c r="K59" s="1358"/>
      <c r="L59" s="1358"/>
      <c r="M59" s="1358"/>
      <c r="N59" s="1358"/>
      <c r="O59" s="1355"/>
      <c r="P59" s="1355"/>
      <c r="Q59" s="1357">
        <f>SUM(Q60)</f>
        <v>5.13</v>
      </c>
      <c r="R59" s="1357"/>
      <c r="S59" s="1357">
        <f>SUM(S60)</f>
        <v>107730</v>
      </c>
      <c r="T59" s="1357">
        <f>SUM(T60)</f>
        <v>107730</v>
      </c>
    </row>
    <row r="60" spans="1:20" ht="15.75" thickBot="1" x14ac:dyDescent="0.3">
      <c r="A60" s="1387"/>
      <c r="B60" s="1359" t="s">
        <v>541</v>
      </c>
      <c r="C60" s="1360" t="s">
        <v>938</v>
      </c>
      <c r="D60" s="1361">
        <v>80</v>
      </c>
      <c r="E60" s="1362">
        <v>640</v>
      </c>
      <c r="F60" s="1363" t="s">
        <v>586</v>
      </c>
      <c r="G60" s="1364"/>
      <c r="H60" s="1388">
        <f>I60+J60</f>
        <v>4.5</v>
      </c>
      <c r="I60" s="1389"/>
      <c r="J60" s="1389">
        <v>4.5</v>
      </c>
      <c r="K60" s="1365">
        <v>4.5599999999999996</v>
      </c>
      <c r="L60" s="1365">
        <v>4.51</v>
      </c>
      <c r="M60" s="1365">
        <v>0.25</v>
      </c>
      <c r="N60" s="1365"/>
      <c r="O60" s="1363"/>
      <c r="P60" s="1366"/>
      <c r="Q60" s="1367">
        <f>H60*K60*M60</f>
        <v>5.13</v>
      </c>
      <c r="R60" s="1368">
        <v>21</v>
      </c>
      <c r="S60" s="1369">
        <f>R60*Q60*1000</f>
        <v>107730</v>
      </c>
      <c r="T60" s="1370">
        <f>S60+P60</f>
        <v>107730</v>
      </c>
    </row>
    <row r="61" spans="1:20" ht="15.75" thickBot="1" x14ac:dyDescent="0.3">
      <c r="A61" s="1390"/>
      <c r="B61" s="1391" t="s">
        <v>937</v>
      </c>
      <c r="C61" s="1392"/>
      <c r="D61" s="1392"/>
      <c r="E61" s="1392"/>
      <c r="F61" s="1392"/>
      <c r="G61" s="1392"/>
      <c r="H61" s="1393">
        <f>H58+H22</f>
        <v>6662.55</v>
      </c>
      <c r="I61" s="1393">
        <f t="shared" ref="I61:T61" si="14">I58+I22</f>
        <v>0</v>
      </c>
      <c r="J61" s="1393">
        <f t="shared" si="14"/>
        <v>6662.55</v>
      </c>
      <c r="K61" s="1393">
        <f t="shared" si="14"/>
        <v>0</v>
      </c>
      <c r="L61" s="1393">
        <f t="shared" si="14"/>
        <v>0</v>
      </c>
      <c r="M61" s="1393">
        <f t="shared" si="14"/>
        <v>0</v>
      </c>
      <c r="N61" s="1393">
        <f t="shared" si="14"/>
        <v>0</v>
      </c>
      <c r="O61" s="1393">
        <f t="shared" si="14"/>
        <v>0</v>
      </c>
      <c r="P61" s="1393">
        <f t="shared" si="14"/>
        <v>0</v>
      </c>
      <c r="Q61" s="1393">
        <f t="shared" si="14"/>
        <v>2247.8543749999999</v>
      </c>
      <c r="R61" s="1393">
        <f t="shared" si="14"/>
        <v>0</v>
      </c>
      <c r="S61" s="1393">
        <f t="shared" si="14"/>
        <v>44132409.481250003</v>
      </c>
      <c r="T61" s="1393">
        <f t="shared" si="14"/>
        <v>44132409.481250003</v>
      </c>
    </row>
    <row r="62" spans="1:20" x14ac:dyDescent="0.25">
      <c r="A62" s="1394" t="s">
        <v>522</v>
      </c>
      <c r="B62" s="1394"/>
      <c r="C62" s="1394"/>
      <c r="D62" s="1394"/>
      <c r="E62" s="1395"/>
      <c r="F62" s="1394" t="s">
        <v>815</v>
      </c>
      <c r="G62" s="1394"/>
      <c r="H62" s="1394"/>
      <c r="I62" s="1394"/>
      <c r="J62" s="1394"/>
      <c r="K62" s="1394" t="s">
        <v>816</v>
      </c>
      <c r="L62" s="1394"/>
      <c r="M62" s="1394"/>
      <c r="N62" s="1394"/>
      <c r="O62" s="1394"/>
      <c r="P62" s="1177"/>
      <c r="Q62" s="1394" t="s">
        <v>940</v>
      </c>
      <c r="R62" s="1177"/>
      <c r="S62" s="1177"/>
      <c r="T62" s="1177"/>
    </row>
    <row r="63" spans="1:20" x14ac:dyDescent="0.25">
      <c r="A63" s="1394"/>
      <c r="B63" s="1394"/>
      <c r="C63" s="1394"/>
      <c r="D63" s="1394"/>
      <c r="E63" s="1395"/>
      <c r="F63" s="1394"/>
      <c r="G63" s="1394"/>
      <c r="H63" s="1394"/>
      <c r="I63" s="1394"/>
      <c r="J63" s="1394"/>
      <c r="K63" s="1394"/>
      <c r="L63" s="1394"/>
      <c r="M63" s="1394"/>
      <c r="N63" s="1394"/>
      <c r="O63" s="1394"/>
      <c r="P63" s="1177"/>
      <c r="Q63" s="1394"/>
      <c r="R63" s="1177"/>
      <c r="S63" s="1177"/>
      <c r="T63" s="1177"/>
    </row>
    <row r="64" spans="1:20" x14ac:dyDescent="0.25">
      <c r="A64" s="1394"/>
      <c r="B64" s="1394"/>
      <c r="C64" s="1394"/>
      <c r="D64" s="1394"/>
      <c r="E64" s="1395"/>
      <c r="F64" s="1394"/>
      <c r="G64" s="1394"/>
      <c r="H64" s="1394"/>
      <c r="I64" s="1394"/>
      <c r="J64" s="1394"/>
      <c r="K64" s="1394"/>
      <c r="L64" s="1394"/>
      <c r="M64" s="1394"/>
      <c r="N64" s="1394"/>
      <c r="O64" s="1394"/>
      <c r="P64" s="1177"/>
      <c r="Q64" s="1394"/>
      <c r="R64" s="1177"/>
      <c r="S64" s="1177"/>
      <c r="T64" s="1177"/>
    </row>
    <row r="65" spans="1:20" x14ac:dyDescent="0.25">
      <c r="A65" s="1396" t="s">
        <v>1032</v>
      </c>
      <c r="B65" s="1396"/>
      <c r="C65" s="1396"/>
      <c r="D65" s="1397"/>
      <c r="E65" s="1773" t="s">
        <v>693</v>
      </c>
      <c r="F65" s="1773"/>
      <c r="G65" s="1773"/>
      <c r="H65" s="1397"/>
      <c r="I65" s="1397"/>
      <c r="J65" s="1774" t="s">
        <v>943</v>
      </c>
      <c r="K65" s="1774"/>
      <c r="L65" s="1774"/>
      <c r="M65" s="1774"/>
      <c r="N65" s="1774"/>
      <c r="O65" s="1394"/>
      <c r="P65" s="1177"/>
      <c r="Q65" s="1774" t="s">
        <v>944</v>
      </c>
      <c r="R65" s="1774"/>
      <c r="S65" s="1334"/>
      <c r="T65" s="1334"/>
    </row>
    <row r="66" spans="1:20" x14ac:dyDescent="0.25">
      <c r="A66" s="1775" t="s">
        <v>527</v>
      </c>
      <c r="B66" s="1775"/>
      <c r="C66" s="1775"/>
      <c r="D66" s="1775"/>
      <c r="E66" s="1398"/>
      <c r="F66" s="1545" t="s">
        <v>820</v>
      </c>
      <c r="G66" s="1399"/>
      <c r="H66" s="1399"/>
      <c r="I66" s="1399"/>
      <c r="J66" s="1775" t="s">
        <v>994</v>
      </c>
      <c r="K66" s="1775"/>
      <c r="L66" s="1775"/>
      <c r="M66" s="1775"/>
      <c r="N66" s="1775"/>
      <c r="O66" s="1394"/>
      <c r="P66" s="1177"/>
      <c r="Q66" s="1775" t="s">
        <v>995</v>
      </c>
      <c r="R66" s="1775"/>
      <c r="S66" s="1177"/>
      <c r="T66" s="1177"/>
    </row>
  </sheetData>
  <mergeCells count="40">
    <mergeCell ref="N18:P18"/>
    <mergeCell ref="Q18:T18"/>
    <mergeCell ref="A7:T7"/>
    <mergeCell ref="A1:T1"/>
    <mergeCell ref="A2:T2"/>
    <mergeCell ref="A3:T3"/>
    <mergeCell ref="A5:T5"/>
    <mergeCell ref="A6:T6"/>
    <mergeCell ref="A66:D66"/>
    <mergeCell ref="J66:N66"/>
    <mergeCell ref="A8:T8"/>
    <mergeCell ref="M10:R10"/>
    <mergeCell ref="A15:R15"/>
    <mergeCell ref="A16:A20"/>
    <mergeCell ref="B16:B20"/>
    <mergeCell ref="C16:C20"/>
    <mergeCell ref="D16:D20"/>
    <mergeCell ref="E16:E20"/>
    <mergeCell ref="F16:F20"/>
    <mergeCell ref="G16:G20"/>
    <mergeCell ref="H16:J18"/>
    <mergeCell ref="K16:L18"/>
    <mergeCell ref="M16:M20"/>
    <mergeCell ref="N16:T17"/>
    <mergeCell ref="Q66:R66"/>
    <mergeCell ref="L19:L20"/>
    <mergeCell ref="N19:N20"/>
    <mergeCell ref="O19:O20"/>
    <mergeCell ref="P19:P20"/>
    <mergeCell ref="Q19:Q20"/>
    <mergeCell ref="R19:R20"/>
    <mergeCell ref="S19:S20"/>
    <mergeCell ref="T19:T20"/>
    <mergeCell ref="E65:G65"/>
    <mergeCell ref="J65:N65"/>
    <mergeCell ref="Q65:R65"/>
    <mergeCell ref="H19:H20"/>
    <mergeCell ref="I19:I20"/>
    <mergeCell ref="J19:J20"/>
    <mergeCell ref="K19:K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FE6A-066C-4548-A82B-1A84E8E07DD3}">
  <dimension ref="A1:R260"/>
  <sheetViews>
    <sheetView view="pageBreakPreview" topLeftCell="A53" zoomScale="139" zoomScaleNormal="100" zoomScaleSheetLayoutView="139" workbookViewId="0">
      <selection activeCell="B71" sqref="B71"/>
    </sheetView>
  </sheetViews>
  <sheetFormatPr defaultColWidth="14.5" defaultRowHeight="16.5" x14ac:dyDescent="0.3"/>
  <cols>
    <col min="1" max="1" width="6.5" style="1411" customWidth="1"/>
    <col min="2" max="2" width="15.5" style="1411" customWidth="1"/>
    <col min="3" max="3" width="13.125" style="1411" customWidth="1"/>
    <col min="4" max="4" width="11.625" style="1411" customWidth="1"/>
    <col min="5" max="5" width="14.5" style="1455"/>
    <col min="6" max="6" width="14.5" style="1411"/>
    <col min="7" max="7" width="13.375" style="1411" customWidth="1"/>
    <col min="8" max="8" width="10.5" style="1411" customWidth="1"/>
    <col min="9" max="9" width="9.875" style="1411" customWidth="1"/>
    <col min="10" max="10" width="12.125" style="1411" customWidth="1"/>
    <col min="11" max="11" width="12.875" style="1411" customWidth="1"/>
    <col min="12" max="12" width="8" style="1411" customWidth="1"/>
    <col min="13" max="13" width="11.5" style="1411" customWidth="1"/>
    <col min="14" max="14" width="12.875" style="1411" customWidth="1"/>
    <col min="15" max="15" width="14.5" style="1411" customWidth="1"/>
    <col min="16" max="16" width="16.875" style="1411" customWidth="1"/>
    <col min="17" max="17" width="20.5" style="1411" bestFit="1" customWidth="1"/>
    <col min="18" max="22" width="14.5" style="1411"/>
    <col min="23" max="23" width="14.5" style="1411" customWidth="1"/>
    <col min="24" max="256" width="14.5" style="1411"/>
    <col min="257" max="257" width="6.5" style="1411" customWidth="1"/>
    <col min="258" max="258" width="15.5" style="1411" customWidth="1"/>
    <col min="259" max="259" width="13.125" style="1411" customWidth="1"/>
    <col min="260" max="260" width="11.625" style="1411" customWidth="1"/>
    <col min="261" max="262" width="14.5" style="1411"/>
    <col min="263" max="263" width="13.375" style="1411" customWidth="1"/>
    <col min="264" max="264" width="10.5" style="1411" customWidth="1"/>
    <col min="265" max="265" width="9.875" style="1411" customWidth="1"/>
    <col min="266" max="266" width="12.125" style="1411" customWidth="1"/>
    <col min="267" max="267" width="12.875" style="1411" customWidth="1"/>
    <col min="268" max="268" width="8" style="1411" customWidth="1"/>
    <col min="269" max="269" width="11.5" style="1411" customWidth="1"/>
    <col min="270" max="270" width="12.875" style="1411" customWidth="1"/>
    <col min="271" max="271" width="14.5" style="1411"/>
    <col min="272" max="272" width="16.875" style="1411" customWidth="1"/>
    <col min="273" max="273" width="20.5" style="1411" bestFit="1" customWidth="1"/>
    <col min="274" max="512" width="14.5" style="1411"/>
    <col min="513" max="513" width="6.5" style="1411" customWidth="1"/>
    <col min="514" max="514" width="15.5" style="1411" customWidth="1"/>
    <col min="515" max="515" width="13.125" style="1411" customWidth="1"/>
    <col min="516" max="516" width="11.625" style="1411" customWidth="1"/>
    <col min="517" max="518" width="14.5" style="1411"/>
    <col min="519" max="519" width="13.375" style="1411" customWidth="1"/>
    <col min="520" max="520" width="10.5" style="1411" customWidth="1"/>
    <col min="521" max="521" width="9.875" style="1411" customWidth="1"/>
    <col min="522" max="522" width="12.125" style="1411" customWidth="1"/>
    <col min="523" max="523" width="12.875" style="1411" customWidth="1"/>
    <col min="524" max="524" width="8" style="1411" customWidth="1"/>
    <col min="525" max="525" width="11.5" style="1411" customWidth="1"/>
    <col min="526" max="526" width="12.875" style="1411" customWidth="1"/>
    <col min="527" max="527" width="14.5" style="1411"/>
    <col min="528" max="528" width="16.875" style="1411" customWidth="1"/>
    <col min="529" max="529" width="20.5" style="1411" bestFit="1" customWidth="1"/>
    <col min="530" max="768" width="14.5" style="1411"/>
    <col min="769" max="769" width="6.5" style="1411" customWidth="1"/>
    <col min="770" max="770" width="15.5" style="1411" customWidth="1"/>
    <col min="771" max="771" width="13.125" style="1411" customWidth="1"/>
    <col min="772" max="772" width="11.625" style="1411" customWidth="1"/>
    <col min="773" max="774" width="14.5" style="1411"/>
    <col min="775" max="775" width="13.375" style="1411" customWidth="1"/>
    <col min="776" max="776" width="10.5" style="1411" customWidth="1"/>
    <col min="777" max="777" width="9.875" style="1411" customWidth="1"/>
    <col min="778" max="778" width="12.125" style="1411" customWidth="1"/>
    <col min="779" max="779" width="12.875" style="1411" customWidth="1"/>
    <col min="780" max="780" width="8" style="1411" customWidth="1"/>
    <col min="781" max="781" width="11.5" style="1411" customWidth="1"/>
    <col min="782" max="782" width="12.875" style="1411" customWidth="1"/>
    <col min="783" max="783" width="14.5" style="1411"/>
    <col min="784" max="784" width="16.875" style="1411" customWidth="1"/>
    <col min="785" max="785" width="20.5" style="1411" bestFit="1" customWidth="1"/>
    <col min="786" max="1024" width="14.5" style="1411"/>
    <col min="1025" max="1025" width="6.5" style="1411" customWidth="1"/>
    <col min="1026" max="1026" width="15.5" style="1411" customWidth="1"/>
    <col min="1027" max="1027" width="13.125" style="1411" customWidth="1"/>
    <col min="1028" max="1028" width="11.625" style="1411" customWidth="1"/>
    <col min="1029" max="1030" width="14.5" style="1411"/>
    <col min="1031" max="1031" width="13.375" style="1411" customWidth="1"/>
    <col min="1032" max="1032" width="10.5" style="1411" customWidth="1"/>
    <col min="1033" max="1033" width="9.875" style="1411" customWidth="1"/>
    <col min="1034" max="1034" width="12.125" style="1411" customWidth="1"/>
    <col min="1035" max="1035" width="12.875" style="1411" customWidth="1"/>
    <col min="1036" max="1036" width="8" style="1411" customWidth="1"/>
    <col min="1037" max="1037" width="11.5" style="1411" customWidth="1"/>
    <col min="1038" max="1038" width="12.875" style="1411" customWidth="1"/>
    <col min="1039" max="1039" width="14.5" style="1411"/>
    <col min="1040" max="1040" width="16.875" style="1411" customWidth="1"/>
    <col min="1041" max="1041" width="20.5" style="1411" bestFit="1" customWidth="1"/>
    <col min="1042" max="1280" width="14.5" style="1411"/>
    <col min="1281" max="1281" width="6.5" style="1411" customWidth="1"/>
    <col min="1282" max="1282" width="15.5" style="1411" customWidth="1"/>
    <col min="1283" max="1283" width="13.125" style="1411" customWidth="1"/>
    <col min="1284" max="1284" width="11.625" style="1411" customWidth="1"/>
    <col min="1285" max="1286" width="14.5" style="1411"/>
    <col min="1287" max="1287" width="13.375" style="1411" customWidth="1"/>
    <col min="1288" max="1288" width="10.5" style="1411" customWidth="1"/>
    <col min="1289" max="1289" width="9.875" style="1411" customWidth="1"/>
    <col min="1290" max="1290" width="12.125" style="1411" customWidth="1"/>
    <col min="1291" max="1291" width="12.875" style="1411" customWidth="1"/>
    <col min="1292" max="1292" width="8" style="1411" customWidth="1"/>
    <col min="1293" max="1293" width="11.5" style="1411" customWidth="1"/>
    <col min="1294" max="1294" width="12.875" style="1411" customWidth="1"/>
    <col min="1295" max="1295" width="14.5" style="1411"/>
    <col min="1296" max="1296" width="16.875" style="1411" customWidth="1"/>
    <col min="1297" max="1297" width="20.5" style="1411" bestFit="1" customWidth="1"/>
    <col min="1298" max="1536" width="14.5" style="1411"/>
    <col min="1537" max="1537" width="6.5" style="1411" customWidth="1"/>
    <col min="1538" max="1538" width="15.5" style="1411" customWidth="1"/>
    <col min="1539" max="1539" width="13.125" style="1411" customWidth="1"/>
    <col min="1540" max="1540" width="11.625" style="1411" customWidth="1"/>
    <col min="1541" max="1542" width="14.5" style="1411"/>
    <col min="1543" max="1543" width="13.375" style="1411" customWidth="1"/>
    <col min="1544" max="1544" width="10.5" style="1411" customWidth="1"/>
    <col min="1545" max="1545" width="9.875" style="1411" customWidth="1"/>
    <col min="1546" max="1546" width="12.125" style="1411" customWidth="1"/>
    <col min="1547" max="1547" width="12.875" style="1411" customWidth="1"/>
    <col min="1548" max="1548" width="8" style="1411" customWidth="1"/>
    <col min="1549" max="1549" width="11.5" style="1411" customWidth="1"/>
    <col min="1550" max="1550" width="12.875" style="1411" customWidth="1"/>
    <col min="1551" max="1551" width="14.5" style="1411"/>
    <col min="1552" max="1552" width="16.875" style="1411" customWidth="1"/>
    <col min="1553" max="1553" width="20.5" style="1411" bestFit="1" customWidth="1"/>
    <col min="1554" max="1792" width="14.5" style="1411"/>
    <col min="1793" max="1793" width="6.5" style="1411" customWidth="1"/>
    <col min="1794" max="1794" width="15.5" style="1411" customWidth="1"/>
    <col min="1795" max="1795" width="13.125" style="1411" customWidth="1"/>
    <col min="1796" max="1796" width="11.625" style="1411" customWidth="1"/>
    <col min="1797" max="1798" width="14.5" style="1411"/>
    <col min="1799" max="1799" width="13.375" style="1411" customWidth="1"/>
    <col min="1800" max="1800" width="10.5" style="1411" customWidth="1"/>
    <col min="1801" max="1801" width="9.875" style="1411" customWidth="1"/>
    <col min="1802" max="1802" width="12.125" style="1411" customWidth="1"/>
    <col min="1803" max="1803" width="12.875" style="1411" customWidth="1"/>
    <col min="1804" max="1804" width="8" style="1411" customWidth="1"/>
    <col min="1805" max="1805" width="11.5" style="1411" customWidth="1"/>
    <col min="1806" max="1806" width="12.875" style="1411" customWidth="1"/>
    <col min="1807" max="1807" width="14.5" style="1411"/>
    <col min="1808" max="1808" width="16.875" style="1411" customWidth="1"/>
    <col min="1809" max="1809" width="20.5" style="1411" bestFit="1" customWidth="1"/>
    <col min="1810" max="2048" width="14.5" style="1411"/>
    <col min="2049" max="2049" width="6.5" style="1411" customWidth="1"/>
    <col min="2050" max="2050" width="15.5" style="1411" customWidth="1"/>
    <col min="2051" max="2051" width="13.125" style="1411" customWidth="1"/>
    <col min="2052" max="2052" width="11.625" style="1411" customWidth="1"/>
    <col min="2053" max="2054" width="14.5" style="1411"/>
    <col min="2055" max="2055" width="13.375" style="1411" customWidth="1"/>
    <col min="2056" max="2056" width="10.5" style="1411" customWidth="1"/>
    <col min="2057" max="2057" width="9.875" style="1411" customWidth="1"/>
    <col min="2058" max="2058" width="12.125" style="1411" customWidth="1"/>
    <col min="2059" max="2059" width="12.875" style="1411" customWidth="1"/>
    <col min="2060" max="2060" width="8" style="1411" customWidth="1"/>
    <col min="2061" max="2061" width="11.5" style="1411" customWidth="1"/>
    <col min="2062" max="2062" width="12.875" style="1411" customWidth="1"/>
    <col min="2063" max="2063" width="14.5" style="1411"/>
    <col min="2064" max="2064" width="16.875" style="1411" customWidth="1"/>
    <col min="2065" max="2065" width="20.5" style="1411" bestFit="1" customWidth="1"/>
    <col min="2066" max="2304" width="14.5" style="1411"/>
    <col min="2305" max="2305" width="6.5" style="1411" customWidth="1"/>
    <col min="2306" max="2306" width="15.5" style="1411" customWidth="1"/>
    <col min="2307" max="2307" width="13.125" style="1411" customWidth="1"/>
    <col min="2308" max="2308" width="11.625" style="1411" customWidth="1"/>
    <col min="2309" max="2310" width="14.5" style="1411"/>
    <col min="2311" max="2311" width="13.375" style="1411" customWidth="1"/>
    <col min="2312" max="2312" width="10.5" style="1411" customWidth="1"/>
    <col min="2313" max="2313" width="9.875" style="1411" customWidth="1"/>
    <col min="2314" max="2314" width="12.125" style="1411" customWidth="1"/>
    <col min="2315" max="2315" width="12.875" style="1411" customWidth="1"/>
    <col min="2316" max="2316" width="8" style="1411" customWidth="1"/>
    <col min="2317" max="2317" width="11.5" style="1411" customWidth="1"/>
    <col min="2318" max="2318" width="12.875" style="1411" customWidth="1"/>
    <col min="2319" max="2319" width="14.5" style="1411"/>
    <col min="2320" max="2320" width="16.875" style="1411" customWidth="1"/>
    <col min="2321" max="2321" width="20.5" style="1411" bestFit="1" customWidth="1"/>
    <col min="2322" max="2560" width="14.5" style="1411"/>
    <col min="2561" max="2561" width="6.5" style="1411" customWidth="1"/>
    <col min="2562" max="2562" width="15.5" style="1411" customWidth="1"/>
    <col min="2563" max="2563" width="13.125" style="1411" customWidth="1"/>
    <col min="2564" max="2564" width="11.625" style="1411" customWidth="1"/>
    <col min="2565" max="2566" width="14.5" style="1411"/>
    <col min="2567" max="2567" width="13.375" style="1411" customWidth="1"/>
    <col min="2568" max="2568" width="10.5" style="1411" customWidth="1"/>
    <col min="2569" max="2569" width="9.875" style="1411" customWidth="1"/>
    <col min="2570" max="2570" width="12.125" style="1411" customWidth="1"/>
    <col min="2571" max="2571" width="12.875" style="1411" customWidth="1"/>
    <col min="2572" max="2572" width="8" style="1411" customWidth="1"/>
    <col min="2573" max="2573" width="11.5" style="1411" customWidth="1"/>
    <col min="2574" max="2574" width="12.875" style="1411" customWidth="1"/>
    <col min="2575" max="2575" width="14.5" style="1411"/>
    <col min="2576" max="2576" width="16.875" style="1411" customWidth="1"/>
    <col min="2577" max="2577" width="20.5" style="1411" bestFit="1" customWidth="1"/>
    <col min="2578" max="2816" width="14.5" style="1411"/>
    <col min="2817" max="2817" width="6.5" style="1411" customWidth="1"/>
    <col min="2818" max="2818" width="15.5" style="1411" customWidth="1"/>
    <col min="2819" max="2819" width="13.125" style="1411" customWidth="1"/>
    <col min="2820" max="2820" width="11.625" style="1411" customWidth="1"/>
    <col min="2821" max="2822" width="14.5" style="1411"/>
    <col min="2823" max="2823" width="13.375" style="1411" customWidth="1"/>
    <col min="2824" max="2824" width="10.5" style="1411" customWidth="1"/>
    <col min="2825" max="2825" width="9.875" style="1411" customWidth="1"/>
    <col min="2826" max="2826" width="12.125" style="1411" customWidth="1"/>
    <col min="2827" max="2827" width="12.875" style="1411" customWidth="1"/>
    <col min="2828" max="2828" width="8" style="1411" customWidth="1"/>
    <col min="2829" max="2829" width="11.5" style="1411" customWidth="1"/>
    <col min="2830" max="2830" width="12.875" style="1411" customWidth="1"/>
    <col min="2831" max="2831" width="14.5" style="1411"/>
    <col min="2832" max="2832" width="16.875" style="1411" customWidth="1"/>
    <col min="2833" max="2833" width="20.5" style="1411" bestFit="1" customWidth="1"/>
    <col min="2834" max="3072" width="14.5" style="1411"/>
    <col min="3073" max="3073" width="6.5" style="1411" customWidth="1"/>
    <col min="3074" max="3074" width="15.5" style="1411" customWidth="1"/>
    <col min="3075" max="3075" width="13.125" style="1411" customWidth="1"/>
    <col min="3076" max="3076" width="11.625" style="1411" customWidth="1"/>
    <col min="3077" max="3078" width="14.5" style="1411"/>
    <col min="3079" max="3079" width="13.375" style="1411" customWidth="1"/>
    <col min="3080" max="3080" width="10.5" style="1411" customWidth="1"/>
    <col min="3081" max="3081" width="9.875" style="1411" customWidth="1"/>
    <col min="3082" max="3082" width="12.125" style="1411" customWidth="1"/>
    <col min="3083" max="3083" width="12.875" style="1411" customWidth="1"/>
    <col min="3084" max="3084" width="8" style="1411" customWidth="1"/>
    <col min="3085" max="3085" width="11.5" style="1411" customWidth="1"/>
    <col min="3086" max="3086" width="12.875" style="1411" customWidth="1"/>
    <col min="3087" max="3087" width="14.5" style="1411"/>
    <col min="3088" max="3088" width="16.875" style="1411" customWidth="1"/>
    <col min="3089" max="3089" width="20.5" style="1411" bestFit="1" customWidth="1"/>
    <col min="3090" max="3328" width="14.5" style="1411"/>
    <col min="3329" max="3329" width="6.5" style="1411" customWidth="1"/>
    <col min="3330" max="3330" width="15.5" style="1411" customWidth="1"/>
    <col min="3331" max="3331" width="13.125" style="1411" customWidth="1"/>
    <col min="3332" max="3332" width="11.625" style="1411" customWidth="1"/>
    <col min="3333" max="3334" width="14.5" style="1411"/>
    <col min="3335" max="3335" width="13.375" style="1411" customWidth="1"/>
    <col min="3336" max="3336" width="10.5" style="1411" customWidth="1"/>
    <col min="3337" max="3337" width="9.875" style="1411" customWidth="1"/>
    <col min="3338" max="3338" width="12.125" style="1411" customWidth="1"/>
    <col min="3339" max="3339" width="12.875" style="1411" customWidth="1"/>
    <col min="3340" max="3340" width="8" style="1411" customWidth="1"/>
    <col min="3341" max="3341" width="11.5" style="1411" customWidth="1"/>
    <col min="3342" max="3342" width="12.875" style="1411" customWidth="1"/>
    <col min="3343" max="3343" width="14.5" style="1411"/>
    <col min="3344" max="3344" width="16.875" style="1411" customWidth="1"/>
    <col min="3345" max="3345" width="20.5" style="1411" bestFit="1" customWidth="1"/>
    <col min="3346" max="3584" width="14.5" style="1411"/>
    <col min="3585" max="3585" width="6.5" style="1411" customWidth="1"/>
    <col min="3586" max="3586" width="15.5" style="1411" customWidth="1"/>
    <col min="3587" max="3587" width="13.125" style="1411" customWidth="1"/>
    <col min="3588" max="3588" width="11.625" style="1411" customWidth="1"/>
    <col min="3589" max="3590" width="14.5" style="1411"/>
    <col min="3591" max="3591" width="13.375" style="1411" customWidth="1"/>
    <col min="3592" max="3592" width="10.5" style="1411" customWidth="1"/>
    <col min="3593" max="3593" width="9.875" style="1411" customWidth="1"/>
    <col min="3594" max="3594" width="12.125" style="1411" customWidth="1"/>
    <col min="3595" max="3595" width="12.875" style="1411" customWidth="1"/>
    <col min="3596" max="3596" width="8" style="1411" customWidth="1"/>
    <col min="3597" max="3597" width="11.5" style="1411" customWidth="1"/>
    <col min="3598" max="3598" width="12.875" style="1411" customWidth="1"/>
    <col min="3599" max="3599" width="14.5" style="1411"/>
    <col min="3600" max="3600" width="16.875" style="1411" customWidth="1"/>
    <col min="3601" max="3601" width="20.5" style="1411" bestFit="1" customWidth="1"/>
    <col min="3602" max="3840" width="14.5" style="1411"/>
    <col min="3841" max="3841" width="6.5" style="1411" customWidth="1"/>
    <col min="3842" max="3842" width="15.5" style="1411" customWidth="1"/>
    <col min="3843" max="3843" width="13.125" style="1411" customWidth="1"/>
    <col min="3844" max="3844" width="11.625" style="1411" customWidth="1"/>
    <col min="3845" max="3846" width="14.5" style="1411"/>
    <col min="3847" max="3847" width="13.375" style="1411" customWidth="1"/>
    <col min="3848" max="3848" width="10.5" style="1411" customWidth="1"/>
    <col min="3849" max="3849" width="9.875" style="1411" customWidth="1"/>
    <col min="3850" max="3850" width="12.125" style="1411" customWidth="1"/>
    <col min="3851" max="3851" width="12.875" style="1411" customWidth="1"/>
    <col min="3852" max="3852" width="8" style="1411" customWidth="1"/>
    <col min="3853" max="3853" width="11.5" style="1411" customWidth="1"/>
    <col min="3854" max="3854" width="12.875" style="1411" customWidth="1"/>
    <col min="3855" max="3855" width="14.5" style="1411"/>
    <col min="3856" max="3856" width="16.875" style="1411" customWidth="1"/>
    <col min="3857" max="3857" width="20.5" style="1411" bestFit="1" customWidth="1"/>
    <col min="3858" max="4096" width="14.5" style="1411"/>
    <col min="4097" max="4097" width="6.5" style="1411" customWidth="1"/>
    <col min="4098" max="4098" width="15.5" style="1411" customWidth="1"/>
    <col min="4099" max="4099" width="13.125" style="1411" customWidth="1"/>
    <col min="4100" max="4100" width="11.625" style="1411" customWidth="1"/>
    <col min="4101" max="4102" width="14.5" style="1411"/>
    <col min="4103" max="4103" width="13.375" style="1411" customWidth="1"/>
    <col min="4104" max="4104" width="10.5" style="1411" customWidth="1"/>
    <col min="4105" max="4105" width="9.875" style="1411" customWidth="1"/>
    <col min="4106" max="4106" width="12.125" style="1411" customWidth="1"/>
    <col min="4107" max="4107" width="12.875" style="1411" customWidth="1"/>
    <col min="4108" max="4108" width="8" style="1411" customWidth="1"/>
    <col min="4109" max="4109" width="11.5" style="1411" customWidth="1"/>
    <col min="4110" max="4110" width="12.875" style="1411" customWidth="1"/>
    <col min="4111" max="4111" width="14.5" style="1411"/>
    <col min="4112" max="4112" width="16.875" style="1411" customWidth="1"/>
    <col min="4113" max="4113" width="20.5" style="1411" bestFit="1" customWidth="1"/>
    <col min="4114" max="4352" width="14.5" style="1411"/>
    <col min="4353" max="4353" width="6.5" style="1411" customWidth="1"/>
    <col min="4354" max="4354" width="15.5" style="1411" customWidth="1"/>
    <col min="4355" max="4355" width="13.125" style="1411" customWidth="1"/>
    <col min="4356" max="4356" width="11.625" style="1411" customWidth="1"/>
    <col min="4357" max="4358" width="14.5" style="1411"/>
    <col min="4359" max="4359" width="13.375" style="1411" customWidth="1"/>
    <col min="4360" max="4360" width="10.5" style="1411" customWidth="1"/>
    <col min="4361" max="4361" width="9.875" style="1411" customWidth="1"/>
    <col min="4362" max="4362" width="12.125" style="1411" customWidth="1"/>
    <col min="4363" max="4363" width="12.875" style="1411" customWidth="1"/>
    <col min="4364" max="4364" width="8" style="1411" customWidth="1"/>
    <col min="4365" max="4365" width="11.5" style="1411" customWidth="1"/>
    <col min="4366" max="4366" width="12.875" style="1411" customWidth="1"/>
    <col min="4367" max="4367" width="14.5" style="1411"/>
    <col min="4368" max="4368" width="16.875" style="1411" customWidth="1"/>
    <col min="4369" max="4369" width="20.5" style="1411" bestFit="1" customWidth="1"/>
    <col min="4370" max="4608" width="14.5" style="1411"/>
    <col min="4609" max="4609" width="6.5" style="1411" customWidth="1"/>
    <col min="4610" max="4610" width="15.5" style="1411" customWidth="1"/>
    <col min="4611" max="4611" width="13.125" style="1411" customWidth="1"/>
    <col min="4612" max="4612" width="11.625" style="1411" customWidth="1"/>
    <col min="4613" max="4614" width="14.5" style="1411"/>
    <col min="4615" max="4615" width="13.375" style="1411" customWidth="1"/>
    <col min="4616" max="4616" width="10.5" style="1411" customWidth="1"/>
    <col min="4617" max="4617" width="9.875" style="1411" customWidth="1"/>
    <col min="4618" max="4618" width="12.125" style="1411" customWidth="1"/>
    <col min="4619" max="4619" width="12.875" style="1411" customWidth="1"/>
    <col min="4620" max="4620" width="8" style="1411" customWidth="1"/>
    <col min="4621" max="4621" width="11.5" style="1411" customWidth="1"/>
    <col min="4622" max="4622" width="12.875" style="1411" customWidth="1"/>
    <col min="4623" max="4623" width="14.5" style="1411"/>
    <col min="4624" max="4624" width="16.875" style="1411" customWidth="1"/>
    <col min="4625" max="4625" width="20.5" style="1411" bestFit="1" customWidth="1"/>
    <col min="4626" max="4864" width="14.5" style="1411"/>
    <col min="4865" max="4865" width="6.5" style="1411" customWidth="1"/>
    <col min="4866" max="4866" width="15.5" style="1411" customWidth="1"/>
    <col min="4867" max="4867" width="13.125" style="1411" customWidth="1"/>
    <col min="4868" max="4868" width="11.625" style="1411" customWidth="1"/>
    <col min="4869" max="4870" width="14.5" style="1411"/>
    <col min="4871" max="4871" width="13.375" style="1411" customWidth="1"/>
    <col min="4872" max="4872" width="10.5" style="1411" customWidth="1"/>
    <col min="4873" max="4873" width="9.875" style="1411" customWidth="1"/>
    <col min="4874" max="4874" width="12.125" style="1411" customWidth="1"/>
    <col min="4875" max="4875" width="12.875" style="1411" customWidth="1"/>
    <col min="4876" max="4876" width="8" style="1411" customWidth="1"/>
    <col min="4877" max="4877" width="11.5" style="1411" customWidth="1"/>
    <col min="4878" max="4878" width="12.875" style="1411" customWidth="1"/>
    <col min="4879" max="4879" width="14.5" style="1411"/>
    <col min="4880" max="4880" width="16.875" style="1411" customWidth="1"/>
    <col min="4881" max="4881" width="20.5" style="1411" bestFit="1" customWidth="1"/>
    <col min="4882" max="5120" width="14.5" style="1411"/>
    <col min="5121" max="5121" width="6.5" style="1411" customWidth="1"/>
    <col min="5122" max="5122" width="15.5" style="1411" customWidth="1"/>
    <col min="5123" max="5123" width="13.125" style="1411" customWidth="1"/>
    <col min="5124" max="5124" width="11.625" style="1411" customWidth="1"/>
    <col min="5125" max="5126" width="14.5" style="1411"/>
    <col min="5127" max="5127" width="13.375" style="1411" customWidth="1"/>
    <col min="5128" max="5128" width="10.5" style="1411" customWidth="1"/>
    <col min="5129" max="5129" width="9.875" style="1411" customWidth="1"/>
    <col min="5130" max="5130" width="12.125" style="1411" customWidth="1"/>
    <col min="5131" max="5131" width="12.875" style="1411" customWidth="1"/>
    <col min="5132" max="5132" width="8" style="1411" customWidth="1"/>
    <col min="5133" max="5133" width="11.5" style="1411" customWidth="1"/>
    <col min="5134" max="5134" width="12.875" style="1411" customWidth="1"/>
    <col min="5135" max="5135" width="14.5" style="1411"/>
    <col min="5136" max="5136" width="16.875" style="1411" customWidth="1"/>
    <col min="5137" max="5137" width="20.5" style="1411" bestFit="1" customWidth="1"/>
    <col min="5138" max="5376" width="14.5" style="1411"/>
    <col min="5377" max="5377" width="6.5" style="1411" customWidth="1"/>
    <col min="5378" max="5378" width="15.5" style="1411" customWidth="1"/>
    <col min="5379" max="5379" width="13.125" style="1411" customWidth="1"/>
    <col min="5380" max="5380" width="11.625" style="1411" customWidth="1"/>
    <col min="5381" max="5382" width="14.5" style="1411"/>
    <col min="5383" max="5383" width="13.375" style="1411" customWidth="1"/>
    <col min="5384" max="5384" width="10.5" style="1411" customWidth="1"/>
    <col min="5385" max="5385" width="9.875" style="1411" customWidth="1"/>
    <col min="5386" max="5386" width="12.125" style="1411" customWidth="1"/>
    <col min="5387" max="5387" width="12.875" style="1411" customWidth="1"/>
    <col min="5388" max="5388" width="8" style="1411" customWidth="1"/>
    <col min="5389" max="5389" width="11.5" style="1411" customWidth="1"/>
    <col min="5390" max="5390" width="12.875" style="1411" customWidth="1"/>
    <col min="5391" max="5391" width="14.5" style="1411"/>
    <col min="5392" max="5392" width="16.875" style="1411" customWidth="1"/>
    <col min="5393" max="5393" width="20.5" style="1411" bestFit="1" customWidth="1"/>
    <col min="5394" max="5632" width="14.5" style="1411"/>
    <col min="5633" max="5633" width="6.5" style="1411" customWidth="1"/>
    <col min="5634" max="5634" width="15.5" style="1411" customWidth="1"/>
    <col min="5635" max="5635" width="13.125" style="1411" customWidth="1"/>
    <col min="5636" max="5636" width="11.625" style="1411" customWidth="1"/>
    <col min="5637" max="5638" width="14.5" style="1411"/>
    <col min="5639" max="5639" width="13.375" style="1411" customWidth="1"/>
    <col min="5640" max="5640" width="10.5" style="1411" customWidth="1"/>
    <col min="5641" max="5641" width="9.875" style="1411" customWidth="1"/>
    <col min="5642" max="5642" width="12.125" style="1411" customWidth="1"/>
    <col min="5643" max="5643" width="12.875" style="1411" customWidth="1"/>
    <col min="5644" max="5644" width="8" style="1411" customWidth="1"/>
    <col min="5645" max="5645" width="11.5" style="1411" customWidth="1"/>
    <col min="5646" max="5646" width="12.875" style="1411" customWidth="1"/>
    <col min="5647" max="5647" width="14.5" style="1411"/>
    <col min="5648" max="5648" width="16.875" style="1411" customWidth="1"/>
    <col min="5649" max="5649" width="20.5" style="1411" bestFit="1" customWidth="1"/>
    <col min="5650" max="5888" width="14.5" style="1411"/>
    <col min="5889" max="5889" width="6.5" style="1411" customWidth="1"/>
    <col min="5890" max="5890" width="15.5" style="1411" customWidth="1"/>
    <col min="5891" max="5891" width="13.125" style="1411" customWidth="1"/>
    <col min="5892" max="5892" width="11.625" style="1411" customWidth="1"/>
    <col min="5893" max="5894" width="14.5" style="1411"/>
    <col min="5895" max="5895" width="13.375" style="1411" customWidth="1"/>
    <col min="5896" max="5896" width="10.5" style="1411" customWidth="1"/>
    <col min="5897" max="5897" width="9.875" style="1411" customWidth="1"/>
    <col min="5898" max="5898" width="12.125" style="1411" customWidth="1"/>
    <col min="5899" max="5899" width="12.875" style="1411" customWidth="1"/>
    <col min="5900" max="5900" width="8" style="1411" customWidth="1"/>
    <col min="5901" max="5901" width="11.5" style="1411" customWidth="1"/>
    <col min="5902" max="5902" width="12.875" style="1411" customWidth="1"/>
    <col min="5903" max="5903" width="14.5" style="1411"/>
    <col min="5904" max="5904" width="16.875" style="1411" customWidth="1"/>
    <col min="5905" max="5905" width="20.5" style="1411" bestFit="1" customWidth="1"/>
    <col min="5906" max="6144" width="14.5" style="1411"/>
    <col min="6145" max="6145" width="6.5" style="1411" customWidth="1"/>
    <col min="6146" max="6146" width="15.5" style="1411" customWidth="1"/>
    <col min="6147" max="6147" width="13.125" style="1411" customWidth="1"/>
    <col min="6148" max="6148" width="11.625" style="1411" customWidth="1"/>
    <col min="6149" max="6150" width="14.5" style="1411"/>
    <col min="6151" max="6151" width="13.375" style="1411" customWidth="1"/>
    <col min="6152" max="6152" width="10.5" style="1411" customWidth="1"/>
    <col min="6153" max="6153" width="9.875" style="1411" customWidth="1"/>
    <col min="6154" max="6154" width="12.125" style="1411" customWidth="1"/>
    <col min="6155" max="6155" width="12.875" style="1411" customWidth="1"/>
    <col min="6156" max="6156" width="8" style="1411" customWidth="1"/>
    <col min="6157" max="6157" width="11.5" style="1411" customWidth="1"/>
    <col min="6158" max="6158" width="12.875" style="1411" customWidth="1"/>
    <col min="6159" max="6159" width="14.5" style="1411"/>
    <col min="6160" max="6160" width="16.875" style="1411" customWidth="1"/>
    <col min="6161" max="6161" width="20.5" style="1411" bestFit="1" customWidth="1"/>
    <col min="6162" max="6400" width="14.5" style="1411"/>
    <col min="6401" max="6401" width="6.5" style="1411" customWidth="1"/>
    <col min="6402" max="6402" width="15.5" style="1411" customWidth="1"/>
    <col min="6403" max="6403" width="13.125" style="1411" customWidth="1"/>
    <col min="6404" max="6404" width="11.625" style="1411" customWidth="1"/>
    <col min="6405" max="6406" width="14.5" style="1411"/>
    <col min="6407" max="6407" width="13.375" style="1411" customWidth="1"/>
    <col min="6408" max="6408" width="10.5" style="1411" customWidth="1"/>
    <col min="6409" max="6409" width="9.875" style="1411" customWidth="1"/>
    <col min="6410" max="6410" width="12.125" style="1411" customWidth="1"/>
    <col min="6411" max="6411" width="12.875" style="1411" customWidth="1"/>
    <col min="6412" max="6412" width="8" style="1411" customWidth="1"/>
    <col min="6413" max="6413" width="11.5" style="1411" customWidth="1"/>
    <col min="6414" max="6414" width="12.875" style="1411" customWidth="1"/>
    <col min="6415" max="6415" width="14.5" style="1411"/>
    <col min="6416" max="6416" width="16.875" style="1411" customWidth="1"/>
    <col min="6417" max="6417" width="20.5" style="1411" bestFit="1" customWidth="1"/>
    <col min="6418" max="6656" width="14.5" style="1411"/>
    <col min="6657" max="6657" width="6.5" style="1411" customWidth="1"/>
    <col min="6658" max="6658" width="15.5" style="1411" customWidth="1"/>
    <col min="6659" max="6659" width="13.125" style="1411" customWidth="1"/>
    <col min="6660" max="6660" width="11.625" style="1411" customWidth="1"/>
    <col min="6661" max="6662" width="14.5" style="1411"/>
    <col min="6663" max="6663" width="13.375" style="1411" customWidth="1"/>
    <col min="6664" max="6664" width="10.5" style="1411" customWidth="1"/>
    <col min="6665" max="6665" width="9.875" style="1411" customWidth="1"/>
    <col min="6666" max="6666" width="12.125" style="1411" customWidth="1"/>
    <col min="6667" max="6667" width="12.875" style="1411" customWidth="1"/>
    <col min="6668" max="6668" width="8" style="1411" customWidth="1"/>
    <col min="6669" max="6669" width="11.5" style="1411" customWidth="1"/>
    <col min="6670" max="6670" width="12.875" style="1411" customWidth="1"/>
    <col min="6671" max="6671" width="14.5" style="1411"/>
    <col min="6672" max="6672" width="16.875" style="1411" customWidth="1"/>
    <col min="6673" max="6673" width="20.5" style="1411" bestFit="1" customWidth="1"/>
    <col min="6674" max="6912" width="14.5" style="1411"/>
    <col min="6913" max="6913" width="6.5" style="1411" customWidth="1"/>
    <col min="6914" max="6914" width="15.5" style="1411" customWidth="1"/>
    <col min="6915" max="6915" width="13.125" style="1411" customWidth="1"/>
    <col min="6916" max="6916" width="11.625" style="1411" customWidth="1"/>
    <col min="6917" max="6918" width="14.5" style="1411"/>
    <col min="6919" max="6919" width="13.375" style="1411" customWidth="1"/>
    <col min="6920" max="6920" width="10.5" style="1411" customWidth="1"/>
    <col min="6921" max="6921" width="9.875" style="1411" customWidth="1"/>
    <col min="6922" max="6922" width="12.125" style="1411" customWidth="1"/>
    <col min="6923" max="6923" width="12.875" style="1411" customWidth="1"/>
    <col min="6924" max="6924" width="8" style="1411" customWidth="1"/>
    <col min="6925" max="6925" width="11.5" style="1411" customWidth="1"/>
    <col min="6926" max="6926" width="12.875" style="1411" customWidth="1"/>
    <col min="6927" max="6927" width="14.5" style="1411"/>
    <col min="6928" max="6928" width="16.875" style="1411" customWidth="1"/>
    <col min="6929" max="6929" width="20.5" style="1411" bestFit="1" customWidth="1"/>
    <col min="6930" max="7168" width="14.5" style="1411"/>
    <col min="7169" max="7169" width="6.5" style="1411" customWidth="1"/>
    <col min="7170" max="7170" width="15.5" style="1411" customWidth="1"/>
    <col min="7171" max="7171" width="13.125" style="1411" customWidth="1"/>
    <col min="7172" max="7172" width="11.625" style="1411" customWidth="1"/>
    <col min="7173" max="7174" width="14.5" style="1411"/>
    <col min="7175" max="7175" width="13.375" style="1411" customWidth="1"/>
    <col min="7176" max="7176" width="10.5" style="1411" customWidth="1"/>
    <col min="7177" max="7177" width="9.875" style="1411" customWidth="1"/>
    <col min="7178" max="7178" width="12.125" style="1411" customWidth="1"/>
    <col min="7179" max="7179" width="12.875" style="1411" customWidth="1"/>
    <col min="7180" max="7180" width="8" style="1411" customWidth="1"/>
    <col min="7181" max="7181" width="11.5" style="1411" customWidth="1"/>
    <col min="7182" max="7182" width="12.875" style="1411" customWidth="1"/>
    <col min="7183" max="7183" width="14.5" style="1411"/>
    <col min="7184" max="7184" width="16.875" style="1411" customWidth="1"/>
    <col min="7185" max="7185" width="20.5" style="1411" bestFit="1" customWidth="1"/>
    <col min="7186" max="7424" width="14.5" style="1411"/>
    <col min="7425" max="7425" width="6.5" style="1411" customWidth="1"/>
    <col min="7426" max="7426" width="15.5" style="1411" customWidth="1"/>
    <col min="7427" max="7427" width="13.125" style="1411" customWidth="1"/>
    <col min="7428" max="7428" width="11.625" style="1411" customWidth="1"/>
    <col min="7429" max="7430" width="14.5" style="1411"/>
    <col min="7431" max="7431" width="13.375" style="1411" customWidth="1"/>
    <col min="7432" max="7432" width="10.5" style="1411" customWidth="1"/>
    <col min="7433" max="7433" width="9.875" style="1411" customWidth="1"/>
    <col min="7434" max="7434" width="12.125" style="1411" customWidth="1"/>
    <col min="7435" max="7435" width="12.875" style="1411" customWidth="1"/>
    <col min="7436" max="7436" width="8" style="1411" customWidth="1"/>
    <col min="7437" max="7437" width="11.5" style="1411" customWidth="1"/>
    <col min="7438" max="7438" width="12.875" style="1411" customWidth="1"/>
    <col min="7439" max="7439" width="14.5" style="1411"/>
    <col min="7440" max="7440" width="16.875" style="1411" customWidth="1"/>
    <col min="7441" max="7441" width="20.5" style="1411" bestFit="1" customWidth="1"/>
    <col min="7442" max="7680" width="14.5" style="1411"/>
    <col min="7681" max="7681" width="6.5" style="1411" customWidth="1"/>
    <col min="7682" max="7682" width="15.5" style="1411" customWidth="1"/>
    <col min="7683" max="7683" width="13.125" style="1411" customWidth="1"/>
    <col min="7684" max="7684" width="11.625" style="1411" customWidth="1"/>
    <col min="7685" max="7686" width="14.5" style="1411"/>
    <col min="7687" max="7687" width="13.375" style="1411" customWidth="1"/>
    <col min="7688" max="7688" width="10.5" style="1411" customWidth="1"/>
    <col min="7689" max="7689" width="9.875" style="1411" customWidth="1"/>
    <col min="7690" max="7690" width="12.125" style="1411" customWidth="1"/>
    <col min="7691" max="7691" width="12.875" style="1411" customWidth="1"/>
    <col min="7692" max="7692" width="8" style="1411" customWidth="1"/>
    <col min="7693" max="7693" width="11.5" style="1411" customWidth="1"/>
    <col min="7694" max="7694" width="12.875" style="1411" customWidth="1"/>
    <col min="7695" max="7695" width="14.5" style="1411"/>
    <col min="7696" max="7696" width="16.875" style="1411" customWidth="1"/>
    <col min="7697" max="7697" width="20.5" style="1411" bestFit="1" customWidth="1"/>
    <col min="7698" max="7936" width="14.5" style="1411"/>
    <col min="7937" max="7937" width="6.5" style="1411" customWidth="1"/>
    <col min="7938" max="7938" width="15.5" style="1411" customWidth="1"/>
    <col min="7939" max="7939" width="13.125" style="1411" customWidth="1"/>
    <col min="7940" max="7940" width="11.625" style="1411" customWidth="1"/>
    <col min="7941" max="7942" width="14.5" style="1411"/>
    <col min="7943" max="7943" width="13.375" style="1411" customWidth="1"/>
    <col min="7944" max="7944" width="10.5" style="1411" customWidth="1"/>
    <col min="7945" max="7945" width="9.875" style="1411" customWidth="1"/>
    <col min="7946" max="7946" width="12.125" style="1411" customWidth="1"/>
    <col min="7947" max="7947" width="12.875" style="1411" customWidth="1"/>
    <col min="7948" max="7948" width="8" style="1411" customWidth="1"/>
    <col min="7949" max="7949" width="11.5" style="1411" customWidth="1"/>
    <col min="7950" max="7950" width="12.875" style="1411" customWidth="1"/>
    <col min="7951" max="7951" width="14.5" style="1411"/>
    <col min="7952" max="7952" width="16.875" style="1411" customWidth="1"/>
    <col min="7953" max="7953" width="20.5" style="1411" bestFit="1" customWidth="1"/>
    <col min="7954" max="8192" width="14.5" style="1411"/>
    <col min="8193" max="8193" width="6.5" style="1411" customWidth="1"/>
    <col min="8194" max="8194" width="15.5" style="1411" customWidth="1"/>
    <col min="8195" max="8195" width="13.125" style="1411" customWidth="1"/>
    <col min="8196" max="8196" width="11.625" style="1411" customWidth="1"/>
    <col min="8197" max="8198" width="14.5" style="1411"/>
    <col min="8199" max="8199" width="13.375" style="1411" customWidth="1"/>
    <col min="8200" max="8200" width="10.5" style="1411" customWidth="1"/>
    <col min="8201" max="8201" width="9.875" style="1411" customWidth="1"/>
    <col min="8202" max="8202" width="12.125" style="1411" customWidth="1"/>
    <col min="8203" max="8203" width="12.875" style="1411" customWidth="1"/>
    <col min="8204" max="8204" width="8" style="1411" customWidth="1"/>
    <col min="8205" max="8205" width="11.5" style="1411" customWidth="1"/>
    <col min="8206" max="8206" width="12.875" style="1411" customWidth="1"/>
    <col min="8207" max="8207" width="14.5" style="1411"/>
    <col min="8208" max="8208" width="16.875" style="1411" customWidth="1"/>
    <col min="8209" max="8209" width="20.5" style="1411" bestFit="1" customWidth="1"/>
    <col min="8210" max="8448" width="14.5" style="1411"/>
    <col min="8449" max="8449" width="6.5" style="1411" customWidth="1"/>
    <col min="8450" max="8450" width="15.5" style="1411" customWidth="1"/>
    <col min="8451" max="8451" width="13.125" style="1411" customWidth="1"/>
    <col min="8452" max="8452" width="11.625" style="1411" customWidth="1"/>
    <col min="8453" max="8454" width="14.5" style="1411"/>
    <col min="8455" max="8455" width="13.375" style="1411" customWidth="1"/>
    <col min="8456" max="8456" width="10.5" style="1411" customWidth="1"/>
    <col min="8457" max="8457" width="9.875" style="1411" customWidth="1"/>
    <col min="8458" max="8458" width="12.125" style="1411" customWidth="1"/>
    <col min="8459" max="8459" width="12.875" style="1411" customWidth="1"/>
    <col min="8460" max="8460" width="8" style="1411" customWidth="1"/>
    <col min="8461" max="8461" width="11.5" style="1411" customWidth="1"/>
    <col min="8462" max="8462" width="12.875" style="1411" customWidth="1"/>
    <col min="8463" max="8463" width="14.5" style="1411"/>
    <col min="8464" max="8464" width="16.875" style="1411" customWidth="1"/>
    <col min="8465" max="8465" width="20.5" style="1411" bestFit="1" customWidth="1"/>
    <col min="8466" max="8704" width="14.5" style="1411"/>
    <col min="8705" max="8705" width="6.5" style="1411" customWidth="1"/>
    <col min="8706" max="8706" width="15.5" style="1411" customWidth="1"/>
    <col min="8707" max="8707" width="13.125" style="1411" customWidth="1"/>
    <col min="8708" max="8708" width="11.625" style="1411" customWidth="1"/>
    <col min="8709" max="8710" width="14.5" style="1411"/>
    <col min="8711" max="8711" width="13.375" style="1411" customWidth="1"/>
    <col min="8712" max="8712" width="10.5" style="1411" customWidth="1"/>
    <col min="8713" max="8713" width="9.875" style="1411" customWidth="1"/>
    <col min="8714" max="8714" width="12.125" style="1411" customWidth="1"/>
    <col min="8715" max="8715" width="12.875" style="1411" customWidth="1"/>
    <col min="8716" max="8716" width="8" style="1411" customWidth="1"/>
    <col min="8717" max="8717" width="11.5" style="1411" customWidth="1"/>
    <col min="8718" max="8718" width="12.875" style="1411" customWidth="1"/>
    <col min="8719" max="8719" width="14.5" style="1411"/>
    <col min="8720" max="8720" width="16.875" style="1411" customWidth="1"/>
    <col min="8721" max="8721" width="20.5" style="1411" bestFit="1" customWidth="1"/>
    <col min="8722" max="8960" width="14.5" style="1411"/>
    <col min="8961" max="8961" width="6.5" style="1411" customWidth="1"/>
    <col min="8962" max="8962" width="15.5" style="1411" customWidth="1"/>
    <col min="8963" max="8963" width="13.125" style="1411" customWidth="1"/>
    <col min="8964" max="8964" width="11.625" style="1411" customWidth="1"/>
    <col min="8965" max="8966" width="14.5" style="1411"/>
    <col min="8967" max="8967" width="13.375" style="1411" customWidth="1"/>
    <col min="8968" max="8968" width="10.5" style="1411" customWidth="1"/>
    <col min="8969" max="8969" width="9.875" style="1411" customWidth="1"/>
    <col min="8970" max="8970" width="12.125" style="1411" customWidth="1"/>
    <col min="8971" max="8971" width="12.875" style="1411" customWidth="1"/>
    <col min="8972" max="8972" width="8" style="1411" customWidth="1"/>
    <col min="8973" max="8973" width="11.5" style="1411" customWidth="1"/>
    <col min="8974" max="8974" width="12.875" style="1411" customWidth="1"/>
    <col min="8975" max="8975" width="14.5" style="1411"/>
    <col min="8976" max="8976" width="16.875" style="1411" customWidth="1"/>
    <col min="8977" max="8977" width="20.5" style="1411" bestFit="1" customWidth="1"/>
    <col min="8978" max="9216" width="14.5" style="1411"/>
    <col min="9217" max="9217" width="6.5" style="1411" customWidth="1"/>
    <col min="9218" max="9218" width="15.5" style="1411" customWidth="1"/>
    <col min="9219" max="9219" width="13.125" style="1411" customWidth="1"/>
    <col min="9220" max="9220" width="11.625" style="1411" customWidth="1"/>
    <col min="9221" max="9222" width="14.5" style="1411"/>
    <col min="9223" max="9223" width="13.375" style="1411" customWidth="1"/>
    <col min="9224" max="9224" width="10.5" style="1411" customWidth="1"/>
    <col min="9225" max="9225" width="9.875" style="1411" customWidth="1"/>
    <col min="9226" max="9226" width="12.125" style="1411" customWidth="1"/>
    <col min="9227" max="9227" width="12.875" style="1411" customWidth="1"/>
    <col min="9228" max="9228" width="8" style="1411" customWidth="1"/>
    <col min="9229" max="9229" width="11.5" style="1411" customWidth="1"/>
    <col min="9230" max="9230" width="12.875" style="1411" customWidth="1"/>
    <col min="9231" max="9231" width="14.5" style="1411"/>
    <col min="9232" max="9232" width="16.875" style="1411" customWidth="1"/>
    <col min="9233" max="9233" width="20.5" style="1411" bestFit="1" customWidth="1"/>
    <col min="9234" max="9472" width="14.5" style="1411"/>
    <col min="9473" max="9473" width="6.5" style="1411" customWidth="1"/>
    <col min="9474" max="9474" width="15.5" style="1411" customWidth="1"/>
    <col min="9475" max="9475" width="13.125" style="1411" customWidth="1"/>
    <col min="9476" max="9476" width="11.625" style="1411" customWidth="1"/>
    <col min="9477" max="9478" width="14.5" style="1411"/>
    <col min="9479" max="9479" width="13.375" style="1411" customWidth="1"/>
    <col min="9480" max="9480" width="10.5" style="1411" customWidth="1"/>
    <col min="9481" max="9481" width="9.875" style="1411" customWidth="1"/>
    <col min="9482" max="9482" width="12.125" style="1411" customWidth="1"/>
    <col min="9483" max="9483" width="12.875" style="1411" customWidth="1"/>
    <col min="9484" max="9484" width="8" style="1411" customWidth="1"/>
    <col min="9485" max="9485" width="11.5" style="1411" customWidth="1"/>
    <col min="9486" max="9486" width="12.875" style="1411" customWidth="1"/>
    <col min="9487" max="9487" width="14.5" style="1411"/>
    <col min="9488" max="9488" width="16.875" style="1411" customWidth="1"/>
    <col min="9489" max="9489" width="20.5" style="1411" bestFit="1" customWidth="1"/>
    <col min="9490" max="9728" width="14.5" style="1411"/>
    <col min="9729" max="9729" width="6.5" style="1411" customWidth="1"/>
    <col min="9730" max="9730" width="15.5" style="1411" customWidth="1"/>
    <col min="9731" max="9731" width="13.125" style="1411" customWidth="1"/>
    <col min="9732" max="9732" width="11.625" style="1411" customWidth="1"/>
    <col min="9733" max="9734" width="14.5" style="1411"/>
    <col min="9735" max="9735" width="13.375" style="1411" customWidth="1"/>
    <col min="9736" max="9736" width="10.5" style="1411" customWidth="1"/>
    <col min="9737" max="9737" width="9.875" style="1411" customWidth="1"/>
    <col min="9738" max="9738" width="12.125" style="1411" customWidth="1"/>
    <col min="9739" max="9739" width="12.875" style="1411" customWidth="1"/>
    <col min="9740" max="9740" width="8" style="1411" customWidth="1"/>
    <col min="9741" max="9741" width="11.5" style="1411" customWidth="1"/>
    <col min="9742" max="9742" width="12.875" style="1411" customWidth="1"/>
    <col min="9743" max="9743" width="14.5" style="1411"/>
    <col min="9744" max="9744" width="16.875" style="1411" customWidth="1"/>
    <col min="9745" max="9745" width="20.5" style="1411" bestFit="1" customWidth="1"/>
    <col min="9746" max="9984" width="14.5" style="1411"/>
    <col min="9985" max="9985" width="6.5" style="1411" customWidth="1"/>
    <col min="9986" max="9986" width="15.5" style="1411" customWidth="1"/>
    <col min="9987" max="9987" width="13.125" style="1411" customWidth="1"/>
    <col min="9988" max="9988" width="11.625" style="1411" customWidth="1"/>
    <col min="9989" max="9990" width="14.5" style="1411"/>
    <col min="9991" max="9991" width="13.375" style="1411" customWidth="1"/>
    <col min="9992" max="9992" width="10.5" style="1411" customWidth="1"/>
    <col min="9993" max="9993" width="9.875" style="1411" customWidth="1"/>
    <col min="9994" max="9994" width="12.125" style="1411" customWidth="1"/>
    <col min="9995" max="9995" width="12.875" style="1411" customWidth="1"/>
    <col min="9996" max="9996" width="8" style="1411" customWidth="1"/>
    <col min="9997" max="9997" width="11.5" style="1411" customWidth="1"/>
    <col min="9998" max="9998" width="12.875" style="1411" customWidth="1"/>
    <col min="9999" max="9999" width="14.5" style="1411"/>
    <col min="10000" max="10000" width="16.875" style="1411" customWidth="1"/>
    <col min="10001" max="10001" width="20.5" style="1411" bestFit="1" customWidth="1"/>
    <col min="10002" max="10240" width="14.5" style="1411"/>
    <col min="10241" max="10241" width="6.5" style="1411" customWidth="1"/>
    <col min="10242" max="10242" width="15.5" style="1411" customWidth="1"/>
    <col min="10243" max="10243" width="13.125" style="1411" customWidth="1"/>
    <col min="10244" max="10244" width="11.625" style="1411" customWidth="1"/>
    <col min="10245" max="10246" width="14.5" style="1411"/>
    <col min="10247" max="10247" width="13.375" style="1411" customWidth="1"/>
    <col min="10248" max="10248" width="10.5" style="1411" customWidth="1"/>
    <col min="10249" max="10249" width="9.875" style="1411" customWidth="1"/>
    <col min="10250" max="10250" width="12.125" style="1411" customWidth="1"/>
    <col min="10251" max="10251" width="12.875" style="1411" customWidth="1"/>
    <col min="10252" max="10252" width="8" style="1411" customWidth="1"/>
    <col min="10253" max="10253" width="11.5" style="1411" customWidth="1"/>
    <col min="10254" max="10254" width="12.875" style="1411" customWidth="1"/>
    <col min="10255" max="10255" width="14.5" style="1411"/>
    <col min="10256" max="10256" width="16.875" style="1411" customWidth="1"/>
    <col min="10257" max="10257" width="20.5" style="1411" bestFit="1" customWidth="1"/>
    <col min="10258" max="10496" width="14.5" style="1411"/>
    <col min="10497" max="10497" width="6.5" style="1411" customWidth="1"/>
    <col min="10498" max="10498" width="15.5" style="1411" customWidth="1"/>
    <col min="10499" max="10499" width="13.125" style="1411" customWidth="1"/>
    <col min="10500" max="10500" width="11.625" style="1411" customWidth="1"/>
    <col min="10501" max="10502" width="14.5" style="1411"/>
    <col min="10503" max="10503" width="13.375" style="1411" customWidth="1"/>
    <col min="10504" max="10504" width="10.5" style="1411" customWidth="1"/>
    <col min="10505" max="10505" width="9.875" style="1411" customWidth="1"/>
    <col min="10506" max="10506" width="12.125" style="1411" customWidth="1"/>
    <col min="10507" max="10507" width="12.875" style="1411" customWidth="1"/>
    <col min="10508" max="10508" width="8" style="1411" customWidth="1"/>
    <col min="10509" max="10509" width="11.5" style="1411" customWidth="1"/>
    <col min="10510" max="10510" width="12.875" style="1411" customWidth="1"/>
    <col min="10511" max="10511" width="14.5" style="1411"/>
    <col min="10512" max="10512" width="16.875" style="1411" customWidth="1"/>
    <col min="10513" max="10513" width="20.5" style="1411" bestFit="1" customWidth="1"/>
    <col min="10514" max="10752" width="14.5" style="1411"/>
    <col min="10753" max="10753" width="6.5" style="1411" customWidth="1"/>
    <col min="10754" max="10754" width="15.5" style="1411" customWidth="1"/>
    <col min="10755" max="10755" width="13.125" style="1411" customWidth="1"/>
    <col min="10756" max="10756" width="11.625" style="1411" customWidth="1"/>
    <col min="10757" max="10758" width="14.5" style="1411"/>
    <col min="10759" max="10759" width="13.375" style="1411" customWidth="1"/>
    <col min="10760" max="10760" width="10.5" style="1411" customWidth="1"/>
    <col min="10761" max="10761" width="9.875" style="1411" customWidth="1"/>
    <col min="10762" max="10762" width="12.125" style="1411" customWidth="1"/>
    <col min="10763" max="10763" width="12.875" style="1411" customWidth="1"/>
    <col min="10764" max="10764" width="8" style="1411" customWidth="1"/>
    <col min="10765" max="10765" width="11.5" style="1411" customWidth="1"/>
    <col min="10766" max="10766" width="12.875" style="1411" customWidth="1"/>
    <col min="10767" max="10767" width="14.5" style="1411"/>
    <col min="10768" max="10768" width="16.875" style="1411" customWidth="1"/>
    <col min="10769" max="10769" width="20.5" style="1411" bestFit="1" customWidth="1"/>
    <col min="10770" max="11008" width="14.5" style="1411"/>
    <col min="11009" max="11009" width="6.5" style="1411" customWidth="1"/>
    <col min="11010" max="11010" width="15.5" style="1411" customWidth="1"/>
    <col min="11011" max="11011" width="13.125" style="1411" customWidth="1"/>
    <col min="11012" max="11012" width="11.625" style="1411" customWidth="1"/>
    <col min="11013" max="11014" width="14.5" style="1411"/>
    <col min="11015" max="11015" width="13.375" style="1411" customWidth="1"/>
    <col min="11016" max="11016" width="10.5" style="1411" customWidth="1"/>
    <col min="11017" max="11017" width="9.875" style="1411" customWidth="1"/>
    <col min="11018" max="11018" width="12.125" style="1411" customWidth="1"/>
    <col min="11019" max="11019" width="12.875" style="1411" customWidth="1"/>
    <col min="11020" max="11020" width="8" style="1411" customWidth="1"/>
    <col min="11021" max="11021" width="11.5" style="1411" customWidth="1"/>
    <col min="11022" max="11022" width="12.875" style="1411" customWidth="1"/>
    <col min="11023" max="11023" width="14.5" style="1411"/>
    <col min="11024" max="11024" width="16.875" style="1411" customWidth="1"/>
    <col min="11025" max="11025" width="20.5" style="1411" bestFit="1" customWidth="1"/>
    <col min="11026" max="11264" width="14.5" style="1411"/>
    <col min="11265" max="11265" width="6.5" style="1411" customWidth="1"/>
    <col min="11266" max="11266" width="15.5" style="1411" customWidth="1"/>
    <col min="11267" max="11267" width="13.125" style="1411" customWidth="1"/>
    <col min="11268" max="11268" width="11.625" style="1411" customWidth="1"/>
    <col min="11269" max="11270" width="14.5" style="1411"/>
    <col min="11271" max="11271" width="13.375" style="1411" customWidth="1"/>
    <col min="11272" max="11272" width="10.5" style="1411" customWidth="1"/>
    <col min="11273" max="11273" width="9.875" style="1411" customWidth="1"/>
    <col min="11274" max="11274" width="12.125" style="1411" customWidth="1"/>
    <col min="11275" max="11275" width="12.875" style="1411" customWidth="1"/>
    <col min="11276" max="11276" width="8" style="1411" customWidth="1"/>
    <col min="11277" max="11277" width="11.5" style="1411" customWidth="1"/>
    <col min="11278" max="11278" width="12.875" style="1411" customWidth="1"/>
    <col min="11279" max="11279" width="14.5" style="1411"/>
    <col min="11280" max="11280" width="16.875" style="1411" customWidth="1"/>
    <col min="11281" max="11281" width="20.5" style="1411" bestFit="1" customWidth="1"/>
    <col min="11282" max="11520" width="14.5" style="1411"/>
    <col min="11521" max="11521" width="6.5" style="1411" customWidth="1"/>
    <col min="11522" max="11522" width="15.5" style="1411" customWidth="1"/>
    <col min="11523" max="11523" width="13.125" style="1411" customWidth="1"/>
    <col min="11524" max="11524" width="11.625" style="1411" customWidth="1"/>
    <col min="11525" max="11526" width="14.5" style="1411"/>
    <col min="11527" max="11527" width="13.375" style="1411" customWidth="1"/>
    <col min="11528" max="11528" width="10.5" style="1411" customWidth="1"/>
    <col min="11529" max="11529" width="9.875" style="1411" customWidth="1"/>
    <col min="11530" max="11530" width="12.125" style="1411" customWidth="1"/>
    <col min="11531" max="11531" width="12.875" style="1411" customWidth="1"/>
    <col min="11532" max="11532" width="8" style="1411" customWidth="1"/>
    <col min="11533" max="11533" width="11.5" style="1411" customWidth="1"/>
    <col min="11534" max="11534" width="12.875" style="1411" customWidth="1"/>
    <col min="11535" max="11535" width="14.5" style="1411"/>
    <col min="11536" max="11536" width="16.875" style="1411" customWidth="1"/>
    <col min="11537" max="11537" width="20.5" style="1411" bestFit="1" customWidth="1"/>
    <col min="11538" max="11776" width="14.5" style="1411"/>
    <col min="11777" max="11777" width="6.5" style="1411" customWidth="1"/>
    <col min="11778" max="11778" width="15.5" style="1411" customWidth="1"/>
    <col min="11779" max="11779" width="13.125" style="1411" customWidth="1"/>
    <col min="11780" max="11780" width="11.625" style="1411" customWidth="1"/>
    <col min="11781" max="11782" width="14.5" style="1411"/>
    <col min="11783" max="11783" width="13.375" style="1411" customWidth="1"/>
    <col min="11784" max="11784" width="10.5" style="1411" customWidth="1"/>
    <col min="11785" max="11785" width="9.875" style="1411" customWidth="1"/>
    <col min="11786" max="11786" width="12.125" style="1411" customWidth="1"/>
    <col min="11787" max="11787" width="12.875" style="1411" customWidth="1"/>
    <col min="11788" max="11788" width="8" style="1411" customWidth="1"/>
    <col min="11789" max="11789" width="11.5" style="1411" customWidth="1"/>
    <col min="11790" max="11790" width="12.875" style="1411" customWidth="1"/>
    <col min="11791" max="11791" width="14.5" style="1411"/>
    <col min="11792" max="11792" width="16.875" style="1411" customWidth="1"/>
    <col min="11793" max="11793" width="20.5" style="1411" bestFit="1" customWidth="1"/>
    <col min="11794" max="12032" width="14.5" style="1411"/>
    <col min="12033" max="12033" width="6.5" style="1411" customWidth="1"/>
    <col min="12034" max="12034" width="15.5" style="1411" customWidth="1"/>
    <col min="12035" max="12035" width="13.125" style="1411" customWidth="1"/>
    <col min="12036" max="12036" width="11.625" style="1411" customWidth="1"/>
    <col min="12037" max="12038" width="14.5" style="1411"/>
    <col min="12039" max="12039" width="13.375" style="1411" customWidth="1"/>
    <col min="12040" max="12040" width="10.5" style="1411" customWidth="1"/>
    <col min="12041" max="12041" width="9.875" style="1411" customWidth="1"/>
    <col min="12042" max="12042" width="12.125" style="1411" customWidth="1"/>
    <col min="12043" max="12043" width="12.875" style="1411" customWidth="1"/>
    <col min="12044" max="12044" width="8" style="1411" customWidth="1"/>
    <col min="12045" max="12045" width="11.5" style="1411" customWidth="1"/>
    <col min="12046" max="12046" width="12.875" style="1411" customWidth="1"/>
    <col min="12047" max="12047" width="14.5" style="1411"/>
    <col min="12048" max="12048" width="16.875" style="1411" customWidth="1"/>
    <col min="12049" max="12049" width="20.5" style="1411" bestFit="1" customWidth="1"/>
    <col min="12050" max="12288" width="14.5" style="1411"/>
    <col min="12289" max="12289" width="6.5" style="1411" customWidth="1"/>
    <col min="12290" max="12290" width="15.5" style="1411" customWidth="1"/>
    <col min="12291" max="12291" width="13.125" style="1411" customWidth="1"/>
    <col min="12292" max="12292" width="11.625" style="1411" customWidth="1"/>
    <col min="12293" max="12294" width="14.5" style="1411"/>
    <col min="12295" max="12295" width="13.375" style="1411" customWidth="1"/>
    <col min="12296" max="12296" width="10.5" style="1411" customWidth="1"/>
    <col min="12297" max="12297" width="9.875" style="1411" customWidth="1"/>
    <col min="12298" max="12298" width="12.125" style="1411" customWidth="1"/>
    <col min="12299" max="12299" width="12.875" style="1411" customWidth="1"/>
    <col min="12300" max="12300" width="8" style="1411" customWidth="1"/>
    <col min="12301" max="12301" width="11.5" style="1411" customWidth="1"/>
    <col min="12302" max="12302" width="12.875" style="1411" customWidth="1"/>
    <col min="12303" max="12303" width="14.5" style="1411"/>
    <col min="12304" max="12304" width="16.875" style="1411" customWidth="1"/>
    <col min="12305" max="12305" width="20.5" style="1411" bestFit="1" customWidth="1"/>
    <col min="12306" max="12544" width="14.5" style="1411"/>
    <col min="12545" max="12545" width="6.5" style="1411" customWidth="1"/>
    <col min="12546" max="12546" width="15.5" style="1411" customWidth="1"/>
    <col min="12547" max="12547" width="13.125" style="1411" customWidth="1"/>
    <col min="12548" max="12548" width="11.625" style="1411" customWidth="1"/>
    <col min="12549" max="12550" width="14.5" style="1411"/>
    <col min="12551" max="12551" width="13.375" style="1411" customWidth="1"/>
    <col min="12552" max="12552" width="10.5" style="1411" customWidth="1"/>
    <col min="12553" max="12553" width="9.875" style="1411" customWidth="1"/>
    <col min="12554" max="12554" width="12.125" style="1411" customWidth="1"/>
    <col min="12555" max="12555" width="12.875" style="1411" customWidth="1"/>
    <col min="12556" max="12556" width="8" style="1411" customWidth="1"/>
    <col min="12557" max="12557" width="11.5" style="1411" customWidth="1"/>
    <col min="12558" max="12558" width="12.875" style="1411" customWidth="1"/>
    <col min="12559" max="12559" width="14.5" style="1411"/>
    <col min="12560" max="12560" width="16.875" style="1411" customWidth="1"/>
    <col min="12561" max="12561" width="20.5" style="1411" bestFit="1" customWidth="1"/>
    <col min="12562" max="12800" width="14.5" style="1411"/>
    <col min="12801" max="12801" width="6.5" style="1411" customWidth="1"/>
    <col min="12802" max="12802" width="15.5" style="1411" customWidth="1"/>
    <col min="12803" max="12803" width="13.125" style="1411" customWidth="1"/>
    <col min="12804" max="12804" width="11.625" style="1411" customWidth="1"/>
    <col min="12805" max="12806" width="14.5" style="1411"/>
    <col min="12807" max="12807" width="13.375" style="1411" customWidth="1"/>
    <col min="12808" max="12808" width="10.5" style="1411" customWidth="1"/>
    <col min="12809" max="12809" width="9.875" style="1411" customWidth="1"/>
    <col min="12810" max="12810" width="12.125" style="1411" customWidth="1"/>
    <col min="12811" max="12811" width="12.875" style="1411" customWidth="1"/>
    <col min="12812" max="12812" width="8" style="1411" customWidth="1"/>
    <col min="12813" max="12813" width="11.5" style="1411" customWidth="1"/>
    <col min="12814" max="12814" width="12.875" style="1411" customWidth="1"/>
    <col min="12815" max="12815" width="14.5" style="1411"/>
    <col min="12816" max="12816" width="16.875" style="1411" customWidth="1"/>
    <col min="12817" max="12817" width="20.5" style="1411" bestFit="1" customWidth="1"/>
    <col min="12818" max="13056" width="14.5" style="1411"/>
    <col min="13057" max="13057" width="6.5" style="1411" customWidth="1"/>
    <col min="13058" max="13058" width="15.5" style="1411" customWidth="1"/>
    <col min="13059" max="13059" width="13.125" style="1411" customWidth="1"/>
    <col min="13060" max="13060" width="11.625" style="1411" customWidth="1"/>
    <col min="13061" max="13062" width="14.5" style="1411"/>
    <col min="13063" max="13063" width="13.375" style="1411" customWidth="1"/>
    <col min="13064" max="13064" width="10.5" style="1411" customWidth="1"/>
    <col min="13065" max="13065" width="9.875" style="1411" customWidth="1"/>
    <col min="13066" max="13066" width="12.125" style="1411" customWidth="1"/>
    <col min="13067" max="13067" width="12.875" style="1411" customWidth="1"/>
    <col min="13068" max="13068" width="8" style="1411" customWidth="1"/>
    <col min="13069" max="13069" width="11.5" style="1411" customWidth="1"/>
    <col min="13070" max="13070" width="12.875" style="1411" customWidth="1"/>
    <col min="13071" max="13071" width="14.5" style="1411"/>
    <col min="13072" max="13072" width="16.875" style="1411" customWidth="1"/>
    <col min="13073" max="13073" width="20.5" style="1411" bestFit="1" customWidth="1"/>
    <col min="13074" max="13312" width="14.5" style="1411"/>
    <col min="13313" max="13313" width="6.5" style="1411" customWidth="1"/>
    <col min="13314" max="13314" width="15.5" style="1411" customWidth="1"/>
    <col min="13315" max="13315" width="13.125" style="1411" customWidth="1"/>
    <col min="13316" max="13316" width="11.625" style="1411" customWidth="1"/>
    <col min="13317" max="13318" width="14.5" style="1411"/>
    <col min="13319" max="13319" width="13.375" style="1411" customWidth="1"/>
    <col min="13320" max="13320" width="10.5" style="1411" customWidth="1"/>
    <col min="13321" max="13321" width="9.875" style="1411" customWidth="1"/>
    <col min="13322" max="13322" width="12.125" style="1411" customWidth="1"/>
    <col min="13323" max="13323" width="12.875" style="1411" customWidth="1"/>
    <col min="13324" max="13324" width="8" style="1411" customWidth="1"/>
    <col min="13325" max="13325" width="11.5" style="1411" customWidth="1"/>
    <col min="13326" max="13326" width="12.875" style="1411" customWidth="1"/>
    <col min="13327" max="13327" width="14.5" style="1411"/>
    <col min="13328" max="13328" width="16.875" style="1411" customWidth="1"/>
    <col min="13329" max="13329" width="20.5" style="1411" bestFit="1" customWidth="1"/>
    <col min="13330" max="13568" width="14.5" style="1411"/>
    <col min="13569" max="13569" width="6.5" style="1411" customWidth="1"/>
    <col min="13570" max="13570" width="15.5" style="1411" customWidth="1"/>
    <col min="13571" max="13571" width="13.125" style="1411" customWidth="1"/>
    <col min="13572" max="13572" width="11.625" style="1411" customWidth="1"/>
    <col min="13573" max="13574" width="14.5" style="1411"/>
    <col min="13575" max="13575" width="13.375" style="1411" customWidth="1"/>
    <col min="13576" max="13576" width="10.5" style="1411" customWidth="1"/>
    <col min="13577" max="13577" width="9.875" style="1411" customWidth="1"/>
    <col min="13578" max="13578" width="12.125" style="1411" customWidth="1"/>
    <col min="13579" max="13579" width="12.875" style="1411" customWidth="1"/>
    <col min="13580" max="13580" width="8" style="1411" customWidth="1"/>
    <col min="13581" max="13581" width="11.5" style="1411" customWidth="1"/>
    <col min="13582" max="13582" width="12.875" style="1411" customWidth="1"/>
    <col min="13583" max="13583" width="14.5" style="1411"/>
    <col min="13584" max="13584" width="16.875" style="1411" customWidth="1"/>
    <col min="13585" max="13585" width="20.5" style="1411" bestFit="1" customWidth="1"/>
    <col min="13586" max="13824" width="14.5" style="1411"/>
    <col min="13825" max="13825" width="6.5" style="1411" customWidth="1"/>
    <col min="13826" max="13826" width="15.5" style="1411" customWidth="1"/>
    <col min="13827" max="13827" width="13.125" style="1411" customWidth="1"/>
    <col min="13828" max="13828" width="11.625" style="1411" customWidth="1"/>
    <col min="13829" max="13830" width="14.5" style="1411"/>
    <col min="13831" max="13831" width="13.375" style="1411" customWidth="1"/>
    <col min="13832" max="13832" width="10.5" style="1411" customWidth="1"/>
    <col min="13833" max="13833" width="9.875" style="1411" customWidth="1"/>
    <col min="13834" max="13834" width="12.125" style="1411" customWidth="1"/>
    <col min="13835" max="13835" width="12.875" style="1411" customWidth="1"/>
    <col min="13836" max="13836" width="8" style="1411" customWidth="1"/>
    <col min="13837" max="13837" width="11.5" style="1411" customWidth="1"/>
    <col min="13838" max="13838" width="12.875" style="1411" customWidth="1"/>
    <col min="13839" max="13839" width="14.5" style="1411"/>
    <col min="13840" max="13840" width="16.875" style="1411" customWidth="1"/>
    <col min="13841" max="13841" width="20.5" style="1411" bestFit="1" customWidth="1"/>
    <col min="13842" max="14080" width="14.5" style="1411"/>
    <col min="14081" max="14081" width="6.5" style="1411" customWidth="1"/>
    <col min="14082" max="14082" width="15.5" style="1411" customWidth="1"/>
    <col min="14083" max="14083" width="13.125" style="1411" customWidth="1"/>
    <col min="14084" max="14084" width="11.625" style="1411" customWidth="1"/>
    <col min="14085" max="14086" width="14.5" style="1411"/>
    <col min="14087" max="14087" width="13.375" style="1411" customWidth="1"/>
    <col min="14088" max="14088" width="10.5" style="1411" customWidth="1"/>
    <col min="14089" max="14089" width="9.875" style="1411" customWidth="1"/>
    <col min="14090" max="14090" width="12.125" style="1411" customWidth="1"/>
    <col min="14091" max="14091" width="12.875" style="1411" customWidth="1"/>
    <col min="14092" max="14092" width="8" style="1411" customWidth="1"/>
    <col min="14093" max="14093" width="11.5" style="1411" customWidth="1"/>
    <col min="14094" max="14094" width="12.875" style="1411" customWidth="1"/>
    <col min="14095" max="14095" width="14.5" style="1411"/>
    <col min="14096" max="14096" width="16.875" style="1411" customWidth="1"/>
    <col min="14097" max="14097" width="20.5" style="1411" bestFit="1" customWidth="1"/>
    <col min="14098" max="14336" width="14.5" style="1411"/>
    <col min="14337" max="14337" width="6.5" style="1411" customWidth="1"/>
    <col min="14338" max="14338" width="15.5" style="1411" customWidth="1"/>
    <col min="14339" max="14339" width="13.125" style="1411" customWidth="1"/>
    <col min="14340" max="14340" width="11.625" style="1411" customWidth="1"/>
    <col min="14341" max="14342" width="14.5" style="1411"/>
    <col min="14343" max="14343" width="13.375" style="1411" customWidth="1"/>
    <col min="14344" max="14344" width="10.5" style="1411" customWidth="1"/>
    <col min="14345" max="14345" width="9.875" style="1411" customWidth="1"/>
    <col min="14346" max="14346" width="12.125" style="1411" customWidth="1"/>
    <col min="14347" max="14347" width="12.875" style="1411" customWidth="1"/>
    <col min="14348" max="14348" width="8" style="1411" customWidth="1"/>
    <col min="14349" max="14349" width="11.5" style="1411" customWidth="1"/>
    <col min="14350" max="14350" width="12.875" style="1411" customWidth="1"/>
    <col min="14351" max="14351" width="14.5" style="1411"/>
    <col min="14352" max="14352" width="16.875" style="1411" customWidth="1"/>
    <col min="14353" max="14353" width="20.5" style="1411" bestFit="1" customWidth="1"/>
    <col min="14354" max="14592" width="14.5" style="1411"/>
    <col min="14593" max="14593" width="6.5" style="1411" customWidth="1"/>
    <col min="14594" max="14594" width="15.5" style="1411" customWidth="1"/>
    <col min="14595" max="14595" width="13.125" style="1411" customWidth="1"/>
    <col min="14596" max="14596" width="11.625" style="1411" customWidth="1"/>
    <col min="14597" max="14598" width="14.5" style="1411"/>
    <col min="14599" max="14599" width="13.375" style="1411" customWidth="1"/>
    <col min="14600" max="14600" width="10.5" style="1411" customWidth="1"/>
    <col min="14601" max="14601" width="9.875" style="1411" customWidth="1"/>
    <col min="14602" max="14602" width="12.125" style="1411" customWidth="1"/>
    <col min="14603" max="14603" width="12.875" style="1411" customWidth="1"/>
    <col min="14604" max="14604" width="8" style="1411" customWidth="1"/>
    <col min="14605" max="14605" width="11.5" style="1411" customWidth="1"/>
    <col min="14606" max="14606" width="12.875" style="1411" customWidth="1"/>
    <col min="14607" max="14607" width="14.5" style="1411"/>
    <col min="14608" max="14608" width="16.875" style="1411" customWidth="1"/>
    <col min="14609" max="14609" width="20.5" style="1411" bestFit="1" customWidth="1"/>
    <col min="14610" max="14848" width="14.5" style="1411"/>
    <col min="14849" max="14849" width="6.5" style="1411" customWidth="1"/>
    <col min="14850" max="14850" width="15.5" style="1411" customWidth="1"/>
    <col min="14851" max="14851" width="13.125" style="1411" customWidth="1"/>
    <col min="14852" max="14852" width="11.625" style="1411" customWidth="1"/>
    <col min="14853" max="14854" width="14.5" style="1411"/>
    <col min="14855" max="14855" width="13.375" style="1411" customWidth="1"/>
    <col min="14856" max="14856" width="10.5" style="1411" customWidth="1"/>
    <col min="14857" max="14857" width="9.875" style="1411" customWidth="1"/>
    <col min="14858" max="14858" width="12.125" style="1411" customWidth="1"/>
    <col min="14859" max="14859" width="12.875" style="1411" customWidth="1"/>
    <col min="14860" max="14860" width="8" style="1411" customWidth="1"/>
    <col min="14861" max="14861" width="11.5" style="1411" customWidth="1"/>
    <col min="14862" max="14862" width="12.875" style="1411" customWidth="1"/>
    <col min="14863" max="14863" width="14.5" style="1411"/>
    <col min="14864" max="14864" width="16.875" style="1411" customWidth="1"/>
    <col min="14865" max="14865" width="20.5" style="1411" bestFit="1" customWidth="1"/>
    <col min="14866" max="15104" width="14.5" style="1411"/>
    <col min="15105" max="15105" width="6.5" style="1411" customWidth="1"/>
    <col min="15106" max="15106" width="15.5" style="1411" customWidth="1"/>
    <col min="15107" max="15107" width="13.125" style="1411" customWidth="1"/>
    <col min="15108" max="15108" width="11.625" style="1411" customWidth="1"/>
    <col min="15109" max="15110" width="14.5" style="1411"/>
    <col min="15111" max="15111" width="13.375" style="1411" customWidth="1"/>
    <col min="15112" max="15112" width="10.5" style="1411" customWidth="1"/>
    <col min="15113" max="15113" width="9.875" style="1411" customWidth="1"/>
    <col min="15114" max="15114" width="12.125" style="1411" customWidth="1"/>
    <col min="15115" max="15115" width="12.875" style="1411" customWidth="1"/>
    <col min="15116" max="15116" width="8" style="1411" customWidth="1"/>
    <col min="15117" max="15117" width="11.5" style="1411" customWidth="1"/>
    <col min="15118" max="15118" width="12.875" style="1411" customWidth="1"/>
    <col min="15119" max="15119" width="14.5" style="1411"/>
    <col min="15120" max="15120" width="16.875" style="1411" customWidth="1"/>
    <col min="15121" max="15121" width="20.5" style="1411" bestFit="1" customWidth="1"/>
    <col min="15122" max="15360" width="14.5" style="1411"/>
    <col min="15361" max="15361" width="6.5" style="1411" customWidth="1"/>
    <col min="15362" max="15362" width="15.5" style="1411" customWidth="1"/>
    <col min="15363" max="15363" width="13.125" style="1411" customWidth="1"/>
    <col min="15364" max="15364" width="11.625" style="1411" customWidth="1"/>
    <col min="15365" max="15366" width="14.5" style="1411"/>
    <col min="15367" max="15367" width="13.375" style="1411" customWidth="1"/>
    <col min="15368" max="15368" width="10.5" style="1411" customWidth="1"/>
    <col min="15369" max="15369" width="9.875" style="1411" customWidth="1"/>
    <col min="15370" max="15370" width="12.125" style="1411" customWidth="1"/>
    <col min="15371" max="15371" width="12.875" style="1411" customWidth="1"/>
    <col min="15372" max="15372" width="8" style="1411" customWidth="1"/>
    <col min="15373" max="15373" width="11.5" style="1411" customWidth="1"/>
    <col min="15374" max="15374" width="12.875" style="1411" customWidth="1"/>
    <col min="15375" max="15375" width="14.5" style="1411"/>
    <col min="15376" max="15376" width="16.875" style="1411" customWidth="1"/>
    <col min="15377" max="15377" width="20.5" style="1411" bestFit="1" customWidth="1"/>
    <col min="15378" max="15616" width="14.5" style="1411"/>
    <col min="15617" max="15617" width="6.5" style="1411" customWidth="1"/>
    <col min="15618" max="15618" width="15.5" style="1411" customWidth="1"/>
    <col min="15619" max="15619" width="13.125" style="1411" customWidth="1"/>
    <col min="15620" max="15620" width="11.625" style="1411" customWidth="1"/>
    <col min="15621" max="15622" width="14.5" style="1411"/>
    <col min="15623" max="15623" width="13.375" style="1411" customWidth="1"/>
    <col min="15624" max="15624" width="10.5" style="1411" customWidth="1"/>
    <col min="15625" max="15625" width="9.875" style="1411" customWidth="1"/>
    <col min="15626" max="15626" width="12.125" style="1411" customWidth="1"/>
    <col min="15627" max="15627" width="12.875" style="1411" customWidth="1"/>
    <col min="15628" max="15628" width="8" style="1411" customWidth="1"/>
    <col min="15629" max="15629" width="11.5" style="1411" customWidth="1"/>
    <col min="15630" max="15630" width="12.875" style="1411" customWidth="1"/>
    <col min="15631" max="15631" width="14.5" style="1411"/>
    <col min="15632" max="15632" width="16.875" style="1411" customWidth="1"/>
    <col min="15633" max="15633" width="20.5" style="1411" bestFit="1" customWidth="1"/>
    <col min="15634" max="15872" width="14.5" style="1411"/>
    <col min="15873" max="15873" width="6.5" style="1411" customWidth="1"/>
    <col min="15874" max="15874" width="15.5" style="1411" customWidth="1"/>
    <col min="15875" max="15875" width="13.125" style="1411" customWidth="1"/>
    <col min="15876" max="15876" width="11.625" style="1411" customWidth="1"/>
    <col min="15877" max="15878" width="14.5" style="1411"/>
    <col min="15879" max="15879" width="13.375" style="1411" customWidth="1"/>
    <col min="15880" max="15880" width="10.5" style="1411" customWidth="1"/>
    <col min="15881" max="15881" width="9.875" style="1411" customWidth="1"/>
    <col min="15882" max="15882" width="12.125" style="1411" customWidth="1"/>
    <col min="15883" max="15883" width="12.875" style="1411" customWidth="1"/>
    <col min="15884" max="15884" width="8" style="1411" customWidth="1"/>
    <col min="15885" max="15885" width="11.5" style="1411" customWidth="1"/>
    <col min="15886" max="15886" width="12.875" style="1411" customWidth="1"/>
    <col min="15887" max="15887" width="14.5" style="1411"/>
    <col min="15888" max="15888" width="16.875" style="1411" customWidth="1"/>
    <col min="15889" max="15889" width="20.5" style="1411" bestFit="1" customWidth="1"/>
    <col min="15890" max="16128" width="14.5" style="1411"/>
    <col min="16129" max="16129" width="6.5" style="1411" customWidth="1"/>
    <col min="16130" max="16130" width="15.5" style="1411" customWidth="1"/>
    <col min="16131" max="16131" width="13.125" style="1411" customWidth="1"/>
    <col min="16132" max="16132" width="11.625" style="1411" customWidth="1"/>
    <col min="16133" max="16134" width="14.5" style="1411"/>
    <col min="16135" max="16135" width="13.375" style="1411" customWidth="1"/>
    <col min="16136" max="16136" width="10.5" style="1411" customWidth="1"/>
    <col min="16137" max="16137" width="9.875" style="1411" customWidth="1"/>
    <col min="16138" max="16138" width="12.125" style="1411" customWidth="1"/>
    <col min="16139" max="16139" width="12.875" style="1411" customWidth="1"/>
    <col min="16140" max="16140" width="8" style="1411" customWidth="1"/>
    <col min="16141" max="16141" width="11.5" style="1411" customWidth="1"/>
    <col min="16142" max="16142" width="12.875" style="1411" customWidth="1"/>
    <col min="16143" max="16143" width="14.5" style="1411"/>
    <col min="16144" max="16144" width="16.875" style="1411" customWidth="1"/>
    <col min="16145" max="16145" width="20.5" style="1411" bestFit="1" customWidth="1"/>
    <col min="16146" max="16384" width="14.5" style="1411"/>
  </cols>
  <sheetData>
    <row r="1" spans="1:18" x14ac:dyDescent="0.3">
      <c r="A1" s="1789" t="s">
        <v>411</v>
      </c>
      <c r="B1" s="1789"/>
      <c r="C1" s="1789"/>
      <c r="D1" s="1789"/>
      <c r="E1" s="1789"/>
      <c r="F1" s="1789"/>
      <c r="G1" s="1789"/>
      <c r="H1" s="1789"/>
      <c r="I1" s="1789"/>
      <c r="J1" s="1789"/>
      <c r="K1" s="1789"/>
      <c r="L1" s="1789"/>
      <c r="M1" s="1789"/>
      <c r="N1" s="1789"/>
      <c r="O1" s="1789"/>
      <c r="P1" s="1789"/>
      <c r="Q1" s="1789"/>
    </row>
    <row r="2" spans="1:18" x14ac:dyDescent="0.3">
      <c r="A2" s="1789" t="s">
        <v>1033</v>
      </c>
      <c r="B2" s="1789"/>
      <c r="C2" s="1789"/>
      <c r="D2" s="1789"/>
      <c r="E2" s="1789"/>
      <c r="F2" s="1789"/>
      <c r="G2" s="1789"/>
      <c r="H2" s="1789"/>
      <c r="I2" s="1789"/>
      <c r="J2" s="1789"/>
      <c r="K2" s="1789"/>
      <c r="L2" s="1789"/>
      <c r="M2" s="1789"/>
      <c r="N2" s="1789"/>
      <c r="O2" s="1789"/>
      <c r="P2" s="1789"/>
      <c r="Q2" s="1789"/>
    </row>
    <row r="3" spans="1:18" x14ac:dyDescent="0.3">
      <c r="A3" s="1791" t="s">
        <v>413</v>
      </c>
      <c r="B3" s="1791"/>
      <c r="C3" s="1791"/>
      <c r="D3" s="1791"/>
      <c r="E3" s="1791"/>
      <c r="F3" s="1791"/>
      <c r="G3" s="1791"/>
      <c r="H3" s="1791"/>
      <c r="I3" s="1791"/>
      <c r="J3" s="1791"/>
      <c r="K3" s="1791"/>
      <c r="L3" s="1791"/>
      <c r="M3" s="1791"/>
      <c r="N3" s="1791"/>
      <c r="O3" s="1791"/>
      <c r="P3" s="1791"/>
      <c r="Q3" s="1791"/>
    </row>
    <row r="4" spans="1:18" x14ac:dyDescent="0.3">
      <c r="A4" s="1789" t="s">
        <v>1034</v>
      </c>
      <c r="B4" s="1789"/>
      <c r="C4" s="1789"/>
      <c r="D4" s="1789"/>
      <c r="E4" s="1789"/>
      <c r="F4" s="1789"/>
      <c r="G4" s="1789"/>
      <c r="H4" s="1789"/>
      <c r="I4" s="1789"/>
      <c r="J4" s="1789"/>
      <c r="K4" s="1789"/>
      <c r="L4" s="1789"/>
      <c r="M4" s="1789"/>
      <c r="N4" s="1789"/>
      <c r="O4" s="1789"/>
      <c r="P4" s="1789"/>
      <c r="Q4" s="1789"/>
    </row>
    <row r="5" spans="1:18" x14ac:dyDescent="0.3">
      <c r="A5" s="1789" t="s">
        <v>1035</v>
      </c>
      <c r="B5" s="1789"/>
      <c r="C5" s="1789"/>
      <c r="D5" s="1789"/>
      <c r="E5" s="1789"/>
      <c r="F5" s="1789"/>
      <c r="G5" s="1789"/>
      <c r="H5" s="1789"/>
      <c r="I5" s="1789"/>
      <c r="J5" s="1789"/>
      <c r="K5" s="1789"/>
      <c r="L5" s="1789"/>
      <c r="M5" s="1789"/>
      <c r="N5" s="1789"/>
      <c r="O5" s="1789"/>
      <c r="P5" s="1789"/>
      <c r="Q5" s="1789"/>
    </row>
    <row r="6" spans="1:18" x14ac:dyDescent="0.3">
      <c r="A6" s="1791" t="s">
        <v>1036</v>
      </c>
      <c r="B6" s="1791"/>
      <c r="C6" s="1791"/>
      <c r="D6" s="1791"/>
      <c r="E6" s="1791"/>
      <c r="F6" s="1791"/>
      <c r="G6" s="1791"/>
      <c r="H6" s="1791"/>
      <c r="I6" s="1791"/>
      <c r="J6" s="1791"/>
      <c r="K6" s="1791"/>
      <c r="L6" s="1791"/>
      <c r="M6" s="1791"/>
      <c r="N6" s="1791"/>
      <c r="O6" s="1791"/>
      <c r="P6" s="1791"/>
      <c r="Q6" s="1791"/>
    </row>
    <row r="7" spans="1:18" x14ac:dyDescent="0.3">
      <c r="A7" s="1789" t="s">
        <v>1037</v>
      </c>
      <c r="B7" s="1789"/>
      <c r="C7" s="1789"/>
      <c r="D7" s="1789"/>
      <c r="E7" s="1789"/>
      <c r="F7" s="1789"/>
      <c r="G7" s="1789"/>
      <c r="H7" s="1789"/>
      <c r="I7" s="1789"/>
      <c r="J7" s="1789"/>
      <c r="K7" s="1789"/>
      <c r="L7" s="1789"/>
      <c r="M7" s="1789"/>
      <c r="N7" s="1789"/>
      <c r="O7" s="1789"/>
      <c r="P7" s="1789"/>
      <c r="Q7" s="1789"/>
    </row>
    <row r="9" spans="1:18" x14ac:dyDescent="0.3">
      <c r="A9" s="1412" t="s">
        <v>417</v>
      </c>
      <c r="B9" s="1413"/>
      <c r="C9" s="1413"/>
      <c r="D9" s="1413"/>
      <c r="E9" s="1414"/>
      <c r="F9" s="1413"/>
      <c r="G9" s="1413"/>
      <c r="H9" s="1413"/>
      <c r="I9" s="1413"/>
      <c r="J9" s="1413"/>
      <c r="K9" s="1415"/>
      <c r="L9" s="1416" t="s">
        <v>418</v>
      </c>
      <c r="M9" s="1417"/>
      <c r="N9" s="1417"/>
      <c r="O9" s="1417"/>
      <c r="P9" s="1417"/>
      <c r="Q9" s="1417"/>
      <c r="R9" s="1411" t="s">
        <v>419</v>
      </c>
    </row>
    <row r="10" spans="1:18" x14ac:dyDescent="0.3">
      <c r="A10" s="1418" t="s">
        <v>1038</v>
      </c>
      <c r="B10" s="1419"/>
      <c r="C10" s="1419"/>
      <c r="D10" s="1419"/>
      <c r="E10" s="1420"/>
      <c r="F10" s="1419"/>
      <c r="G10" s="1419"/>
      <c r="H10" s="1419"/>
      <c r="I10" s="1419"/>
      <c r="J10" s="1419"/>
      <c r="K10" s="1421"/>
      <c r="L10" s="1422" t="s">
        <v>421</v>
      </c>
      <c r="M10" s="1413"/>
      <c r="N10" s="1422"/>
      <c r="O10" s="1413" t="s">
        <v>422</v>
      </c>
      <c r="P10" s="1413"/>
      <c r="Q10" s="1415"/>
    </row>
    <row r="11" spans="1:18" x14ac:dyDescent="0.3">
      <c r="A11" s="1418"/>
      <c r="B11" s="1419"/>
      <c r="C11" s="1419"/>
      <c r="D11" s="1419"/>
      <c r="E11" s="1420"/>
      <c r="F11" s="1419"/>
      <c r="G11" s="1419"/>
      <c r="H11" s="1419"/>
      <c r="I11" s="1419"/>
      <c r="J11" s="1419"/>
      <c r="K11" s="1421"/>
      <c r="L11" s="1418"/>
      <c r="M11" s="1419" t="s">
        <v>985</v>
      </c>
      <c r="N11" s="1418"/>
      <c r="O11" s="1419" t="s">
        <v>760</v>
      </c>
      <c r="P11" s="1419"/>
      <c r="Q11" s="1421"/>
    </row>
    <row r="12" spans="1:18" x14ac:dyDescent="0.3">
      <c r="A12" s="1418"/>
      <c r="B12" s="1419"/>
      <c r="C12" s="1419"/>
      <c r="D12" s="1419"/>
      <c r="E12" s="1420"/>
      <c r="F12" s="1419"/>
      <c r="G12" s="1419"/>
      <c r="H12" s="1419"/>
      <c r="I12" s="1419"/>
      <c r="J12" s="1419"/>
      <c r="K12" s="1421"/>
      <c r="L12" s="1418"/>
      <c r="M12" s="1419" t="s">
        <v>1039</v>
      </c>
      <c r="N12" s="1418"/>
      <c r="O12" s="1419" t="s">
        <v>762</v>
      </c>
      <c r="P12" s="1419"/>
      <c r="Q12" s="1421"/>
    </row>
    <row r="13" spans="1:18" x14ac:dyDescent="0.3">
      <c r="A13" s="1423"/>
      <c r="B13" s="1424"/>
      <c r="C13" s="1424"/>
      <c r="D13" s="1424"/>
      <c r="E13" s="1425"/>
      <c r="F13" s="1424"/>
      <c r="G13" s="1424"/>
      <c r="H13" s="1424"/>
      <c r="I13" s="1424"/>
      <c r="J13" s="1424"/>
      <c r="K13" s="1426"/>
      <c r="L13" s="1427"/>
      <c r="M13" s="1424" t="s">
        <v>987</v>
      </c>
      <c r="N13" s="1423"/>
      <c r="O13" s="1424" t="s">
        <v>988</v>
      </c>
      <c r="P13" s="1424"/>
      <c r="Q13" s="1426"/>
    </row>
    <row r="14" spans="1:18" x14ac:dyDescent="0.3">
      <c r="A14" s="1416" t="s">
        <v>430</v>
      </c>
      <c r="B14" s="1417"/>
      <c r="C14" s="1417"/>
      <c r="D14" s="1417"/>
      <c r="E14" s="1428"/>
      <c r="F14" s="1417"/>
      <c r="G14" s="1417"/>
      <c r="H14" s="1417"/>
      <c r="I14" s="1417"/>
      <c r="J14" s="1417"/>
      <c r="K14" s="1417"/>
      <c r="L14" s="1417"/>
      <c r="M14" s="1417"/>
      <c r="N14" s="1417"/>
      <c r="O14" s="1417"/>
      <c r="P14" s="1417"/>
      <c r="Q14" s="1417"/>
    </row>
    <row r="15" spans="1:18" ht="15.75" customHeight="1" x14ac:dyDescent="0.3">
      <c r="A15" s="1787" t="s">
        <v>431</v>
      </c>
      <c r="B15" s="1788" t="s">
        <v>432</v>
      </c>
      <c r="C15" s="1787" t="s">
        <v>668</v>
      </c>
      <c r="D15" s="1787" t="s">
        <v>434</v>
      </c>
      <c r="E15" s="1790" t="s">
        <v>435</v>
      </c>
      <c r="F15" s="1787" t="s">
        <v>436</v>
      </c>
      <c r="G15" s="1787" t="s">
        <v>956</v>
      </c>
      <c r="H15" s="1787"/>
      <c r="I15" s="1787"/>
      <c r="J15" s="1788" t="s">
        <v>863</v>
      </c>
      <c r="K15" s="1788"/>
      <c r="L15" s="1787" t="s">
        <v>439</v>
      </c>
      <c r="M15" s="1787" t="s">
        <v>957</v>
      </c>
      <c r="N15" s="1788" t="s">
        <v>440</v>
      </c>
      <c r="O15" s="1788"/>
      <c r="P15" s="1788"/>
      <c r="Q15" s="1788"/>
    </row>
    <row r="16" spans="1:18" ht="14.25" customHeight="1" x14ac:dyDescent="0.3">
      <c r="A16" s="1787"/>
      <c r="B16" s="1788"/>
      <c r="C16" s="1787"/>
      <c r="D16" s="1787"/>
      <c r="E16" s="1790"/>
      <c r="F16" s="1787"/>
      <c r="G16" s="1788" t="s">
        <v>447</v>
      </c>
      <c r="H16" s="1787" t="s">
        <v>448</v>
      </c>
      <c r="I16" s="1787" t="s">
        <v>449</v>
      </c>
      <c r="J16" s="1787" t="s">
        <v>441</v>
      </c>
      <c r="K16" s="1787" t="s">
        <v>442</v>
      </c>
      <c r="L16" s="1787"/>
      <c r="M16" s="1787"/>
      <c r="N16" s="1787" t="s">
        <v>450</v>
      </c>
      <c r="O16" s="1788" t="s">
        <v>958</v>
      </c>
      <c r="P16" s="1788"/>
      <c r="Q16" s="1788" t="s">
        <v>865</v>
      </c>
    </row>
    <row r="17" spans="1:17" ht="33" x14ac:dyDescent="0.3">
      <c r="A17" s="1787"/>
      <c r="B17" s="1788"/>
      <c r="C17" s="1787"/>
      <c r="D17" s="1787"/>
      <c r="E17" s="1790"/>
      <c r="F17" s="1787"/>
      <c r="G17" s="1788"/>
      <c r="H17" s="1787"/>
      <c r="I17" s="1787"/>
      <c r="J17" s="1787"/>
      <c r="K17" s="1787"/>
      <c r="L17" s="1787"/>
      <c r="M17" s="1787"/>
      <c r="N17" s="1787"/>
      <c r="O17" s="1550" t="s">
        <v>959</v>
      </c>
      <c r="P17" s="1550" t="s">
        <v>960</v>
      </c>
      <c r="Q17" s="1788"/>
    </row>
    <row r="18" spans="1:17" x14ac:dyDescent="0.3">
      <c r="A18" s="1429" t="s">
        <v>454</v>
      </c>
      <c r="B18" s="1429" t="s">
        <v>455</v>
      </c>
      <c r="C18" s="1429" t="s">
        <v>456</v>
      </c>
      <c r="D18" s="1429" t="s">
        <v>457</v>
      </c>
      <c r="E18" s="1430" t="s">
        <v>458</v>
      </c>
      <c r="F18" s="1429" t="s">
        <v>459</v>
      </c>
      <c r="G18" s="1429" t="s">
        <v>460</v>
      </c>
      <c r="H18" s="1429" t="s">
        <v>461</v>
      </c>
      <c r="I18" s="1429" t="s">
        <v>462</v>
      </c>
      <c r="J18" s="1429" t="s">
        <v>463</v>
      </c>
      <c r="K18" s="1429" t="s">
        <v>464</v>
      </c>
      <c r="L18" s="1429" t="s">
        <v>465</v>
      </c>
      <c r="M18" s="1429" t="s">
        <v>768</v>
      </c>
      <c r="N18" s="1429" t="s">
        <v>466</v>
      </c>
      <c r="O18" s="1429" t="s">
        <v>467</v>
      </c>
      <c r="P18" s="1429" t="s">
        <v>468</v>
      </c>
      <c r="Q18" s="1429" t="s">
        <v>469</v>
      </c>
    </row>
    <row r="19" spans="1:17" x14ac:dyDescent="0.3">
      <c r="A19" s="1429"/>
      <c r="B19" s="1431" t="s">
        <v>470</v>
      </c>
      <c r="C19" s="1429"/>
      <c r="D19" s="1429"/>
      <c r="E19" s="1430"/>
      <c r="F19" s="1429"/>
      <c r="G19" s="1432">
        <f>SUM(G21+G76+G61)</f>
        <v>70301.279999999984</v>
      </c>
      <c r="H19" s="1432">
        <f>SUM(H21+H76+H61)</f>
        <v>4603.58</v>
      </c>
      <c r="I19" s="1432">
        <f>SUM(I21+I76+I61)</f>
        <v>65697.7</v>
      </c>
      <c r="J19" s="1432"/>
      <c r="K19" s="1432"/>
      <c r="L19" s="1432"/>
      <c r="M19" s="1432"/>
      <c r="N19" s="1432">
        <f>SUM(N21+N76+N61)</f>
        <v>49601.428500000009</v>
      </c>
      <c r="O19" s="1432">
        <f>SUM(O21+O76+O61)</f>
        <v>4268142.0000000009</v>
      </c>
      <c r="P19" s="1432">
        <f>SUM(P21+P76+P61)</f>
        <v>870885190.90500009</v>
      </c>
      <c r="Q19" s="1432">
        <f>SUM(Q21+Q76+Q61)</f>
        <v>875153332.90500009</v>
      </c>
    </row>
    <row r="20" spans="1:17" x14ac:dyDescent="0.3">
      <c r="A20" s="1429"/>
      <c r="B20" s="1429"/>
      <c r="C20" s="1429"/>
      <c r="D20" s="1429"/>
      <c r="E20" s="1430"/>
      <c r="F20" s="1429"/>
      <c r="G20" s="1429"/>
      <c r="H20" s="1429"/>
      <c r="I20" s="1429"/>
      <c r="J20" s="1429"/>
      <c r="K20" s="1429"/>
      <c r="L20" s="1429"/>
      <c r="M20" s="1429"/>
      <c r="N20" s="1429"/>
      <c r="O20" s="1429"/>
      <c r="P20" s="1429"/>
      <c r="Q20" s="1432"/>
    </row>
    <row r="21" spans="1:17" s="1467" customFormat="1" x14ac:dyDescent="0.3">
      <c r="A21" s="1463"/>
      <c r="B21" s="1464" t="s">
        <v>210</v>
      </c>
      <c r="C21" s="1463"/>
      <c r="D21" s="1463"/>
      <c r="E21" s="1465"/>
      <c r="F21" s="1466"/>
      <c r="G21" s="1465">
        <f>SUM(G23:G50)</f>
        <v>4363</v>
      </c>
      <c r="H21" s="1465">
        <f>SUM(H23:H50)</f>
        <v>30</v>
      </c>
      <c r="I21" s="1465">
        <f>SUM(I23:I50)</f>
        <v>4333</v>
      </c>
      <c r="J21" s="1465"/>
      <c r="K21" s="1465"/>
      <c r="L21" s="1465"/>
      <c r="M21" s="1465"/>
      <c r="N21" s="1465">
        <f>SUM(N23:N50)</f>
        <v>1884.393</v>
      </c>
      <c r="O21" s="1465">
        <f>SUM(O23:O50)</f>
        <v>0</v>
      </c>
      <c r="P21" s="1465">
        <f>SUM(P23:P50)</f>
        <v>31073640.569999997</v>
      </c>
      <c r="Q21" s="1465">
        <f>SUM(Q23:Q50)</f>
        <v>31073640.569999997</v>
      </c>
    </row>
    <row r="22" spans="1:17" s="1438" customFormat="1" x14ac:dyDescent="0.3">
      <c r="A22" s="1434"/>
      <c r="B22" s="1435" t="s">
        <v>595</v>
      </c>
      <c r="C22" s="1434"/>
      <c r="D22" s="1434"/>
      <c r="E22" s="1436"/>
      <c r="F22" s="1437"/>
      <c r="G22" s="1434">
        <f>SUM(G23:G26)</f>
        <v>301</v>
      </c>
      <c r="H22" s="1434">
        <f t="shared" ref="H22:Q22" si="0">SUM(H23:H26)</f>
        <v>0</v>
      </c>
      <c r="I22" s="1434">
        <f t="shared" si="0"/>
        <v>301</v>
      </c>
      <c r="J22" s="1434">
        <f t="shared" si="0"/>
        <v>16.740000000000002</v>
      </c>
      <c r="K22" s="1434">
        <f t="shared" si="0"/>
        <v>15.484500000000001</v>
      </c>
      <c r="L22" s="1434">
        <f t="shared" si="0"/>
        <v>0.30000000000000004</v>
      </c>
      <c r="M22" s="1434">
        <f t="shared" si="0"/>
        <v>0</v>
      </c>
      <c r="N22" s="1434">
        <f t="shared" si="0"/>
        <v>106.90300000000002</v>
      </c>
      <c r="O22" s="1434">
        <f t="shared" si="0"/>
        <v>0</v>
      </c>
      <c r="P22" s="1434">
        <f t="shared" si="0"/>
        <v>1762830.4700000002</v>
      </c>
      <c r="Q22" s="1434">
        <f t="shared" si="0"/>
        <v>1762830.4700000002</v>
      </c>
    </row>
    <row r="23" spans="1:17" x14ac:dyDescent="0.3">
      <c r="A23" s="1417"/>
      <c r="C23" s="1417" t="s">
        <v>713</v>
      </c>
      <c r="D23" s="1417"/>
      <c r="E23" s="1428"/>
      <c r="F23" s="1433" t="s">
        <v>586</v>
      </c>
      <c r="G23" s="1417">
        <f>SUM(H23:I23)</f>
        <v>75</v>
      </c>
      <c r="H23" s="1417">
        <v>0</v>
      </c>
      <c r="I23" s="1417">
        <v>75</v>
      </c>
      <c r="J23" s="1417">
        <v>4.4800000000000004</v>
      </c>
      <c r="K23" s="1417">
        <f>J23-(J23*L23)</f>
        <v>4.2560000000000002</v>
      </c>
      <c r="L23" s="1417">
        <v>0.05</v>
      </c>
      <c r="M23" s="1439"/>
      <c r="N23" s="1417">
        <f t="shared" ref="N23:N29" si="1">I23*J23*L23</f>
        <v>16.800000000000004</v>
      </c>
      <c r="O23" s="1417"/>
      <c r="P23" s="1417">
        <f>N23*1000*16.49</f>
        <v>277032.00000000006</v>
      </c>
      <c r="Q23" s="1417">
        <f>P23+O23</f>
        <v>277032.00000000006</v>
      </c>
    </row>
    <row r="24" spans="1:17" x14ac:dyDescent="0.3">
      <c r="A24" s="1417"/>
      <c r="B24" s="1435"/>
      <c r="C24" s="1417"/>
      <c r="D24" s="1417"/>
      <c r="E24" s="1428"/>
      <c r="F24" s="1433" t="s">
        <v>474</v>
      </c>
      <c r="G24" s="1417">
        <f t="shared" ref="G24:G36" si="2">SUM(H24:I24)</f>
        <v>136</v>
      </c>
      <c r="H24" s="1417">
        <v>0</v>
      </c>
      <c r="I24" s="1417">
        <v>136</v>
      </c>
      <c r="J24" s="1417">
        <v>4.4800000000000004</v>
      </c>
      <c r="K24" s="1417">
        <f t="shared" ref="K24:K59" si="3">J24-(J24*L24)</f>
        <v>4.032</v>
      </c>
      <c r="L24" s="1417">
        <v>0.1</v>
      </c>
      <c r="M24" s="1439"/>
      <c r="N24" s="1417">
        <f t="shared" si="1"/>
        <v>60.928000000000011</v>
      </c>
      <c r="O24" s="1417"/>
      <c r="P24" s="1417">
        <f t="shared" ref="P24:P59" si="4">N24*1000*16.49</f>
        <v>1004702.7200000001</v>
      </c>
      <c r="Q24" s="1417">
        <f t="shared" ref="Q24:Q59" si="5">P24+O24</f>
        <v>1004702.7200000001</v>
      </c>
    </row>
    <row r="25" spans="1:17" x14ac:dyDescent="0.3">
      <c r="A25" s="1417"/>
      <c r="B25" s="1435"/>
      <c r="C25" s="1417" t="s">
        <v>716</v>
      </c>
      <c r="D25" s="1417"/>
      <c r="E25" s="1428"/>
      <c r="F25" s="1433" t="s">
        <v>586</v>
      </c>
      <c r="G25" s="1417">
        <f>SUM(H25:I25)</f>
        <v>30</v>
      </c>
      <c r="H25" s="1417">
        <v>0</v>
      </c>
      <c r="I25" s="1417">
        <v>30</v>
      </c>
      <c r="J25" s="1417">
        <v>3.89</v>
      </c>
      <c r="K25" s="1417">
        <f>J25-(J25*L25)</f>
        <v>3.6955</v>
      </c>
      <c r="L25" s="1417">
        <v>0.05</v>
      </c>
      <c r="M25" s="1439"/>
      <c r="N25" s="1417">
        <f t="shared" si="1"/>
        <v>5.8350000000000009</v>
      </c>
      <c r="O25" s="1417"/>
      <c r="P25" s="1417">
        <f>N25*1000*16.49</f>
        <v>96219.150000000009</v>
      </c>
      <c r="Q25" s="1417">
        <f>P25+O25</f>
        <v>96219.150000000009</v>
      </c>
    </row>
    <row r="26" spans="1:17" x14ac:dyDescent="0.3">
      <c r="A26" s="1417"/>
      <c r="B26" s="1435"/>
      <c r="C26" s="1417"/>
      <c r="D26" s="1417"/>
      <c r="E26" s="1428"/>
      <c r="F26" s="1433" t="s">
        <v>474</v>
      </c>
      <c r="G26" s="1417">
        <f>SUM(H26:I26)</f>
        <v>60</v>
      </c>
      <c r="H26" s="1417">
        <v>0</v>
      </c>
      <c r="I26" s="1417">
        <v>60</v>
      </c>
      <c r="J26" s="1417">
        <v>3.89</v>
      </c>
      <c r="K26" s="1417">
        <f>J26-(J26*L26)</f>
        <v>3.5010000000000003</v>
      </c>
      <c r="L26" s="1417">
        <v>0.1</v>
      </c>
      <c r="M26" s="1439"/>
      <c r="N26" s="1417">
        <f t="shared" si="1"/>
        <v>23.340000000000003</v>
      </c>
      <c r="O26" s="1417"/>
      <c r="P26" s="1417">
        <f>N26*1000*16.49</f>
        <v>384876.60000000003</v>
      </c>
      <c r="Q26" s="1417">
        <f>P26+O26</f>
        <v>384876.60000000003</v>
      </c>
    </row>
    <row r="27" spans="1:17" x14ac:dyDescent="0.3">
      <c r="A27" s="1417"/>
      <c r="B27" s="1435" t="s">
        <v>596</v>
      </c>
      <c r="C27" s="1417"/>
      <c r="D27" s="1417"/>
      <c r="E27" s="1428"/>
      <c r="F27" s="1433" t="s">
        <v>586</v>
      </c>
      <c r="G27" s="1417">
        <f t="shared" si="2"/>
        <v>515</v>
      </c>
      <c r="H27" s="1417">
        <v>0</v>
      </c>
      <c r="I27" s="1417">
        <v>515</v>
      </c>
      <c r="J27" s="1417">
        <v>4.4800000000000004</v>
      </c>
      <c r="K27" s="1417">
        <f t="shared" si="3"/>
        <v>4.032</v>
      </c>
      <c r="L27" s="1417">
        <v>0.1</v>
      </c>
      <c r="M27" s="1439"/>
      <c r="N27" s="1417">
        <f t="shared" si="1"/>
        <v>230.72000000000003</v>
      </c>
      <c r="O27" s="1417"/>
      <c r="P27" s="1417">
        <f t="shared" si="4"/>
        <v>3804572.8000000003</v>
      </c>
      <c r="Q27" s="1417">
        <f t="shared" si="5"/>
        <v>3804572.8000000003</v>
      </c>
    </row>
    <row r="28" spans="1:17" s="1438" customFormat="1" x14ac:dyDescent="0.3">
      <c r="A28" s="1434"/>
      <c r="B28" s="1435" t="s">
        <v>590</v>
      </c>
      <c r="C28" s="1434"/>
      <c r="D28" s="1434"/>
      <c r="E28" s="1440"/>
      <c r="F28" s="1437"/>
      <c r="G28" s="1434">
        <f>SUM(G29:G33)</f>
        <v>415</v>
      </c>
      <c r="H28" s="1434">
        <f t="shared" ref="H28:Q28" si="6">SUM(H29:H33)</f>
        <v>10</v>
      </c>
      <c r="I28" s="1434">
        <f t="shared" si="6"/>
        <v>405</v>
      </c>
      <c r="J28" s="1434">
        <f t="shared" si="6"/>
        <v>21.220000000000002</v>
      </c>
      <c r="K28" s="1434">
        <f t="shared" si="6"/>
        <v>15.484500000000001</v>
      </c>
      <c r="L28" s="1434">
        <f t="shared" si="6"/>
        <v>1.3000000000000003</v>
      </c>
      <c r="M28" s="1434">
        <f t="shared" si="6"/>
        <v>0</v>
      </c>
      <c r="N28" s="1434">
        <f t="shared" si="6"/>
        <v>156.96900000000002</v>
      </c>
      <c r="O28" s="1434">
        <f t="shared" si="6"/>
        <v>0</v>
      </c>
      <c r="P28" s="1434">
        <f t="shared" si="6"/>
        <v>2588418.81</v>
      </c>
      <c r="Q28" s="1434">
        <f t="shared" si="6"/>
        <v>2588418.81</v>
      </c>
    </row>
    <row r="29" spans="1:17" x14ac:dyDescent="0.3">
      <c r="A29" s="1417"/>
      <c r="C29" s="1417" t="s">
        <v>713</v>
      </c>
      <c r="D29" s="1417"/>
      <c r="E29" s="1428"/>
      <c r="F29" s="1433" t="s">
        <v>586</v>
      </c>
      <c r="G29" s="1417">
        <f t="shared" si="2"/>
        <v>142</v>
      </c>
      <c r="H29" s="1417">
        <v>0</v>
      </c>
      <c r="I29" s="1417">
        <v>142</v>
      </c>
      <c r="J29" s="1417">
        <v>4.4800000000000004</v>
      </c>
      <c r="K29" s="1417">
        <f t="shared" si="3"/>
        <v>4.2560000000000002</v>
      </c>
      <c r="L29" s="1417">
        <v>0.05</v>
      </c>
      <c r="M29" s="1439"/>
      <c r="N29" s="1417">
        <f t="shared" si="1"/>
        <v>31.808000000000007</v>
      </c>
      <c r="O29" s="1417"/>
      <c r="P29" s="1417">
        <f t="shared" si="4"/>
        <v>524513.92000000004</v>
      </c>
      <c r="Q29" s="1417">
        <f t="shared" si="5"/>
        <v>524513.92000000004</v>
      </c>
    </row>
    <row r="30" spans="1:17" x14ac:dyDescent="0.3">
      <c r="A30" s="1417"/>
      <c r="B30" s="1435"/>
      <c r="C30" s="1417"/>
      <c r="D30" s="1417"/>
      <c r="E30" s="1428"/>
      <c r="F30" s="1433" t="s">
        <v>586</v>
      </c>
      <c r="G30" s="1417">
        <f>SUM(H30:I30)</f>
        <v>10</v>
      </c>
      <c r="H30" s="1417">
        <v>10</v>
      </c>
      <c r="I30" s="1417"/>
      <c r="J30" s="1417">
        <v>4.4800000000000004</v>
      </c>
      <c r="K30" s="1417">
        <f>J30-(J30*L30)</f>
        <v>0</v>
      </c>
      <c r="L30" s="1417">
        <v>1</v>
      </c>
      <c r="M30" s="1439"/>
      <c r="N30" s="1417">
        <f>H30*J30</f>
        <v>44.800000000000004</v>
      </c>
      <c r="O30" s="1417"/>
      <c r="P30" s="1417">
        <f>N30*1000*16.49</f>
        <v>738752</v>
      </c>
      <c r="Q30" s="1417">
        <f>P30+O30</f>
        <v>738752</v>
      </c>
    </row>
    <row r="31" spans="1:17" x14ac:dyDescent="0.3">
      <c r="A31" s="1417"/>
      <c r="B31" s="1435"/>
      <c r="C31" s="1417"/>
      <c r="D31" s="1417"/>
      <c r="E31" s="1428"/>
      <c r="F31" s="1433" t="s">
        <v>474</v>
      </c>
      <c r="G31" s="1417">
        <f>SUM(H31:I31)</f>
        <v>50</v>
      </c>
      <c r="H31" s="1417">
        <v>0</v>
      </c>
      <c r="I31" s="1417">
        <v>50</v>
      </c>
      <c r="J31" s="1417">
        <v>4.4800000000000004</v>
      </c>
      <c r="K31" s="1417">
        <f>J31-(J31*L31)</f>
        <v>4.032</v>
      </c>
      <c r="L31" s="1417">
        <v>0.1</v>
      </c>
      <c r="M31" s="1439"/>
      <c r="N31" s="1417">
        <f>I31*J31*L31</f>
        <v>22.400000000000006</v>
      </c>
      <c r="O31" s="1417"/>
      <c r="P31" s="1417">
        <f>N31*1000*16.49</f>
        <v>369376.00000000006</v>
      </c>
      <c r="Q31" s="1417">
        <f>P31+O31</f>
        <v>369376.00000000006</v>
      </c>
    </row>
    <row r="32" spans="1:17" x14ac:dyDescent="0.3">
      <c r="A32" s="1417"/>
      <c r="B32" s="1435"/>
      <c r="C32" s="1417" t="s">
        <v>716</v>
      </c>
      <c r="D32" s="1417"/>
      <c r="E32" s="1428"/>
      <c r="F32" s="1433" t="s">
        <v>586</v>
      </c>
      <c r="G32" s="1417">
        <f>SUM(H32:I32)</f>
        <v>128</v>
      </c>
      <c r="H32" s="1417">
        <v>0</v>
      </c>
      <c r="I32" s="1417">
        <v>128</v>
      </c>
      <c r="J32" s="1417">
        <v>3.89</v>
      </c>
      <c r="K32" s="1417">
        <f>J32-(J32*L32)</f>
        <v>3.6955</v>
      </c>
      <c r="L32" s="1417">
        <v>0.05</v>
      </c>
      <c r="M32" s="1439"/>
      <c r="N32" s="1417">
        <f>I32*J32*L32</f>
        <v>24.896000000000001</v>
      </c>
      <c r="O32" s="1417"/>
      <c r="P32" s="1417">
        <f>N32*1000*16.49</f>
        <v>410535.04</v>
      </c>
      <c r="Q32" s="1417">
        <f>P32+O32</f>
        <v>410535.04</v>
      </c>
    </row>
    <row r="33" spans="1:17" x14ac:dyDescent="0.3">
      <c r="A33" s="1417"/>
      <c r="B33" s="1435"/>
      <c r="C33" s="1417"/>
      <c r="D33" s="1417"/>
      <c r="E33" s="1428"/>
      <c r="F33" s="1433" t="s">
        <v>474</v>
      </c>
      <c r="G33" s="1417">
        <f>SUM(H33:I33)</f>
        <v>85</v>
      </c>
      <c r="H33" s="1417">
        <v>0</v>
      </c>
      <c r="I33" s="1417">
        <v>85</v>
      </c>
      <c r="J33" s="1417">
        <v>3.89</v>
      </c>
      <c r="K33" s="1417">
        <f>J33-(J33*L33)</f>
        <v>3.5010000000000003</v>
      </c>
      <c r="L33" s="1417">
        <v>0.1</v>
      </c>
      <c r="M33" s="1439"/>
      <c r="N33" s="1417">
        <f>I33*J33*L33</f>
        <v>33.065000000000005</v>
      </c>
      <c r="O33" s="1417"/>
      <c r="P33" s="1417">
        <f>N33*1000*16.49</f>
        <v>545241.85000000009</v>
      </c>
      <c r="Q33" s="1417">
        <f>P33+O33</f>
        <v>545241.85000000009</v>
      </c>
    </row>
    <row r="34" spans="1:17" s="1438" customFormat="1" x14ac:dyDescent="0.3">
      <c r="A34" s="1434"/>
      <c r="B34" s="1435" t="s">
        <v>592</v>
      </c>
      <c r="C34" s="1434"/>
      <c r="D34" s="1434"/>
      <c r="E34" s="1440"/>
      <c r="F34" s="1437"/>
      <c r="G34" s="1434">
        <f>SUM(G35:G36)</f>
        <v>125</v>
      </c>
      <c r="H34" s="1434">
        <f t="shared" ref="H34:Q34" si="7">SUM(H35:H36)</f>
        <v>0</v>
      </c>
      <c r="I34" s="1434">
        <f t="shared" si="7"/>
        <v>125</v>
      </c>
      <c r="J34" s="1434">
        <f t="shared" si="7"/>
        <v>8.9600000000000009</v>
      </c>
      <c r="K34" s="1434">
        <f t="shared" si="7"/>
        <v>8.0640000000000001</v>
      </c>
      <c r="L34" s="1434">
        <f t="shared" si="7"/>
        <v>0.2</v>
      </c>
      <c r="M34" s="1434">
        <f t="shared" si="7"/>
        <v>0</v>
      </c>
      <c r="N34" s="1434">
        <f t="shared" si="7"/>
        <v>36.064000000000007</v>
      </c>
      <c r="O34" s="1434">
        <f t="shared" si="7"/>
        <v>0</v>
      </c>
      <c r="P34" s="1434">
        <f t="shared" si="7"/>
        <v>594695.36</v>
      </c>
      <c r="Q34" s="1434">
        <f t="shared" si="7"/>
        <v>594695.36</v>
      </c>
    </row>
    <row r="35" spans="1:17" x14ac:dyDescent="0.3">
      <c r="A35" s="1417"/>
      <c r="C35" s="1417" t="s">
        <v>713</v>
      </c>
      <c r="D35" s="1417"/>
      <c r="E35" s="1428"/>
      <c r="F35" s="1433" t="s">
        <v>586</v>
      </c>
      <c r="G35" s="1417">
        <f t="shared" si="2"/>
        <v>107</v>
      </c>
      <c r="H35" s="1417">
        <v>0</v>
      </c>
      <c r="I35" s="1417">
        <v>107</v>
      </c>
      <c r="J35" s="1417">
        <v>4.4800000000000004</v>
      </c>
      <c r="K35" s="1417">
        <f t="shared" si="3"/>
        <v>4.2560000000000002</v>
      </c>
      <c r="L35" s="1417">
        <v>0.05</v>
      </c>
      <c r="M35" s="1439"/>
      <c r="N35" s="1417">
        <f>I35*J35*L35</f>
        <v>23.968000000000004</v>
      </c>
      <c r="O35" s="1417"/>
      <c r="P35" s="1417">
        <f t="shared" si="4"/>
        <v>395232.32</v>
      </c>
      <c r="Q35" s="1417">
        <f t="shared" si="5"/>
        <v>395232.32</v>
      </c>
    </row>
    <row r="36" spans="1:17" x14ac:dyDescent="0.3">
      <c r="A36" s="1417"/>
      <c r="B36" s="1435"/>
      <c r="C36" s="1417"/>
      <c r="D36" s="1417"/>
      <c r="E36" s="1428"/>
      <c r="F36" s="1433" t="s">
        <v>474</v>
      </c>
      <c r="G36" s="1417">
        <f t="shared" si="2"/>
        <v>18</v>
      </c>
      <c r="H36" s="1416">
        <v>0</v>
      </c>
      <c r="I36" s="1417">
        <v>18</v>
      </c>
      <c r="J36" s="1417">
        <v>4.4800000000000004</v>
      </c>
      <c r="K36" s="1417">
        <f t="shared" si="3"/>
        <v>3.8080000000000003</v>
      </c>
      <c r="L36" s="1417">
        <v>0.15</v>
      </c>
      <c r="M36" s="1439"/>
      <c r="N36" s="1417">
        <f t="shared" ref="N36:N59" si="8">I36*J36*L36</f>
        <v>12.096000000000002</v>
      </c>
      <c r="O36" s="1417">
        <f>I36*M36*0.05</f>
        <v>0</v>
      </c>
      <c r="P36" s="1417">
        <f t="shared" si="4"/>
        <v>199463.04000000001</v>
      </c>
      <c r="Q36" s="1417">
        <f t="shared" si="5"/>
        <v>199463.04000000001</v>
      </c>
    </row>
    <row r="37" spans="1:17" x14ac:dyDescent="0.3">
      <c r="A37" s="1417"/>
      <c r="B37" s="1435" t="s">
        <v>599</v>
      </c>
      <c r="C37" s="1417" t="s">
        <v>713</v>
      </c>
      <c r="D37" s="1417"/>
      <c r="E37" s="1428"/>
      <c r="F37" s="1433" t="s">
        <v>586</v>
      </c>
      <c r="G37" s="1417">
        <f t="shared" ref="G37:G59" si="9">SUM(H37:I37)</f>
        <v>142</v>
      </c>
      <c r="H37" s="1417">
        <v>0</v>
      </c>
      <c r="I37" s="1417">
        <f>70+72</f>
        <v>142</v>
      </c>
      <c r="J37" s="1417">
        <v>4.4800000000000004</v>
      </c>
      <c r="K37" s="1417">
        <f t="shared" si="3"/>
        <v>3.8080000000000003</v>
      </c>
      <c r="L37" s="1417">
        <v>0.15</v>
      </c>
      <c r="M37" s="1439"/>
      <c r="N37" s="1417">
        <f t="shared" si="8"/>
        <v>95.424000000000007</v>
      </c>
      <c r="O37" s="1417"/>
      <c r="P37" s="1417">
        <f t="shared" si="4"/>
        <v>1573541.7599999998</v>
      </c>
      <c r="Q37" s="1417">
        <f t="shared" si="5"/>
        <v>1573541.7599999998</v>
      </c>
    </row>
    <row r="38" spans="1:17" s="1438" customFormat="1" x14ac:dyDescent="0.3">
      <c r="A38" s="1434"/>
      <c r="B38" s="1435" t="s">
        <v>605</v>
      </c>
      <c r="C38" s="1434"/>
      <c r="D38" s="1434"/>
      <c r="E38" s="1440"/>
      <c r="F38" s="1437"/>
      <c r="G38" s="1434">
        <f>SUM(G39:G40)</f>
        <v>160</v>
      </c>
      <c r="H38" s="1434">
        <f t="shared" ref="H38:Q38" si="10">SUM(H39:H40)</f>
        <v>0</v>
      </c>
      <c r="I38" s="1434">
        <f t="shared" si="10"/>
        <v>160</v>
      </c>
      <c r="J38" s="1434">
        <f t="shared" si="10"/>
        <v>8.370000000000001</v>
      </c>
      <c r="K38" s="1434">
        <f t="shared" si="10"/>
        <v>7.5330000000000004</v>
      </c>
      <c r="L38" s="1434">
        <f t="shared" si="10"/>
        <v>0.2</v>
      </c>
      <c r="M38" s="1434">
        <f t="shared" si="10"/>
        <v>0</v>
      </c>
      <c r="N38" s="1434">
        <f t="shared" si="10"/>
        <v>68.140000000000015</v>
      </c>
      <c r="O38" s="1434">
        <f t="shared" si="10"/>
        <v>0</v>
      </c>
      <c r="P38" s="1434">
        <f t="shared" si="10"/>
        <v>1123628.6000000001</v>
      </c>
      <c r="Q38" s="1434">
        <f t="shared" si="10"/>
        <v>1123628.6000000001</v>
      </c>
    </row>
    <row r="39" spans="1:17" x14ac:dyDescent="0.3">
      <c r="A39" s="1417"/>
      <c r="C39" s="1417" t="s">
        <v>713</v>
      </c>
      <c r="D39" s="1417"/>
      <c r="E39" s="1428"/>
      <c r="F39" s="1433" t="s">
        <v>586</v>
      </c>
      <c r="G39" s="1417">
        <f t="shared" si="9"/>
        <v>100</v>
      </c>
      <c r="H39" s="1417">
        <v>0</v>
      </c>
      <c r="I39" s="1417">
        <v>100</v>
      </c>
      <c r="J39" s="1417">
        <v>4.4800000000000004</v>
      </c>
      <c r="K39" s="1417">
        <f t="shared" si="3"/>
        <v>4.032</v>
      </c>
      <c r="L39" s="1417">
        <v>0.1</v>
      </c>
      <c r="M39" s="1439"/>
      <c r="N39" s="1417">
        <f t="shared" si="8"/>
        <v>44.800000000000011</v>
      </c>
      <c r="O39" s="1417"/>
      <c r="P39" s="1417">
        <f t="shared" si="4"/>
        <v>738752.00000000012</v>
      </c>
      <c r="Q39" s="1417">
        <f t="shared" si="5"/>
        <v>738752.00000000012</v>
      </c>
    </row>
    <row r="40" spans="1:17" x14ac:dyDescent="0.3">
      <c r="A40" s="1417"/>
      <c r="B40" s="1435"/>
      <c r="C40" s="1417" t="s">
        <v>716</v>
      </c>
      <c r="D40" s="1417"/>
      <c r="E40" s="1428"/>
      <c r="F40" s="1433" t="s">
        <v>586</v>
      </c>
      <c r="G40" s="1417">
        <f t="shared" si="9"/>
        <v>60</v>
      </c>
      <c r="H40" s="1417">
        <v>0</v>
      </c>
      <c r="I40" s="1417">
        <v>60</v>
      </c>
      <c r="J40" s="1417">
        <v>3.89</v>
      </c>
      <c r="K40" s="1417">
        <f t="shared" si="3"/>
        <v>3.5010000000000003</v>
      </c>
      <c r="L40" s="1417">
        <v>0.1</v>
      </c>
      <c r="M40" s="1439"/>
      <c r="N40" s="1417">
        <f t="shared" si="8"/>
        <v>23.340000000000003</v>
      </c>
      <c r="O40" s="1417"/>
      <c r="P40" s="1417">
        <f t="shared" si="4"/>
        <v>384876.60000000003</v>
      </c>
      <c r="Q40" s="1417">
        <f t="shared" si="5"/>
        <v>384876.60000000003</v>
      </c>
    </row>
    <row r="41" spans="1:17" s="1438" customFormat="1" x14ac:dyDescent="0.3">
      <c r="A41" s="1434"/>
      <c r="B41" s="1435" t="s">
        <v>1040</v>
      </c>
      <c r="C41" s="1434"/>
      <c r="D41" s="1434"/>
      <c r="E41" s="1440"/>
      <c r="F41" s="1437"/>
      <c r="G41" s="1434">
        <f>SUM(G42:G43)</f>
        <v>103</v>
      </c>
      <c r="H41" s="1434">
        <f t="shared" ref="H41:Q41" si="11">SUM(H42:H43)</f>
        <v>0</v>
      </c>
      <c r="I41" s="1434">
        <f t="shared" si="11"/>
        <v>103</v>
      </c>
      <c r="J41" s="1434">
        <f t="shared" si="11"/>
        <v>8.9600000000000009</v>
      </c>
      <c r="K41" s="1434">
        <f t="shared" si="11"/>
        <v>7.84</v>
      </c>
      <c r="L41" s="1434">
        <f t="shared" si="11"/>
        <v>0.25</v>
      </c>
      <c r="M41" s="1434">
        <f t="shared" si="11"/>
        <v>0</v>
      </c>
      <c r="N41" s="1434">
        <f t="shared" si="11"/>
        <v>47.264000000000003</v>
      </c>
      <c r="O41" s="1434">
        <f t="shared" si="11"/>
        <v>0</v>
      </c>
      <c r="P41" s="1434">
        <f t="shared" si="11"/>
        <v>779383.36</v>
      </c>
      <c r="Q41" s="1434">
        <f t="shared" si="11"/>
        <v>779383.36</v>
      </c>
    </row>
    <row r="42" spans="1:17" x14ac:dyDescent="0.3">
      <c r="A42" s="1417"/>
      <c r="C42" s="1417" t="s">
        <v>713</v>
      </c>
      <c r="D42" s="1417"/>
      <c r="E42" s="1428"/>
      <c r="F42" s="1433" t="s">
        <v>586</v>
      </c>
      <c r="G42" s="1417">
        <f t="shared" si="9"/>
        <v>98</v>
      </c>
      <c r="H42" s="1417">
        <v>0</v>
      </c>
      <c r="I42" s="1417">
        <v>98</v>
      </c>
      <c r="J42" s="1417">
        <v>4.4800000000000004</v>
      </c>
      <c r="K42" s="1417">
        <f t="shared" si="3"/>
        <v>4.032</v>
      </c>
      <c r="L42" s="1417">
        <v>0.1</v>
      </c>
      <c r="M42" s="1439"/>
      <c r="N42" s="1417">
        <f t="shared" si="8"/>
        <v>43.904000000000003</v>
      </c>
      <c r="O42" s="1417"/>
      <c r="P42" s="1417">
        <f t="shared" si="4"/>
        <v>723976.96</v>
      </c>
      <c r="Q42" s="1417">
        <f t="shared" si="5"/>
        <v>723976.96</v>
      </c>
    </row>
    <row r="43" spans="1:17" x14ac:dyDescent="0.3">
      <c r="A43" s="1417"/>
      <c r="B43" s="1435"/>
      <c r="C43" s="1417"/>
      <c r="D43" s="1417"/>
      <c r="E43" s="1428"/>
      <c r="F43" s="1433" t="s">
        <v>495</v>
      </c>
      <c r="G43" s="1417">
        <f>SUM(H43:I43)</f>
        <v>5</v>
      </c>
      <c r="H43" s="1417"/>
      <c r="I43" s="1417">
        <v>5</v>
      </c>
      <c r="J43" s="1417">
        <v>4.4800000000000004</v>
      </c>
      <c r="K43" s="1417">
        <f t="shared" si="3"/>
        <v>3.8080000000000003</v>
      </c>
      <c r="L43" s="1417">
        <v>0.15</v>
      </c>
      <c r="M43" s="1439"/>
      <c r="N43" s="1417">
        <f t="shared" si="8"/>
        <v>3.3600000000000003</v>
      </c>
      <c r="O43" s="1417"/>
      <c r="P43" s="1417">
        <f t="shared" si="4"/>
        <v>55406.400000000001</v>
      </c>
      <c r="Q43" s="1417">
        <f t="shared" si="5"/>
        <v>55406.400000000001</v>
      </c>
    </row>
    <row r="44" spans="1:17" s="1438" customFormat="1" x14ac:dyDescent="0.3">
      <c r="A44" s="1434"/>
      <c r="B44" s="1435" t="s">
        <v>604</v>
      </c>
      <c r="C44" s="1434"/>
      <c r="D44" s="1434"/>
      <c r="E44" s="1440"/>
      <c r="F44" s="1437"/>
      <c r="G44" s="1434">
        <f>SUM(G45:G47)</f>
        <v>417</v>
      </c>
      <c r="H44" s="1434">
        <f t="shared" ref="H44:Q44" si="12">SUM(H45:H47)</f>
        <v>0</v>
      </c>
      <c r="I44" s="1434">
        <f t="shared" si="12"/>
        <v>417</v>
      </c>
      <c r="J44" s="1434">
        <f t="shared" si="12"/>
        <v>12.850000000000001</v>
      </c>
      <c r="K44" s="1434">
        <f t="shared" si="12"/>
        <v>11.565000000000001</v>
      </c>
      <c r="L44" s="1434">
        <f t="shared" si="12"/>
        <v>0.30000000000000004</v>
      </c>
      <c r="M44" s="1434">
        <f t="shared" si="12"/>
        <v>0</v>
      </c>
      <c r="N44" s="1434">
        <f t="shared" si="12"/>
        <v>180.91600000000003</v>
      </c>
      <c r="O44" s="1434">
        <f t="shared" si="12"/>
        <v>0</v>
      </c>
      <c r="P44" s="1434">
        <f t="shared" si="12"/>
        <v>2983304.84</v>
      </c>
      <c r="Q44" s="1434">
        <f t="shared" si="12"/>
        <v>2983304.84</v>
      </c>
    </row>
    <row r="45" spans="1:17" x14ac:dyDescent="0.3">
      <c r="A45" s="1417"/>
      <c r="C45" s="1417" t="s">
        <v>713</v>
      </c>
      <c r="D45" s="1417"/>
      <c r="E45" s="1428"/>
      <c r="F45" s="1433" t="s">
        <v>586</v>
      </c>
      <c r="G45" s="1417">
        <f t="shared" si="9"/>
        <v>250</v>
      </c>
      <c r="H45" s="1417">
        <v>0</v>
      </c>
      <c r="I45" s="1417">
        <v>250</v>
      </c>
      <c r="J45" s="1417">
        <v>4.4800000000000004</v>
      </c>
      <c r="K45" s="1417">
        <f t="shared" si="3"/>
        <v>4.032</v>
      </c>
      <c r="L45" s="1417">
        <v>0.1</v>
      </c>
      <c r="M45" s="1439"/>
      <c r="N45" s="1417">
        <f t="shared" si="8"/>
        <v>112</v>
      </c>
      <c r="O45" s="1417"/>
      <c r="P45" s="1417">
        <f t="shared" si="4"/>
        <v>1846879.9999999998</v>
      </c>
      <c r="Q45" s="1417">
        <f t="shared" si="5"/>
        <v>1846879.9999999998</v>
      </c>
    </row>
    <row r="46" spans="1:17" x14ac:dyDescent="0.3">
      <c r="A46" s="1417"/>
      <c r="B46" s="1435"/>
      <c r="C46" s="1417"/>
      <c r="D46" s="1417"/>
      <c r="E46" s="1428"/>
      <c r="F46" s="1433" t="s">
        <v>474</v>
      </c>
      <c r="G46" s="1417">
        <f t="shared" si="9"/>
        <v>67</v>
      </c>
      <c r="H46" s="1417">
        <v>0</v>
      </c>
      <c r="I46" s="1417">
        <v>67</v>
      </c>
      <c r="J46" s="1417">
        <v>4.4800000000000004</v>
      </c>
      <c r="K46" s="1417">
        <f t="shared" si="3"/>
        <v>4.032</v>
      </c>
      <c r="L46" s="1417">
        <v>0.1</v>
      </c>
      <c r="M46" s="1439"/>
      <c r="N46" s="1417">
        <f t="shared" si="8"/>
        <v>30.016000000000005</v>
      </c>
      <c r="O46" s="1417"/>
      <c r="P46" s="1417">
        <f t="shared" si="4"/>
        <v>494963.84</v>
      </c>
      <c r="Q46" s="1417">
        <f t="shared" si="5"/>
        <v>494963.84</v>
      </c>
    </row>
    <row r="47" spans="1:17" x14ac:dyDescent="0.3">
      <c r="A47" s="1417"/>
      <c r="B47" s="1435"/>
      <c r="C47" s="1417" t="s">
        <v>716</v>
      </c>
      <c r="D47" s="1417"/>
      <c r="E47" s="1428"/>
      <c r="F47" s="1433" t="s">
        <v>586</v>
      </c>
      <c r="G47" s="1417">
        <f t="shared" si="9"/>
        <v>100</v>
      </c>
      <c r="H47" s="1417">
        <v>0</v>
      </c>
      <c r="I47" s="1417">
        <v>100</v>
      </c>
      <c r="J47" s="1417">
        <v>3.89</v>
      </c>
      <c r="K47" s="1417">
        <f t="shared" si="3"/>
        <v>3.5010000000000003</v>
      </c>
      <c r="L47" s="1417">
        <v>0.1</v>
      </c>
      <c r="M47" s="1439"/>
      <c r="N47" s="1417">
        <f t="shared" si="8"/>
        <v>38.900000000000006</v>
      </c>
      <c r="O47" s="1417"/>
      <c r="P47" s="1417">
        <f t="shared" si="4"/>
        <v>641461.00000000012</v>
      </c>
      <c r="Q47" s="1417">
        <f t="shared" si="5"/>
        <v>641461.00000000012</v>
      </c>
    </row>
    <row r="48" spans="1:17" s="1438" customFormat="1" x14ac:dyDescent="0.3">
      <c r="A48" s="1434"/>
      <c r="B48" s="1435" t="s">
        <v>601</v>
      </c>
      <c r="C48" s="1434"/>
      <c r="D48" s="1434"/>
      <c r="E48" s="1440"/>
      <c r="F48" s="1437"/>
      <c r="G48" s="1434">
        <f>SUM(G49:G51)</f>
        <v>666</v>
      </c>
      <c r="H48" s="1434">
        <f t="shared" ref="H48:Q48" si="13">SUM(H49:H51)</f>
        <v>5</v>
      </c>
      <c r="I48" s="1434">
        <f t="shared" si="13"/>
        <v>661</v>
      </c>
      <c r="J48" s="1434">
        <f t="shared" si="13"/>
        <v>13.440000000000001</v>
      </c>
      <c r="K48" s="1434">
        <f t="shared" si="13"/>
        <v>8.0640000000000001</v>
      </c>
      <c r="L48" s="1434">
        <f t="shared" si="13"/>
        <v>1.2000000000000002</v>
      </c>
      <c r="M48" s="1434">
        <f t="shared" si="13"/>
        <v>0</v>
      </c>
      <c r="N48" s="1434">
        <f t="shared" si="13"/>
        <v>318.52800000000002</v>
      </c>
      <c r="O48" s="1434">
        <f t="shared" si="13"/>
        <v>0</v>
      </c>
      <c r="P48" s="1434">
        <f t="shared" si="13"/>
        <v>5252526.7200000007</v>
      </c>
      <c r="Q48" s="1434">
        <f t="shared" si="13"/>
        <v>5252526.7200000007</v>
      </c>
    </row>
    <row r="49" spans="1:17" x14ac:dyDescent="0.3">
      <c r="A49" s="1417"/>
      <c r="C49" s="1417" t="s">
        <v>713</v>
      </c>
      <c r="D49" s="1417"/>
      <c r="E49" s="1428"/>
      <c r="F49" s="1433" t="s">
        <v>586</v>
      </c>
      <c r="G49" s="1417">
        <f t="shared" si="9"/>
        <v>294</v>
      </c>
      <c r="H49" s="1417">
        <v>0</v>
      </c>
      <c r="I49" s="1417">
        <v>294</v>
      </c>
      <c r="J49" s="1417">
        <v>4.4800000000000004</v>
      </c>
      <c r="K49" s="1417">
        <f t="shared" si="3"/>
        <v>4.032</v>
      </c>
      <c r="L49" s="1417">
        <v>0.1</v>
      </c>
      <c r="M49" s="1439"/>
      <c r="N49" s="1417">
        <f t="shared" si="8"/>
        <v>131.71200000000002</v>
      </c>
      <c r="O49" s="1417"/>
      <c r="P49" s="1417">
        <f t="shared" si="4"/>
        <v>2171930.8800000004</v>
      </c>
      <c r="Q49" s="1417">
        <f t="shared" si="5"/>
        <v>2171930.8800000004</v>
      </c>
    </row>
    <row r="50" spans="1:17" x14ac:dyDescent="0.3">
      <c r="A50" s="1417"/>
      <c r="B50" s="1435"/>
      <c r="C50" s="1417"/>
      <c r="D50" s="1417"/>
      <c r="E50" s="1428"/>
      <c r="F50" s="1433" t="s">
        <v>586</v>
      </c>
      <c r="G50" s="1417">
        <f t="shared" si="9"/>
        <v>5</v>
      </c>
      <c r="H50" s="1417">
        <v>5</v>
      </c>
      <c r="I50" s="1417"/>
      <c r="J50" s="1417">
        <v>4.4800000000000004</v>
      </c>
      <c r="K50" s="1417">
        <f t="shared" si="3"/>
        <v>0</v>
      </c>
      <c r="L50" s="1417">
        <v>1</v>
      </c>
      <c r="M50" s="1417"/>
      <c r="N50" s="1417">
        <f>H50*J50</f>
        <v>22.400000000000002</v>
      </c>
      <c r="O50" s="1417"/>
      <c r="P50" s="1417">
        <f t="shared" si="4"/>
        <v>369376</v>
      </c>
      <c r="Q50" s="1417">
        <f t="shared" si="5"/>
        <v>369376</v>
      </c>
    </row>
    <row r="51" spans="1:17" x14ac:dyDescent="0.3">
      <c r="A51" s="1417"/>
      <c r="B51" s="1435"/>
      <c r="C51" s="1417"/>
      <c r="D51" s="1417"/>
      <c r="E51" s="1428"/>
      <c r="F51" s="1433" t="s">
        <v>474</v>
      </c>
      <c r="G51" s="1417">
        <f t="shared" si="9"/>
        <v>367</v>
      </c>
      <c r="H51" s="1417"/>
      <c r="I51" s="1417">
        <v>367</v>
      </c>
      <c r="J51" s="1417">
        <v>4.4800000000000004</v>
      </c>
      <c r="K51" s="1417">
        <f t="shared" si="3"/>
        <v>4.032</v>
      </c>
      <c r="L51" s="1417">
        <v>0.1</v>
      </c>
      <c r="M51" s="1417"/>
      <c r="N51" s="1417">
        <f t="shared" si="8"/>
        <v>164.41600000000003</v>
      </c>
      <c r="O51" s="1417"/>
      <c r="P51" s="1417">
        <f t="shared" si="4"/>
        <v>2711219.8400000003</v>
      </c>
      <c r="Q51" s="1417">
        <f t="shared" si="5"/>
        <v>2711219.8400000003</v>
      </c>
    </row>
    <row r="52" spans="1:17" s="1438" customFormat="1" x14ac:dyDescent="0.3">
      <c r="A52" s="1434"/>
      <c r="B52" s="1435" t="s">
        <v>472</v>
      </c>
      <c r="C52" s="1434"/>
      <c r="D52" s="1434"/>
      <c r="E52" s="1440"/>
      <c r="F52" s="1437"/>
      <c r="G52" s="1434">
        <f>SUM(G53:G54)</f>
        <v>169</v>
      </c>
      <c r="H52" s="1434">
        <f t="shared" ref="H52:Q52" si="14">SUM(H53:H54)</f>
        <v>0</v>
      </c>
      <c r="I52" s="1434">
        <f t="shared" si="14"/>
        <v>169</v>
      </c>
      <c r="J52" s="1434">
        <f t="shared" si="14"/>
        <v>8.9600000000000009</v>
      </c>
      <c r="K52" s="1434">
        <f t="shared" si="14"/>
        <v>7.84</v>
      </c>
      <c r="L52" s="1434">
        <f t="shared" si="14"/>
        <v>0.25</v>
      </c>
      <c r="M52" s="1434">
        <f t="shared" si="14"/>
        <v>0</v>
      </c>
      <c r="N52" s="1434">
        <f t="shared" si="14"/>
        <v>98.112000000000009</v>
      </c>
      <c r="O52" s="1434">
        <f t="shared" si="14"/>
        <v>0</v>
      </c>
      <c r="P52" s="1434">
        <f t="shared" si="14"/>
        <v>1617866.88</v>
      </c>
      <c r="Q52" s="1434">
        <f t="shared" si="14"/>
        <v>1617866.88</v>
      </c>
    </row>
    <row r="53" spans="1:17" x14ac:dyDescent="0.3">
      <c r="A53" s="1417"/>
      <c r="C53" s="1417" t="s">
        <v>713</v>
      </c>
      <c r="D53" s="1417"/>
      <c r="E53" s="1428"/>
      <c r="F53" s="1433" t="s">
        <v>474</v>
      </c>
      <c r="G53" s="1417">
        <f t="shared" si="9"/>
        <v>69</v>
      </c>
      <c r="H53" s="1417"/>
      <c r="I53" s="1417">
        <v>69</v>
      </c>
      <c r="J53" s="1417">
        <v>4.4800000000000004</v>
      </c>
      <c r="K53" s="1417">
        <f t="shared" si="3"/>
        <v>4.032</v>
      </c>
      <c r="L53" s="1417">
        <v>0.1</v>
      </c>
      <c r="M53" s="1417"/>
      <c r="N53" s="1417">
        <f t="shared" si="8"/>
        <v>30.912000000000003</v>
      </c>
      <c r="O53" s="1417"/>
      <c r="P53" s="1417">
        <f t="shared" si="4"/>
        <v>509738.88</v>
      </c>
      <c r="Q53" s="1417">
        <f t="shared" si="5"/>
        <v>509738.88</v>
      </c>
    </row>
    <row r="54" spans="1:17" x14ac:dyDescent="0.3">
      <c r="A54" s="1417"/>
      <c r="B54" s="1435"/>
      <c r="C54" s="1417"/>
      <c r="D54" s="1417"/>
      <c r="E54" s="1428"/>
      <c r="F54" s="1433" t="s">
        <v>586</v>
      </c>
      <c r="G54" s="1417">
        <f t="shared" si="9"/>
        <v>100</v>
      </c>
      <c r="H54" s="1417"/>
      <c r="I54" s="1417">
        <v>100</v>
      </c>
      <c r="J54" s="1417">
        <v>4.4800000000000004</v>
      </c>
      <c r="K54" s="1417">
        <f t="shared" si="3"/>
        <v>3.8080000000000003</v>
      </c>
      <c r="L54" s="1417">
        <v>0.15</v>
      </c>
      <c r="M54" s="1417"/>
      <c r="N54" s="1417">
        <f t="shared" si="8"/>
        <v>67.2</v>
      </c>
      <c r="O54" s="1417"/>
      <c r="P54" s="1417">
        <f t="shared" si="4"/>
        <v>1108128</v>
      </c>
      <c r="Q54" s="1417">
        <f t="shared" si="5"/>
        <v>1108128</v>
      </c>
    </row>
    <row r="55" spans="1:17" s="1438" customFormat="1" x14ac:dyDescent="0.3">
      <c r="A55" s="1434"/>
      <c r="B55" s="1435" t="s">
        <v>607</v>
      </c>
      <c r="C55" s="1434"/>
      <c r="D55" s="1434"/>
      <c r="E55" s="1440"/>
      <c r="F55" s="1437"/>
      <c r="G55" s="1434">
        <f>SUM(G56:G59)</f>
        <v>401</v>
      </c>
      <c r="H55" s="1434">
        <f t="shared" ref="H55:Q55" si="15">SUM(H56:H59)</f>
        <v>0</v>
      </c>
      <c r="I55" s="1434">
        <f t="shared" si="15"/>
        <v>401</v>
      </c>
      <c r="J55" s="1434">
        <f t="shared" si="15"/>
        <v>16.740000000000002</v>
      </c>
      <c r="K55" s="1434">
        <f t="shared" si="15"/>
        <v>14.647500000000001</v>
      </c>
      <c r="L55" s="1434">
        <f t="shared" si="15"/>
        <v>0.5</v>
      </c>
      <c r="M55" s="1434">
        <f t="shared" si="15"/>
        <v>0</v>
      </c>
      <c r="N55" s="1434">
        <f t="shared" si="15"/>
        <v>227.83250000000001</v>
      </c>
      <c r="O55" s="1434">
        <f t="shared" si="15"/>
        <v>0</v>
      </c>
      <c r="P55" s="1434">
        <f t="shared" si="15"/>
        <v>3756957.9249999998</v>
      </c>
      <c r="Q55" s="1434">
        <f t="shared" si="15"/>
        <v>3756957.9249999998</v>
      </c>
    </row>
    <row r="56" spans="1:17" x14ac:dyDescent="0.3">
      <c r="A56" s="1417"/>
      <c r="C56" s="1417" t="s">
        <v>713</v>
      </c>
      <c r="D56" s="1417"/>
      <c r="E56" s="1428"/>
      <c r="F56" s="1433" t="s">
        <v>495</v>
      </c>
      <c r="G56" s="1417">
        <f t="shared" si="9"/>
        <v>52</v>
      </c>
      <c r="H56" s="1417"/>
      <c r="I56" s="1417">
        <v>52</v>
      </c>
      <c r="J56" s="1417">
        <v>4.4800000000000004</v>
      </c>
      <c r="K56" s="1417">
        <f t="shared" si="3"/>
        <v>4.032</v>
      </c>
      <c r="L56" s="1417">
        <v>0.1</v>
      </c>
      <c r="M56" s="1417"/>
      <c r="N56" s="1417">
        <f t="shared" si="8"/>
        <v>23.296000000000006</v>
      </c>
      <c r="O56" s="1417"/>
      <c r="P56" s="1417">
        <f t="shared" si="4"/>
        <v>384151.0400000001</v>
      </c>
      <c r="Q56" s="1417">
        <f t="shared" si="5"/>
        <v>384151.0400000001</v>
      </c>
    </row>
    <row r="57" spans="1:17" x14ac:dyDescent="0.3">
      <c r="A57" s="1417"/>
      <c r="B57" s="1435"/>
      <c r="C57" s="1417"/>
      <c r="D57" s="1417"/>
      <c r="E57" s="1428"/>
      <c r="F57" s="1433" t="s">
        <v>586</v>
      </c>
      <c r="G57" s="1417">
        <f t="shared" si="9"/>
        <v>120</v>
      </c>
      <c r="H57" s="1417"/>
      <c r="I57" s="1417">
        <v>120</v>
      </c>
      <c r="J57" s="1417">
        <v>4.4800000000000004</v>
      </c>
      <c r="K57" s="1417">
        <f t="shared" si="3"/>
        <v>3.8080000000000003</v>
      </c>
      <c r="L57" s="1417">
        <v>0.15</v>
      </c>
      <c r="M57" s="1417"/>
      <c r="N57" s="1417">
        <f t="shared" si="8"/>
        <v>80.64</v>
      </c>
      <c r="O57" s="1417"/>
      <c r="P57" s="1417">
        <f t="shared" si="4"/>
        <v>1329753.5999999999</v>
      </c>
      <c r="Q57" s="1417">
        <f t="shared" si="5"/>
        <v>1329753.5999999999</v>
      </c>
    </row>
    <row r="58" spans="1:17" x14ac:dyDescent="0.3">
      <c r="A58" s="1417"/>
      <c r="B58" s="1435"/>
      <c r="C58" s="1417" t="s">
        <v>716</v>
      </c>
      <c r="D58" s="1417"/>
      <c r="E58" s="1428"/>
      <c r="F58" s="1433" t="s">
        <v>495</v>
      </c>
      <c r="G58" s="1417">
        <f t="shared" si="9"/>
        <v>50</v>
      </c>
      <c r="H58" s="1417"/>
      <c r="I58" s="1417">
        <v>50</v>
      </c>
      <c r="J58" s="1417">
        <v>3.89</v>
      </c>
      <c r="K58" s="1417">
        <f t="shared" si="3"/>
        <v>3.5010000000000003</v>
      </c>
      <c r="L58" s="1417">
        <v>0.1</v>
      </c>
      <c r="M58" s="1417"/>
      <c r="N58" s="1417">
        <f t="shared" si="8"/>
        <v>19.450000000000003</v>
      </c>
      <c r="O58" s="1417"/>
      <c r="P58" s="1417">
        <f t="shared" si="4"/>
        <v>320730.50000000006</v>
      </c>
      <c r="Q58" s="1417">
        <f t="shared" si="5"/>
        <v>320730.50000000006</v>
      </c>
    </row>
    <row r="59" spans="1:17" x14ac:dyDescent="0.3">
      <c r="A59" s="1417"/>
      <c r="B59" s="1435"/>
      <c r="C59" s="1417"/>
      <c r="D59" s="1417"/>
      <c r="E59" s="1428"/>
      <c r="F59" s="1433" t="s">
        <v>586</v>
      </c>
      <c r="G59" s="1417">
        <f t="shared" si="9"/>
        <v>179</v>
      </c>
      <c r="H59" s="1417"/>
      <c r="I59" s="1417">
        <v>179</v>
      </c>
      <c r="J59" s="1417">
        <v>3.89</v>
      </c>
      <c r="K59" s="1417">
        <f t="shared" si="3"/>
        <v>3.3065000000000002</v>
      </c>
      <c r="L59" s="1417">
        <v>0.15</v>
      </c>
      <c r="M59" s="1417"/>
      <c r="N59" s="1417">
        <f t="shared" si="8"/>
        <v>104.4465</v>
      </c>
      <c r="O59" s="1417"/>
      <c r="P59" s="1417">
        <f t="shared" si="4"/>
        <v>1722322.7849999999</v>
      </c>
      <c r="Q59" s="1417">
        <f t="shared" si="5"/>
        <v>1722322.7849999999</v>
      </c>
    </row>
    <row r="60" spans="1:17" x14ac:dyDescent="0.3">
      <c r="A60" s="1417"/>
      <c r="B60" s="1435"/>
      <c r="C60" s="1417"/>
      <c r="D60" s="1417"/>
      <c r="E60" s="1428"/>
      <c r="F60" s="1433"/>
      <c r="G60" s="1417"/>
      <c r="H60" s="1417"/>
      <c r="I60" s="1417"/>
      <c r="J60" s="1417"/>
      <c r="K60" s="1417"/>
      <c r="L60" s="1417"/>
      <c r="M60" s="1417"/>
      <c r="N60" s="1417"/>
      <c r="O60" s="1417"/>
      <c r="P60" s="1417"/>
      <c r="Q60" s="1417"/>
    </row>
    <row r="61" spans="1:17" s="1467" customFormat="1" x14ac:dyDescent="0.3">
      <c r="A61" s="1463"/>
      <c r="B61" s="1464" t="s">
        <v>107</v>
      </c>
      <c r="C61" s="1463"/>
      <c r="D61" s="1463"/>
      <c r="E61" s="1465"/>
      <c r="F61" s="1466"/>
      <c r="G61" s="1465">
        <f>SUM(G62:G74)</f>
        <v>358.18</v>
      </c>
      <c r="H61" s="1465">
        <f>SUM(H62:H74)</f>
        <v>8.48</v>
      </c>
      <c r="I61" s="1465">
        <f>SUM(I62:I74)</f>
        <v>349.7</v>
      </c>
      <c r="J61" s="1465"/>
      <c r="K61" s="1465"/>
      <c r="L61" s="1465"/>
      <c r="M61" s="1465"/>
      <c r="N61" s="1465">
        <f>SUM(N62:N74)</f>
        <v>239.16550000000001</v>
      </c>
      <c r="O61" s="1465">
        <f>SUM(O62:O74)</f>
        <v>0</v>
      </c>
      <c r="P61" s="1465">
        <f>SUM(P62:P74)</f>
        <v>3943839.0949999997</v>
      </c>
      <c r="Q61" s="1465">
        <f>SUM(Q62:Q74)</f>
        <v>3943839.0949999997</v>
      </c>
    </row>
    <row r="62" spans="1:17" x14ac:dyDescent="0.3">
      <c r="A62" s="1417"/>
      <c r="B62" s="1435" t="s">
        <v>562</v>
      </c>
      <c r="C62" s="1417"/>
      <c r="D62" s="1417"/>
      <c r="E62" s="1428"/>
      <c r="F62" s="1433" t="s">
        <v>586</v>
      </c>
      <c r="G62" s="1417">
        <f t="shared" ref="G62:G74" si="16">SUM(H62:I62)</f>
        <v>0.5</v>
      </c>
      <c r="H62" s="1417">
        <v>0</v>
      </c>
      <c r="I62" s="1417">
        <v>0.5</v>
      </c>
      <c r="J62" s="1417">
        <v>4.3</v>
      </c>
      <c r="K62" s="1417">
        <f t="shared" ref="K62:K74" si="17">J62-(J62*L62)</f>
        <v>3.6549999999999998</v>
      </c>
      <c r="L62" s="1417">
        <v>0.15</v>
      </c>
      <c r="M62" s="1439"/>
      <c r="N62" s="1417">
        <f>I62*J62*L62</f>
        <v>0.32249999999999995</v>
      </c>
      <c r="O62" s="1417"/>
      <c r="P62" s="1417">
        <f t="shared" ref="P62:P74" si="18">N62*1000*16.49</f>
        <v>5318.0249999999987</v>
      </c>
      <c r="Q62" s="1417">
        <f t="shared" ref="Q62:Q74" si="19">P62+O62</f>
        <v>5318.0249999999987</v>
      </c>
    </row>
    <row r="63" spans="1:17" x14ac:dyDescent="0.3">
      <c r="A63" s="1417"/>
      <c r="B63" s="1435" t="s">
        <v>552</v>
      </c>
      <c r="C63" s="1417"/>
      <c r="D63" s="1417"/>
      <c r="E63" s="1428"/>
      <c r="F63" s="1433" t="s">
        <v>586</v>
      </c>
      <c r="G63" s="1417">
        <f t="shared" si="16"/>
        <v>0.2</v>
      </c>
      <c r="H63" s="1417">
        <v>0</v>
      </c>
      <c r="I63" s="1417">
        <v>0.2</v>
      </c>
      <c r="J63" s="1417">
        <v>4.3</v>
      </c>
      <c r="K63" s="1417">
        <f t="shared" si="17"/>
        <v>3.6549999999999998</v>
      </c>
      <c r="L63" s="1417">
        <v>0.15</v>
      </c>
      <c r="M63" s="1439"/>
      <c r="N63" s="1417">
        <f>I63*J63*L63</f>
        <v>0.129</v>
      </c>
      <c r="O63" s="1417"/>
      <c r="P63" s="1417">
        <f t="shared" si="18"/>
        <v>2127.2099999999996</v>
      </c>
      <c r="Q63" s="1417">
        <f t="shared" si="19"/>
        <v>2127.2099999999996</v>
      </c>
    </row>
    <row r="64" spans="1:17" x14ac:dyDescent="0.3">
      <c r="A64" s="1417"/>
      <c r="B64" s="1435" t="s">
        <v>904</v>
      </c>
      <c r="C64" s="1417"/>
      <c r="D64" s="1417"/>
      <c r="E64" s="1428"/>
      <c r="F64" s="1433" t="s">
        <v>586</v>
      </c>
      <c r="G64" s="1417">
        <f>SUM(H64:I64)</f>
        <v>25</v>
      </c>
      <c r="H64" s="1417">
        <v>0</v>
      </c>
      <c r="I64" s="1417">
        <v>25</v>
      </c>
      <c r="J64" s="1417">
        <v>3.86</v>
      </c>
      <c r="K64" s="1417">
        <f t="shared" si="17"/>
        <v>1.1579999999999999</v>
      </c>
      <c r="L64" s="1417">
        <v>0.7</v>
      </c>
      <c r="M64" s="1439"/>
      <c r="N64" s="1417">
        <f>I64*J64*L64</f>
        <v>67.55</v>
      </c>
      <c r="O64" s="1417"/>
      <c r="P64" s="1417">
        <f t="shared" si="18"/>
        <v>1113899.5</v>
      </c>
      <c r="Q64" s="1417">
        <f t="shared" si="19"/>
        <v>1113899.5</v>
      </c>
    </row>
    <row r="65" spans="1:17" x14ac:dyDescent="0.3">
      <c r="A65" s="1417"/>
      <c r="B65" s="1435" t="s">
        <v>543</v>
      </c>
      <c r="C65" s="1417"/>
      <c r="D65" s="1417"/>
      <c r="E65" s="1428"/>
      <c r="F65" s="1433" t="s">
        <v>474</v>
      </c>
      <c r="G65" s="1417">
        <f t="shared" si="16"/>
        <v>0.1</v>
      </c>
      <c r="H65" s="1417">
        <v>0.1</v>
      </c>
      <c r="I65" s="1417">
        <v>0</v>
      </c>
      <c r="J65" s="1417">
        <v>4.3</v>
      </c>
      <c r="K65" s="1417">
        <f t="shared" si="17"/>
        <v>0</v>
      </c>
      <c r="L65" s="1417">
        <v>1</v>
      </c>
      <c r="M65" s="1439"/>
      <c r="N65" s="1417">
        <f>L65*J65*H65</f>
        <v>0.43</v>
      </c>
      <c r="O65" s="1417"/>
      <c r="P65" s="1417">
        <f t="shared" si="18"/>
        <v>7090.6999999999989</v>
      </c>
      <c r="Q65" s="1417">
        <f t="shared" si="19"/>
        <v>7090.6999999999989</v>
      </c>
    </row>
    <row r="66" spans="1:17" s="1438" customFormat="1" x14ac:dyDescent="0.3">
      <c r="A66" s="1434"/>
      <c r="B66" s="1435" t="s">
        <v>566</v>
      </c>
      <c r="C66" s="1434"/>
      <c r="D66" s="1434"/>
      <c r="E66" s="1440"/>
      <c r="F66" s="1437"/>
      <c r="G66" s="1434">
        <f>SUM(G67:G68)</f>
        <v>112</v>
      </c>
      <c r="H66" s="1434">
        <f t="shared" ref="H66:Q66" si="20">SUM(H67:H68)</f>
        <v>0</v>
      </c>
      <c r="I66" s="1434">
        <f t="shared" si="20"/>
        <v>112</v>
      </c>
      <c r="J66" s="1434">
        <f t="shared" si="20"/>
        <v>8.16</v>
      </c>
      <c r="K66" s="1434">
        <f t="shared" si="20"/>
        <v>7.3439999999999994</v>
      </c>
      <c r="L66" s="1434">
        <f t="shared" si="20"/>
        <v>0.2</v>
      </c>
      <c r="M66" s="1434">
        <f t="shared" si="20"/>
        <v>0</v>
      </c>
      <c r="N66" s="1434">
        <f t="shared" si="20"/>
        <v>47.28</v>
      </c>
      <c r="O66" s="1434">
        <f t="shared" si="20"/>
        <v>0</v>
      </c>
      <c r="P66" s="1434">
        <f t="shared" si="20"/>
        <v>779647.2</v>
      </c>
      <c r="Q66" s="1434">
        <f t="shared" si="20"/>
        <v>779647.2</v>
      </c>
    </row>
    <row r="67" spans="1:17" x14ac:dyDescent="0.3">
      <c r="A67" s="1417"/>
      <c r="C67" s="1417" t="s">
        <v>713</v>
      </c>
      <c r="D67" s="1417"/>
      <c r="E67" s="1428"/>
      <c r="F67" s="1433" t="s">
        <v>474</v>
      </c>
      <c r="G67" s="1417">
        <f t="shared" si="16"/>
        <v>92</v>
      </c>
      <c r="H67" s="1417">
        <v>0</v>
      </c>
      <c r="I67" s="1417">
        <v>92</v>
      </c>
      <c r="J67" s="1417">
        <v>4.3</v>
      </c>
      <c r="K67" s="1417">
        <f t="shared" si="17"/>
        <v>3.8699999999999997</v>
      </c>
      <c r="L67" s="1417">
        <v>0.1</v>
      </c>
      <c r="M67" s="1439"/>
      <c r="N67" s="1417">
        <f>I67*J67*L67</f>
        <v>39.56</v>
      </c>
      <c r="O67" s="1417"/>
      <c r="P67" s="1417">
        <f t="shared" si="18"/>
        <v>652344.39999999991</v>
      </c>
      <c r="Q67" s="1417">
        <f t="shared" si="19"/>
        <v>652344.39999999991</v>
      </c>
    </row>
    <row r="68" spans="1:17" x14ac:dyDescent="0.3">
      <c r="A68" s="1417"/>
      <c r="B68" s="1435"/>
      <c r="C68" s="1417" t="s">
        <v>716</v>
      </c>
      <c r="D68" s="1417"/>
      <c r="E68" s="1428"/>
      <c r="F68" s="1433" t="s">
        <v>474</v>
      </c>
      <c r="G68" s="1417">
        <f t="shared" si="16"/>
        <v>20</v>
      </c>
      <c r="H68" s="1417">
        <v>0</v>
      </c>
      <c r="I68" s="1417">
        <v>20</v>
      </c>
      <c r="J68" s="1417">
        <v>3.86</v>
      </c>
      <c r="K68" s="1417">
        <f t="shared" si="17"/>
        <v>3.4739999999999998</v>
      </c>
      <c r="L68" s="1417">
        <v>0.1</v>
      </c>
      <c r="M68" s="1439"/>
      <c r="N68" s="1417">
        <f>I68*J68*L68</f>
        <v>7.7200000000000006</v>
      </c>
      <c r="O68" s="1417"/>
      <c r="P68" s="1417">
        <f t="shared" si="18"/>
        <v>127302.8</v>
      </c>
      <c r="Q68" s="1417">
        <f t="shared" si="19"/>
        <v>127302.8</v>
      </c>
    </row>
    <row r="69" spans="1:17" x14ac:dyDescent="0.3">
      <c r="A69" s="1417"/>
      <c r="B69" s="1435" t="s">
        <v>710</v>
      </c>
      <c r="C69" s="1417"/>
      <c r="D69" s="1417"/>
      <c r="E69" s="1428"/>
      <c r="F69" s="1433" t="s">
        <v>474</v>
      </c>
      <c r="G69" s="1417">
        <f>SUM(H69:I69)</f>
        <v>5.88</v>
      </c>
      <c r="H69" s="1417">
        <v>5.88</v>
      </c>
      <c r="I69" s="1417">
        <v>0</v>
      </c>
      <c r="J69" s="1417">
        <v>4.3</v>
      </c>
      <c r="K69" s="1417">
        <f t="shared" si="17"/>
        <v>0</v>
      </c>
      <c r="L69" s="1417">
        <v>1</v>
      </c>
      <c r="M69" s="1439"/>
      <c r="N69" s="1417">
        <f>L69*J69*H69</f>
        <v>25.283999999999999</v>
      </c>
      <c r="O69" s="1417"/>
      <c r="P69" s="1417">
        <f t="shared" si="18"/>
        <v>416933.16</v>
      </c>
      <c r="Q69" s="1417">
        <f t="shared" si="19"/>
        <v>416933.16</v>
      </c>
    </row>
    <row r="70" spans="1:17" x14ac:dyDescent="0.3">
      <c r="A70" s="1417"/>
      <c r="B70" s="1435" t="s">
        <v>132</v>
      </c>
      <c r="C70" s="1417" t="s">
        <v>716</v>
      </c>
      <c r="D70" s="1417"/>
      <c r="E70" s="1428"/>
      <c r="F70" s="1433" t="s">
        <v>474</v>
      </c>
      <c r="G70" s="1417">
        <f>SUM(H70:I70)</f>
        <v>2.5</v>
      </c>
      <c r="H70" s="1417">
        <v>2.5</v>
      </c>
      <c r="I70" s="1417">
        <v>0</v>
      </c>
      <c r="J70" s="1417">
        <v>3.86</v>
      </c>
      <c r="K70" s="1417">
        <f t="shared" si="17"/>
        <v>0</v>
      </c>
      <c r="L70" s="1417">
        <v>1</v>
      </c>
      <c r="M70" s="1439"/>
      <c r="N70" s="1417">
        <f>L70*J70*H70</f>
        <v>9.65</v>
      </c>
      <c r="O70" s="1417"/>
      <c r="P70" s="1417">
        <f t="shared" si="18"/>
        <v>159128.49999999997</v>
      </c>
      <c r="Q70" s="1417">
        <f t="shared" si="19"/>
        <v>159128.49999999997</v>
      </c>
    </row>
    <row r="71" spans="1:17" s="1438" customFormat="1" x14ac:dyDescent="0.3">
      <c r="A71" s="1434"/>
      <c r="B71" s="1435" t="s">
        <v>541</v>
      </c>
      <c r="C71" s="1434"/>
      <c r="D71" s="1434"/>
      <c r="E71" s="1440"/>
      <c r="F71" s="1437"/>
      <c r="G71" s="1434">
        <f>SUM(G72:G74)</f>
        <v>50</v>
      </c>
      <c r="H71" s="1434">
        <f t="shared" ref="H71:Q71" si="21">SUM(H72:H74)</f>
        <v>0</v>
      </c>
      <c r="I71" s="1434">
        <f t="shared" si="21"/>
        <v>50</v>
      </c>
      <c r="J71" s="1434">
        <f t="shared" si="21"/>
        <v>12.459999999999999</v>
      </c>
      <c r="K71" s="1434">
        <f t="shared" si="21"/>
        <v>11.213999999999999</v>
      </c>
      <c r="L71" s="1434">
        <f t="shared" si="21"/>
        <v>0.30000000000000004</v>
      </c>
      <c r="M71" s="1434">
        <f t="shared" si="21"/>
        <v>0</v>
      </c>
      <c r="N71" s="1434">
        <f t="shared" si="21"/>
        <v>20.619999999999997</v>
      </c>
      <c r="O71" s="1434">
        <f t="shared" si="21"/>
        <v>0</v>
      </c>
      <c r="P71" s="1434">
        <f t="shared" si="21"/>
        <v>340023.8</v>
      </c>
      <c r="Q71" s="1434">
        <f t="shared" si="21"/>
        <v>340023.8</v>
      </c>
    </row>
    <row r="72" spans="1:17" x14ac:dyDescent="0.3">
      <c r="A72" s="1417"/>
      <c r="C72" s="1417" t="s">
        <v>713</v>
      </c>
      <c r="D72" s="1417"/>
      <c r="E72" s="1428"/>
      <c r="F72" s="1433" t="s">
        <v>586</v>
      </c>
      <c r="G72" s="1417">
        <f t="shared" si="16"/>
        <v>10</v>
      </c>
      <c r="H72" s="1417">
        <v>0</v>
      </c>
      <c r="I72" s="1417">
        <v>10</v>
      </c>
      <c r="J72" s="1417">
        <v>4.3</v>
      </c>
      <c r="K72" s="1417">
        <f t="shared" si="17"/>
        <v>3.8699999999999997</v>
      </c>
      <c r="L72" s="1417">
        <v>0.1</v>
      </c>
      <c r="M72" s="1439"/>
      <c r="N72" s="1417">
        <f>I72*J72*L72</f>
        <v>4.3</v>
      </c>
      <c r="O72" s="1417"/>
      <c r="P72" s="1417">
        <f t="shared" si="18"/>
        <v>70907</v>
      </c>
      <c r="Q72" s="1417">
        <f t="shared" si="19"/>
        <v>70907</v>
      </c>
    </row>
    <row r="73" spans="1:17" x14ac:dyDescent="0.3">
      <c r="A73" s="1417"/>
      <c r="B73" s="1435"/>
      <c r="C73" s="1417" t="s">
        <v>713</v>
      </c>
      <c r="D73" s="1417"/>
      <c r="E73" s="1428"/>
      <c r="F73" s="1433" t="s">
        <v>474</v>
      </c>
      <c r="G73" s="1417">
        <f t="shared" si="16"/>
        <v>20</v>
      </c>
      <c r="H73" s="1417">
        <v>0</v>
      </c>
      <c r="I73" s="1417">
        <v>20</v>
      </c>
      <c r="J73" s="1417">
        <v>4.3</v>
      </c>
      <c r="K73" s="1417">
        <f t="shared" si="17"/>
        <v>3.8699999999999997</v>
      </c>
      <c r="L73" s="1417">
        <v>0.1</v>
      </c>
      <c r="M73" s="1439"/>
      <c r="N73" s="1417">
        <f>I73*J73*L73</f>
        <v>8.6</v>
      </c>
      <c r="O73" s="1417"/>
      <c r="P73" s="1417">
        <f t="shared" si="18"/>
        <v>141814</v>
      </c>
      <c r="Q73" s="1417">
        <f t="shared" si="19"/>
        <v>141814</v>
      </c>
    </row>
    <row r="74" spans="1:17" x14ac:dyDescent="0.3">
      <c r="A74" s="1417"/>
      <c r="B74" s="1435"/>
      <c r="C74" s="1417" t="s">
        <v>716</v>
      </c>
      <c r="D74" s="1417"/>
      <c r="E74" s="1428"/>
      <c r="F74" s="1433" t="s">
        <v>474</v>
      </c>
      <c r="G74" s="1417">
        <f t="shared" si="16"/>
        <v>20</v>
      </c>
      <c r="H74" s="1417">
        <v>0</v>
      </c>
      <c r="I74" s="1417">
        <v>20</v>
      </c>
      <c r="J74" s="1417">
        <v>3.86</v>
      </c>
      <c r="K74" s="1417">
        <f t="shared" si="17"/>
        <v>3.4739999999999998</v>
      </c>
      <c r="L74" s="1417">
        <v>0.1</v>
      </c>
      <c r="M74" s="1439"/>
      <c r="N74" s="1417">
        <f>I74*J74*L74</f>
        <v>7.7200000000000006</v>
      </c>
      <c r="O74" s="1417"/>
      <c r="P74" s="1417">
        <f t="shared" si="18"/>
        <v>127302.8</v>
      </c>
      <c r="Q74" s="1417">
        <f t="shared" si="19"/>
        <v>127302.8</v>
      </c>
    </row>
    <row r="75" spans="1:17" x14ac:dyDescent="0.3">
      <c r="A75" s="1417"/>
      <c r="B75" s="1435"/>
      <c r="C75" s="1417"/>
      <c r="D75" s="1417"/>
      <c r="E75" s="1428"/>
      <c r="F75" s="1433"/>
      <c r="G75" s="1417"/>
      <c r="H75" s="1417"/>
      <c r="I75" s="1417"/>
      <c r="J75" s="1417"/>
      <c r="K75" s="1417"/>
      <c r="L75" s="1417"/>
      <c r="M75" s="1417"/>
      <c r="N75" s="1417"/>
      <c r="O75" s="1417"/>
      <c r="P75" s="1417"/>
      <c r="Q75" s="1417"/>
    </row>
    <row r="76" spans="1:17" s="1467" customFormat="1" x14ac:dyDescent="0.3">
      <c r="A76" s="1463"/>
      <c r="B76" s="1464" t="s">
        <v>271</v>
      </c>
      <c r="C76" s="1463"/>
      <c r="D76" s="1463"/>
      <c r="E76" s="1465"/>
      <c r="F76" s="1466"/>
      <c r="G76" s="1465">
        <f t="shared" ref="G76:G98" si="22">SUM(H76:I76)</f>
        <v>65580.099999999991</v>
      </c>
      <c r="H76" s="1465">
        <f>SUM(H78:H226)</f>
        <v>4565.1000000000004</v>
      </c>
      <c r="I76" s="1465">
        <f>SUM(I78:I226)</f>
        <v>61014.999999999993</v>
      </c>
      <c r="J76" s="1465"/>
      <c r="K76" s="1465"/>
      <c r="L76" s="1465"/>
      <c r="M76" s="1465"/>
      <c r="N76" s="1465">
        <f>SUM(N78:N226)</f>
        <v>47477.87</v>
      </c>
      <c r="O76" s="1465">
        <f>SUM(O78:O226)</f>
        <v>4268142.0000000009</v>
      </c>
      <c r="P76" s="1465">
        <f>SUM(P78:P226)</f>
        <v>835867711.24000001</v>
      </c>
      <c r="Q76" s="1465">
        <f>SUM(Q78:Q205)</f>
        <v>840135853.24000001</v>
      </c>
    </row>
    <row r="77" spans="1:17" s="1438" customFormat="1" x14ac:dyDescent="0.3">
      <c r="A77" s="1434"/>
      <c r="B77" s="1435" t="s">
        <v>610</v>
      </c>
      <c r="C77" s="1434"/>
      <c r="D77" s="1434"/>
      <c r="E77" s="1436"/>
      <c r="F77" s="1437"/>
      <c r="G77" s="1434">
        <f>SUM(G78:G79)</f>
        <v>127</v>
      </c>
      <c r="H77" s="1434">
        <f t="shared" ref="H77:Q77" si="23">SUM(H78:H79)</f>
        <v>0</v>
      </c>
      <c r="I77" s="1434">
        <f t="shared" si="23"/>
        <v>127</v>
      </c>
      <c r="J77" s="1434">
        <f t="shared" si="23"/>
        <v>9.2200000000000006</v>
      </c>
      <c r="K77" s="1434">
        <f t="shared" si="23"/>
        <v>8.298</v>
      </c>
      <c r="L77" s="1434">
        <f t="shared" si="23"/>
        <v>0.2</v>
      </c>
      <c r="M77" s="1434">
        <f t="shared" si="23"/>
        <v>0</v>
      </c>
      <c r="N77" s="1434">
        <f t="shared" si="23"/>
        <v>58.547000000000004</v>
      </c>
      <c r="O77" s="1434">
        <f t="shared" si="23"/>
        <v>0</v>
      </c>
      <c r="P77" s="1434">
        <f t="shared" si="23"/>
        <v>1036867.3700000001</v>
      </c>
      <c r="Q77" s="1434">
        <f t="shared" si="23"/>
        <v>1036867.3700000001</v>
      </c>
    </row>
    <row r="78" spans="1:17" x14ac:dyDescent="0.3">
      <c r="A78" s="1416" t="s">
        <v>1041</v>
      </c>
      <c r="C78" s="1417" t="s">
        <v>713</v>
      </c>
      <c r="D78" s="1417"/>
      <c r="E78" s="1428"/>
      <c r="F78" s="1433" t="s">
        <v>586</v>
      </c>
      <c r="G78" s="1417">
        <f t="shared" si="22"/>
        <v>124</v>
      </c>
      <c r="H78" s="1417">
        <v>0</v>
      </c>
      <c r="I78" s="1417">
        <v>124</v>
      </c>
      <c r="J78" s="1417">
        <v>4.6100000000000003</v>
      </c>
      <c r="K78" s="1417">
        <f t="shared" ref="K78:K187" si="24">J78-(J78*L78)</f>
        <v>4.149</v>
      </c>
      <c r="L78" s="1417">
        <v>0.1</v>
      </c>
      <c r="M78" s="1439"/>
      <c r="N78" s="1417">
        <f t="shared" ref="N78:N187" si="25">I78*J78*L78</f>
        <v>57.164000000000001</v>
      </c>
      <c r="O78" s="1417"/>
      <c r="P78" s="1417">
        <f t="shared" ref="P78:P164" si="26">N78*1000*17.71</f>
        <v>1012374.4400000001</v>
      </c>
      <c r="Q78" s="1417">
        <f t="shared" ref="Q78:Q187" si="27">P78+O78</f>
        <v>1012374.4400000001</v>
      </c>
    </row>
    <row r="79" spans="1:17" x14ac:dyDescent="0.3">
      <c r="A79" s="1417"/>
      <c r="B79" s="1435"/>
      <c r="C79" s="1417"/>
      <c r="D79" s="1417"/>
      <c r="E79" s="1428"/>
      <c r="F79" s="1433" t="s">
        <v>474</v>
      </c>
      <c r="G79" s="1417">
        <f t="shared" si="22"/>
        <v>3</v>
      </c>
      <c r="H79" s="1417">
        <v>0</v>
      </c>
      <c r="I79" s="1417">
        <v>3</v>
      </c>
      <c r="J79" s="1417">
        <v>4.6100000000000003</v>
      </c>
      <c r="K79" s="1417">
        <f t="shared" si="24"/>
        <v>4.149</v>
      </c>
      <c r="L79" s="1417">
        <v>0.1</v>
      </c>
      <c r="M79" s="1439"/>
      <c r="N79" s="1417">
        <f t="shared" si="25"/>
        <v>1.3830000000000002</v>
      </c>
      <c r="O79" s="1417"/>
      <c r="P79" s="1417">
        <f t="shared" si="26"/>
        <v>24492.930000000004</v>
      </c>
      <c r="Q79" s="1417">
        <f t="shared" si="27"/>
        <v>24492.930000000004</v>
      </c>
    </row>
    <row r="80" spans="1:17" x14ac:dyDescent="0.3">
      <c r="A80" s="1417"/>
      <c r="B80" s="1435" t="s">
        <v>1042</v>
      </c>
      <c r="C80" s="1417"/>
      <c r="D80" s="1417"/>
      <c r="E80" s="1428"/>
      <c r="F80" s="1433" t="s">
        <v>586</v>
      </c>
      <c r="G80" s="1417">
        <f t="shared" si="22"/>
        <v>1028</v>
      </c>
      <c r="H80" s="1417">
        <v>0</v>
      </c>
      <c r="I80" s="1417">
        <v>1028</v>
      </c>
      <c r="J80" s="1417">
        <v>4.6100000000000003</v>
      </c>
      <c r="K80" s="1417">
        <f t="shared" si="24"/>
        <v>4.149</v>
      </c>
      <c r="L80" s="1417">
        <v>0.1</v>
      </c>
      <c r="M80" s="1439"/>
      <c r="N80" s="1417">
        <f t="shared" si="25"/>
        <v>473.90800000000002</v>
      </c>
      <c r="O80" s="1417"/>
      <c r="P80" s="1417">
        <f t="shared" si="26"/>
        <v>8392910.6799999997</v>
      </c>
      <c r="Q80" s="1417">
        <f t="shared" si="27"/>
        <v>8392910.6799999997</v>
      </c>
    </row>
    <row r="81" spans="1:18" x14ac:dyDescent="0.3">
      <c r="A81" s="1417"/>
      <c r="B81" s="1435" t="s">
        <v>739</v>
      </c>
      <c r="C81" s="1417"/>
      <c r="D81" s="1417"/>
      <c r="E81" s="1428"/>
      <c r="F81" s="1433" t="s">
        <v>474</v>
      </c>
      <c r="G81" s="1417">
        <f t="shared" si="22"/>
        <v>260</v>
      </c>
      <c r="H81" s="1417">
        <v>0</v>
      </c>
      <c r="I81" s="1417">
        <v>260</v>
      </c>
      <c r="J81" s="1417">
        <v>4.6100000000000003</v>
      </c>
      <c r="K81" s="1417">
        <f t="shared" si="24"/>
        <v>4.149</v>
      </c>
      <c r="L81" s="1417">
        <v>0.1</v>
      </c>
      <c r="M81" s="1439"/>
      <c r="N81" s="1417">
        <f t="shared" si="25"/>
        <v>119.86000000000001</v>
      </c>
      <c r="O81" s="1417"/>
      <c r="P81" s="1417">
        <f t="shared" si="26"/>
        <v>2122720.6000000006</v>
      </c>
      <c r="Q81" s="1417">
        <f t="shared" si="27"/>
        <v>2122720.6000000006</v>
      </c>
    </row>
    <row r="82" spans="1:18" x14ac:dyDescent="0.3">
      <c r="A82" s="1417"/>
      <c r="B82" s="1435" t="s">
        <v>616</v>
      </c>
      <c r="C82" s="1417"/>
      <c r="D82" s="1417"/>
      <c r="E82" s="1428"/>
      <c r="F82" s="1433" t="s">
        <v>586</v>
      </c>
      <c r="G82" s="1417">
        <f t="shared" si="22"/>
        <v>5</v>
      </c>
      <c r="H82" s="1417">
        <v>0</v>
      </c>
      <c r="I82" s="1417">
        <v>5</v>
      </c>
      <c r="J82" s="1417">
        <v>4.6100000000000003</v>
      </c>
      <c r="K82" s="1417">
        <f t="shared" si="24"/>
        <v>4.149</v>
      </c>
      <c r="L82" s="1417">
        <v>0.1</v>
      </c>
      <c r="M82" s="1439"/>
      <c r="N82" s="1417">
        <f t="shared" si="25"/>
        <v>2.3050000000000002</v>
      </c>
      <c r="O82" s="1417"/>
      <c r="P82" s="1417">
        <f t="shared" si="26"/>
        <v>40821.550000000003</v>
      </c>
      <c r="Q82" s="1417">
        <f t="shared" si="27"/>
        <v>40821.550000000003</v>
      </c>
    </row>
    <row r="83" spans="1:18" x14ac:dyDescent="0.3">
      <c r="A83" s="1417"/>
      <c r="B83" s="1435" t="s">
        <v>570</v>
      </c>
      <c r="C83" s="1417"/>
      <c r="D83" s="1417"/>
      <c r="E83" s="1428"/>
      <c r="F83" s="1433" t="s">
        <v>586</v>
      </c>
      <c r="G83" s="1417">
        <f t="shared" si="22"/>
        <v>432.1</v>
      </c>
      <c r="H83" s="1417">
        <v>0</v>
      </c>
      <c r="I83" s="1417">
        <v>432.1</v>
      </c>
      <c r="J83" s="1417">
        <v>4.6100000000000003</v>
      </c>
      <c r="K83" s="1417">
        <f t="shared" si="24"/>
        <v>4.149</v>
      </c>
      <c r="L83" s="1417">
        <v>0.1</v>
      </c>
      <c r="M83" s="1439"/>
      <c r="N83" s="1417">
        <f t="shared" si="25"/>
        <v>199.19810000000004</v>
      </c>
      <c r="O83" s="1417"/>
      <c r="P83" s="1417">
        <f t="shared" si="26"/>
        <v>3527798.3510000007</v>
      </c>
      <c r="Q83" s="1417">
        <f t="shared" si="27"/>
        <v>3527798.3510000007</v>
      </c>
    </row>
    <row r="84" spans="1:18" s="1438" customFormat="1" x14ac:dyDescent="0.3">
      <c r="A84" s="1434"/>
      <c r="B84" s="1435" t="s">
        <v>618</v>
      </c>
      <c r="C84" s="1434"/>
      <c r="D84" s="1434"/>
      <c r="E84" s="1440"/>
      <c r="F84" s="1437"/>
      <c r="G84" s="1434">
        <f>SUM(G85:G86)</f>
        <v>812</v>
      </c>
      <c r="H84" s="1434">
        <f t="shared" ref="H84:Q84" si="28">SUM(H85:H86)</f>
        <v>0</v>
      </c>
      <c r="I84" s="1434">
        <f t="shared" si="28"/>
        <v>812</v>
      </c>
      <c r="J84" s="1434">
        <f t="shared" si="28"/>
        <v>9.2200000000000006</v>
      </c>
      <c r="K84" s="1434">
        <f t="shared" si="28"/>
        <v>8.298</v>
      </c>
      <c r="L84" s="1434">
        <f t="shared" si="28"/>
        <v>0.2</v>
      </c>
      <c r="M84" s="1434">
        <f t="shared" si="28"/>
        <v>0</v>
      </c>
      <c r="N84" s="1434">
        <f t="shared" si="28"/>
        <v>374.33200000000005</v>
      </c>
      <c r="O84" s="1434">
        <f t="shared" si="28"/>
        <v>0</v>
      </c>
      <c r="P84" s="1434">
        <f t="shared" si="28"/>
        <v>6629419.7200000007</v>
      </c>
      <c r="Q84" s="1434">
        <f t="shared" si="28"/>
        <v>6629419.7200000007</v>
      </c>
    </row>
    <row r="85" spans="1:18" x14ac:dyDescent="0.3">
      <c r="A85" s="1417"/>
      <c r="C85" s="1417" t="s">
        <v>713</v>
      </c>
      <c r="D85" s="1417"/>
      <c r="E85" s="1428"/>
      <c r="F85" s="1433" t="s">
        <v>586</v>
      </c>
      <c r="G85" s="1417">
        <f>SUM(H85:I85)</f>
        <v>512</v>
      </c>
      <c r="H85" s="1417">
        <v>0</v>
      </c>
      <c r="I85" s="1417">
        <v>512</v>
      </c>
      <c r="J85" s="1417">
        <v>4.6100000000000003</v>
      </c>
      <c r="K85" s="1417">
        <f t="shared" si="24"/>
        <v>4.149</v>
      </c>
      <c r="L85" s="1417">
        <v>0.1</v>
      </c>
      <c r="M85" s="1439"/>
      <c r="N85" s="1417">
        <f t="shared" si="25"/>
        <v>236.03200000000004</v>
      </c>
      <c r="O85" s="1417"/>
      <c r="P85" s="1417">
        <f t="shared" si="26"/>
        <v>4180126.7200000007</v>
      </c>
      <c r="Q85" s="1417">
        <f t="shared" si="27"/>
        <v>4180126.7200000007</v>
      </c>
    </row>
    <row r="86" spans="1:18" x14ac:dyDescent="0.3">
      <c r="A86" s="1417"/>
      <c r="B86" s="1435"/>
      <c r="C86" s="1417"/>
      <c r="D86" s="1417"/>
      <c r="E86" s="1428"/>
      <c r="F86" s="1433" t="s">
        <v>474</v>
      </c>
      <c r="G86" s="1417">
        <f>SUM(H86:I86)</f>
        <v>300</v>
      </c>
      <c r="H86" s="1417">
        <v>0</v>
      </c>
      <c r="I86" s="1417">
        <v>300</v>
      </c>
      <c r="J86" s="1417">
        <v>4.6100000000000003</v>
      </c>
      <c r="K86" s="1417">
        <f t="shared" si="24"/>
        <v>4.149</v>
      </c>
      <c r="L86" s="1417">
        <v>0.1</v>
      </c>
      <c r="M86" s="1439"/>
      <c r="N86" s="1417">
        <f t="shared" si="25"/>
        <v>138.30000000000001</v>
      </c>
      <c r="O86" s="1417"/>
      <c r="P86" s="1417">
        <f t="shared" si="26"/>
        <v>2449293</v>
      </c>
      <c r="Q86" s="1417">
        <f t="shared" si="27"/>
        <v>2449293</v>
      </c>
    </row>
    <row r="87" spans="1:18" s="1438" customFormat="1" x14ac:dyDescent="0.3">
      <c r="A87" s="1434"/>
      <c r="B87" s="1435" t="s">
        <v>621</v>
      </c>
      <c r="C87" s="1434"/>
      <c r="D87" s="1434"/>
      <c r="E87" s="1440"/>
      <c r="F87" s="1437"/>
      <c r="G87" s="1434">
        <f>SUM(G88:G89)</f>
        <v>400</v>
      </c>
      <c r="H87" s="1434">
        <f t="shared" ref="H87:Q87" si="29">SUM(H88:H89)</f>
        <v>0</v>
      </c>
      <c r="I87" s="1434">
        <f t="shared" si="29"/>
        <v>400</v>
      </c>
      <c r="J87" s="1434">
        <f t="shared" si="29"/>
        <v>9.2200000000000006</v>
      </c>
      <c r="K87" s="1434">
        <f t="shared" si="29"/>
        <v>8.298</v>
      </c>
      <c r="L87" s="1434">
        <f t="shared" si="29"/>
        <v>0.2</v>
      </c>
      <c r="M87" s="1434">
        <f t="shared" si="29"/>
        <v>0</v>
      </c>
      <c r="N87" s="1434">
        <f t="shared" si="29"/>
        <v>184.40000000000003</v>
      </c>
      <c r="O87" s="1434">
        <f t="shared" si="29"/>
        <v>0</v>
      </c>
      <c r="P87" s="1434">
        <f t="shared" si="29"/>
        <v>3265724</v>
      </c>
      <c r="Q87" s="1434">
        <f t="shared" si="29"/>
        <v>3265724</v>
      </c>
    </row>
    <row r="88" spans="1:18" x14ac:dyDescent="0.3">
      <c r="A88" s="1417"/>
      <c r="C88" s="1417"/>
      <c r="D88" s="1417"/>
      <c r="E88" s="1428"/>
      <c r="F88" s="1433" t="s">
        <v>586</v>
      </c>
      <c r="G88" s="1417">
        <f t="shared" si="22"/>
        <v>300</v>
      </c>
      <c r="H88" s="1417">
        <v>0</v>
      </c>
      <c r="I88" s="1417">
        <v>300</v>
      </c>
      <c r="J88" s="1417">
        <v>4.6100000000000003</v>
      </c>
      <c r="K88" s="1417">
        <f t="shared" si="24"/>
        <v>4.149</v>
      </c>
      <c r="L88" s="1417">
        <v>0.1</v>
      </c>
      <c r="M88" s="1439"/>
      <c r="N88" s="1417">
        <f t="shared" si="25"/>
        <v>138.30000000000001</v>
      </c>
      <c r="O88" s="1417"/>
      <c r="P88" s="1417">
        <f t="shared" si="26"/>
        <v>2449293</v>
      </c>
      <c r="Q88" s="1417">
        <f t="shared" si="27"/>
        <v>2449293</v>
      </c>
    </row>
    <row r="89" spans="1:18" x14ac:dyDescent="0.3">
      <c r="A89" s="1417"/>
      <c r="B89" s="1435"/>
      <c r="C89" s="1417"/>
      <c r="D89" s="1417"/>
      <c r="E89" s="1428"/>
      <c r="F89" s="1433" t="s">
        <v>474</v>
      </c>
      <c r="G89" s="1417">
        <f t="shared" si="22"/>
        <v>100</v>
      </c>
      <c r="H89" s="1417">
        <v>0</v>
      </c>
      <c r="I89" s="1417">
        <v>100</v>
      </c>
      <c r="J89" s="1417">
        <v>4.6100000000000003</v>
      </c>
      <c r="K89" s="1417">
        <f t="shared" si="24"/>
        <v>4.149</v>
      </c>
      <c r="L89" s="1417">
        <v>0.1</v>
      </c>
      <c r="M89" s="1439"/>
      <c r="N89" s="1417">
        <f t="shared" si="25"/>
        <v>46.100000000000009</v>
      </c>
      <c r="O89" s="1417"/>
      <c r="P89" s="1417">
        <f t="shared" si="26"/>
        <v>816431.00000000012</v>
      </c>
      <c r="Q89" s="1417">
        <f t="shared" si="27"/>
        <v>816431.00000000012</v>
      </c>
    </row>
    <row r="90" spans="1:18" s="1438" customFormat="1" x14ac:dyDescent="0.3">
      <c r="A90" s="1434"/>
      <c r="B90" s="1435" t="s">
        <v>617</v>
      </c>
      <c r="C90" s="1434"/>
      <c r="D90" s="1434"/>
      <c r="E90" s="1440"/>
      <c r="F90" s="1437"/>
      <c r="G90" s="1434">
        <f>SUM(G91:G92)</f>
        <v>1800</v>
      </c>
      <c r="H90" s="1434">
        <f t="shared" ref="H90:Q90" si="30">SUM(H91:H92)</f>
        <v>0</v>
      </c>
      <c r="I90" s="1434">
        <f t="shared" si="30"/>
        <v>1800</v>
      </c>
      <c r="J90" s="1434">
        <f t="shared" si="30"/>
        <v>9.2200000000000006</v>
      </c>
      <c r="K90" s="1434">
        <f t="shared" si="30"/>
        <v>8.298</v>
      </c>
      <c r="L90" s="1434">
        <f t="shared" si="30"/>
        <v>0.2</v>
      </c>
      <c r="M90" s="1434">
        <f t="shared" si="30"/>
        <v>0</v>
      </c>
      <c r="N90" s="1434">
        <f t="shared" si="30"/>
        <v>829.80000000000018</v>
      </c>
      <c r="O90" s="1434">
        <f t="shared" si="30"/>
        <v>0</v>
      </c>
      <c r="P90" s="1434">
        <f t="shared" si="30"/>
        <v>14695758.000000002</v>
      </c>
      <c r="Q90" s="1434">
        <f t="shared" si="30"/>
        <v>14695758.000000002</v>
      </c>
    </row>
    <row r="91" spans="1:18" x14ac:dyDescent="0.3">
      <c r="A91" s="1417"/>
      <c r="C91" s="1417"/>
      <c r="D91" s="1417"/>
      <c r="E91" s="1428"/>
      <c r="F91" s="1433" t="s">
        <v>586</v>
      </c>
      <c r="G91" s="1417">
        <f>SUM(H91:I91)</f>
        <v>1500</v>
      </c>
      <c r="H91" s="1417">
        <v>0</v>
      </c>
      <c r="I91" s="1417">
        <v>1500</v>
      </c>
      <c r="J91" s="1417">
        <v>4.6100000000000003</v>
      </c>
      <c r="K91" s="1417">
        <f t="shared" si="24"/>
        <v>4.149</v>
      </c>
      <c r="L91" s="1417">
        <v>0.1</v>
      </c>
      <c r="M91" s="1439"/>
      <c r="N91" s="1417">
        <f t="shared" si="25"/>
        <v>691.50000000000011</v>
      </c>
      <c r="O91" s="1417"/>
      <c r="P91" s="1417">
        <f t="shared" si="26"/>
        <v>12246465.000000002</v>
      </c>
      <c r="Q91" s="1417">
        <f t="shared" si="27"/>
        <v>12246465.000000002</v>
      </c>
    </row>
    <row r="92" spans="1:18" x14ac:dyDescent="0.3">
      <c r="A92" s="1417"/>
      <c r="B92" s="1435"/>
      <c r="C92" s="1417"/>
      <c r="D92" s="1417"/>
      <c r="E92" s="1428"/>
      <c r="F92" s="1433" t="s">
        <v>474</v>
      </c>
      <c r="G92" s="1417">
        <f>SUM(H92:I92)</f>
        <v>300</v>
      </c>
      <c r="H92" s="1417">
        <v>0</v>
      </c>
      <c r="I92" s="1417">
        <v>300</v>
      </c>
      <c r="J92" s="1417">
        <v>4.6100000000000003</v>
      </c>
      <c r="K92" s="1417">
        <f t="shared" si="24"/>
        <v>4.149</v>
      </c>
      <c r="L92" s="1417">
        <v>0.1</v>
      </c>
      <c r="M92" s="1439"/>
      <c r="N92" s="1417">
        <f t="shared" si="25"/>
        <v>138.30000000000001</v>
      </c>
      <c r="O92" s="1417"/>
      <c r="P92" s="1417">
        <f t="shared" si="26"/>
        <v>2449293</v>
      </c>
      <c r="Q92" s="1417">
        <f t="shared" si="27"/>
        <v>2449293</v>
      </c>
    </row>
    <row r="93" spans="1:18" x14ac:dyDescent="0.3">
      <c r="A93" s="1417"/>
      <c r="B93" s="1435" t="s">
        <v>616</v>
      </c>
      <c r="C93" s="1417"/>
      <c r="D93" s="1417"/>
      <c r="E93" s="1428"/>
      <c r="F93" s="1433" t="s">
        <v>586</v>
      </c>
      <c r="G93" s="1417">
        <f>SUM(H93:I93)</f>
        <v>737</v>
      </c>
      <c r="H93" s="1417">
        <v>0</v>
      </c>
      <c r="I93" s="1417">
        <v>737</v>
      </c>
      <c r="J93" s="1417">
        <v>4.6100000000000003</v>
      </c>
      <c r="K93" s="1417">
        <f t="shared" si="24"/>
        <v>4.149</v>
      </c>
      <c r="L93" s="1417">
        <v>0.1</v>
      </c>
      <c r="M93" s="1439"/>
      <c r="N93" s="1417">
        <f t="shared" si="25"/>
        <v>339.75700000000006</v>
      </c>
      <c r="O93" s="1417"/>
      <c r="P93" s="1417">
        <f t="shared" si="26"/>
        <v>6017096.4700000016</v>
      </c>
      <c r="Q93" s="1417">
        <f t="shared" si="27"/>
        <v>6017096.4700000016</v>
      </c>
    </row>
    <row r="94" spans="1:18" x14ac:dyDescent="0.3">
      <c r="A94" s="1441"/>
      <c r="B94" s="1442" t="s">
        <v>613</v>
      </c>
      <c r="C94" s="1441"/>
      <c r="D94" s="1441"/>
      <c r="E94" s="1443"/>
      <c r="F94" s="1444" t="s">
        <v>586</v>
      </c>
      <c r="G94" s="1441">
        <f>SUM(H94:I94)</f>
        <v>500</v>
      </c>
      <c r="H94" s="1441">
        <v>0</v>
      </c>
      <c r="I94" s="1441">
        <v>500</v>
      </c>
      <c r="J94" s="1441">
        <v>4.6100000000000003</v>
      </c>
      <c r="K94" s="1441">
        <f t="shared" si="24"/>
        <v>4.149</v>
      </c>
      <c r="L94" s="1441">
        <v>0.1</v>
      </c>
      <c r="M94" s="1445"/>
      <c r="N94" s="1441">
        <f t="shared" si="25"/>
        <v>230.5</v>
      </c>
      <c r="O94" s="1441"/>
      <c r="P94" s="1441">
        <f t="shared" si="26"/>
        <v>4082155</v>
      </c>
      <c r="Q94" s="1441">
        <f t="shared" si="27"/>
        <v>4082155</v>
      </c>
      <c r="R94" s="1446"/>
    </row>
    <row r="95" spans="1:18" x14ac:dyDescent="0.3">
      <c r="A95" s="1441"/>
      <c r="B95" s="1442" t="s">
        <v>614</v>
      </c>
      <c r="C95" s="1441"/>
      <c r="D95" s="1441"/>
      <c r="E95" s="1443"/>
      <c r="F95" s="1444" t="s">
        <v>586</v>
      </c>
      <c r="G95" s="1441">
        <f>SUM(H95:I95)</f>
        <v>680</v>
      </c>
      <c r="H95" s="1441">
        <v>0</v>
      </c>
      <c r="I95" s="1441">
        <v>680</v>
      </c>
      <c r="J95" s="1441">
        <v>4.6100000000000003</v>
      </c>
      <c r="K95" s="1441">
        <f t="shared" si="24"/>
        <v>4.149</v>
      </c>
      <c r="L95" s="1441">
        <v>0.1</v>
      </c>
      <c r="M95" s="1445"/>
      <c r="N95" s="1441">
        <f t="shared" si="25"/>
        <v>313.48</v>
      </c>
      <c r="O95" s="1441"/>
      <c r="P95" s="1441">
        <f t="shared" si="26"/>
        <v>5551730.7999999998</v>
      </c>
      <c r="Q95" s="1441">
        <f t="shared" si="27"/>
        <v>5551730.7999999998</v>
      </c>
      <c r="R95" s="1446"/>
    </row>
    <row r="96" spans="1:18" x14ac:dyDescent="0.3">
      <c r="A96" s="1441"/>
      <c r="B96" s="1442"/>
      <c r="C96" s="1441"/>
      <c r="D96" s="1441"/>
      <c r="E96" s="1443"/>
      <c r="F96" s="1444"/>
      <c r="G96" s="1441"/>
      <c r="H96" s="1441"/>
      <c r="I96" s="1441"/>
      <c r="J96" s="1441"/>
      <c r="K96" s="1441"/>
      <c r="L96" s="1441"/>
      <c r="M96" s="1445"/>
      <c r="N96" s="1441"/>
      <c r="O96" s="1441"/>
      <c r="P96" s="1441"/>
      <c r="Q96" s="1441"/>
      <c r="R96" s="1446"/>
    </row>
    <row r="97" spans="1:18" x14ac:dyDescent="0.3">
      <c r="A97" s="1447" t="s">
        <v>1043</v>
      </c>
      <c r="B97" s="1442" t="s">
        <v>909</v>
      </c>
      <c r="C97" s="1441"/>
      <c r="D97" s="1441"/>
      <c r="E97" s="1443"/>
      <c r="F97" s="1444" t="s">
        <v>586</v>
      </c>
      <c r="G97" s="1441">
        <f t="shared" si="22"/>
        <v>45</v>
      </c>
      <c r="H97" s="1441">
        <v>0</v>
      </c>
      <c r="I97" s="1441">
        <v>45</v>
      </c>
      <c r="J97" s="1441">
        <v>4.6100000000000003</v>
      </c>
      <c r="K97" s="1441">
        <f t="shared" si="24"/>
        <v>4.149</v>
      </c>
      <c r="L97" s="1441">
        <v>0.1</v>
      </c>
      <c r="M97" s="1445"/>
      <c r="N97" s="1441">
        <f t="shared" si="25"/>
        <v>20.745000000000005</v>
      </c>
      <c r="O97" s="1441"/>
      <c r="P97" s="1441">
        <f t="shared" si="26"/>
        <v>367393.95000000007</v>
      </c>
      <c r="Q97" s="1441">
        <f t="shared" si="27"/>
        <v>367393.95000000007</v>
      </c>
      <c r="R97" s="1446"/>
    </row>
    <row r="98" spans="1:18" x14ac:dyDescent="0.3">
      <c r="A98" s="1441"/>
      <c r="B98" s="1442" t="s">
        <v>488</v>
      </c>
      <c r="C98" s="1441"/>
      <c r="D98" s="1441"/>
      <c r="E98" s="1443"/>
      <c r="F98" s="1444" t="s">
        <v>586</v>
      </c>
      <c r="G98" s="1441">
        <f t="shared" si="22"/>
        <v>69</v>
      </c>
      <c r="H98" s="1441">
        <v>0</v>
      </c>
      <c r="I98" s="1441">
        <v>69</v>
      </c>
      <c r="J98" s="1441">
        <v>4.6100000000000003</v>
      </c>
      <c r="K98" s="1441">
        <f t="shared" si="24"/>
        <v>4.149</v>
      </c>
      <c r="L98" s="1441">
        <v>0.1</v>
      </c>
      <c r="M98" s="1445"/>
      <c r="N98" s="1441">
        <f>I98*J98*L98</f>
        <v>31.809000000000005</v>
      </c>
      <c r="O98" s="1441"/>
      <c r="P98" s="1441">
        <f t="shared" si="26"/>
        <v>563337.39000000013</v>
      </c>
      <c r="Q98" s="1441">
        <f t="shared" si="27"/>
        <v>563337.39000000013</v>
      </c>
      <c r="R98" s="1446"/>
    </row>
    <row r="99" spans="1:18" s="1438" customFormat="1" x14ac:dyDescent="0.3">
      <c r="A99" s="1448"/>
      <c r="B99" s="1442" t="s">
        <v>624</v>
      </c>
      <c r="C99" s="1448"/>
      <c r="D99" s="1448"/>
      <c r="E99" s="1449"/>
      <c r="F99" s="1450"/>
      <c r="G99" s="1434">
        <f>SUM(G100:G102)</f>
        <v>2133</v>
      </c>
      <c r="H99" s="1434">
        <f t="shared" ref="H99:Q99" si="31">SUM(H100:H102)</f>
        <v>333</v>
      </c>
      <c r="I99" s="1434">
        <f t="shared" si="31"/>
        <v>1800</v>
      </c>
      <c r="J99" s="1434">
        <f t="shared" si="31"/>
        <v>13.830000000000002</v>
      </c>
      <c r="K99" s="1434">
        <f t="shared" si="31"/>
        <v>4.149</v>
      </c>
      <c r="L99" s="1434">
        <f t="shared" si="31"/>
        <v>200.1</v>
      </c>
      <c r="M99" s="1434">
        <f t="shared" si="31"/>
        <v>0</v>
      </c>
      <c r="N99" s="1434">
        <f t="shared" si="31"/>
        <v>2364.9300000000003</v>
      </c>
      <c r="O99" s="1434">
        <f t="shared" si="31"/>
        <v>0</v>
      </c>
      <c r="P99" s="1434">
        <f t="shared" si="31"/>
        <v>41882910.300000012</v>
      </c>
      <c r="Q99" s="1434">
        <f t="shared" si="31"/>
        <v>41882910.300000012</v>
      </c>
      <c r="R99" s="1451"/>
    </row>
    <row r="100" spans="1:18" x14ac:dyDescent="0.3">
      <c r="A100" s="1441"/>
      <c r="C100" s="1441"/>
      <c r="D100" s="1441"/>
      <c r="E100" s="1443"/>
      <c r="F100" s="1444" t="s">
        <v>586</v>
      </c>
      <c r="G100" s="1441">
        <f>SUM(H100:I100)</f>
        <v>1800</v>
      </c>
      <c r="H100" s="1441">
        <v>0</v>
      </c>
      <c r="I100" s="1441">
        <v>1800</v>
      </c>
      <c r="J100" s="1441">
        <v>4.6100000000000003</v>
      </c>
      <c r="K100" s="1441">
        <f t="shared" si="24"/>
        <v>4.149</v>
      </c>
      <c r="L100" s="1441">
        <v>0.1</v>
      </c>
      <c r="M100" s="1445"/>
      <c r="N100" s="1441">
        <f t="shared" si="25"/>
        <v>829.80000000000007</v>
      </c>
      <c r="O100" s="1441"/>
      <c r="P100" s="1441">
        <f t="shared" si="26"/>
        <v>14695758.000000002</v>
      </c>
      <c r="Q100" s="1441">
        <f t="shared" si="27"/>
        <v>14695758.000000002</v>
      </c>
      <c r="R100" s="1446"/>
    </row>
    <row r="101" spans="1:18" x14ac:dyDescent="0.3">
      <c r="A101" s="1441"/>
      <c r="B101" s="1442"/>
      <c r="C101" s="1441"/>
      <c r="D101" s="1441"/>
      <c r="E101" s="1443"/>
      <c r="F101" s="1444" t="s">
        <v>743</v>
      </c>
      <c r="G101" s="1441">
        <f>SUM(H101:I101)</f>
        <v>133</v>
      </c>
      <c r="H101" s="1441">
        <v>133</v>
      </c>
      <c r="I101" s="1441"/>
      <c r="J101" s="1441">
        <v>4.6100000000000003</v>
      </c>
      <c r="K101" s="1441"/>
      <c r="L101" s="1441">
        <v>100</v>
      </c>
      <c r="M101" s="1445"/>
      <c r="N101" s="1441">
        <f>J101*H101</f>
        <v>613.13</v>
      </c>
      <c r="O101" s="1441"/>
      <c r="P101" s="1441">
        <f t="shared" si="26"/>
        <v>10858532.300000001</v>
      </c>
      <c r="Q101" s="1441">
        <f t="shared" si="27"/>
        <v>10858532.300000001</v>
      </c>
      <c r="R101" s="1446"/>
    </row>
    <row r="102" spans="1:18" x14ac:dyDescent="0.3">
      <c r="A102" s="1441"/>
      <c r="B102" s="1442"/>
      <c r="C102" s="1441"/>
      <c r="D102" s="1441"/>
      <c r="E102" s="1443"/>
      <c r="F102" s="1444" t="s">
        <v>482</v>
      </c>
      <c r="G102" s="1441">
        <f>SUM(H102:I102)</f>
        <v>200</v>
      </c>
      <c r="H102" s="1441">
        <v>200</v>
      </c>
      <c r="I102" s="1441"/>
      <c r="J102" s="1441">
        <v>4.6100000000000003</v>
      </c>
      <c r="K102" s="1441"/>
      <c r="L102" s="1441">
        <v>100</v>
      </c>
      <c r="M102" s="1445"/>
      <c r="N102" s="1441">
        <f>J102*H102</f>
        <v>922.00000000000011</v>
      </c>
      <c r="O102" s="1441"/>
      <c r="P102" s="1441">
        <f t="shared" si="26"/>
        <v>16328620.000000004</v>
      </c>
      <c r="Q102" s="1441">
        <f t="shared" si="27"/>
        <v>16328620.000000004</v>
      </c>
      <c r="R102" s="1446"/>
    </row>
    <row r="103" spans="1:18" s="1438" customFormat="1" x14ac:dyDescent="0.3">
      <c r="A103" s="1448"/>
      <c r="B103" s="1442" t="s">
        <v>1044</v>
      </c>
      <c r="C103" s="1448"/>
      <c r="D103" s="1448"/>
      <c r="E103" s="1449"/>
      <c r="F103" s="1450"/>
      <c r="G103" s="1434">
        <f>SUM(G104:G105)</f>
        <v>430</v>
      </c>
      <c r="H103" s="1434">
        <f t="shared" ref="H103:Q103" si="32">SUM(H104:H105)</f>
        <v>200</v>
      </c>
      <c r="I103" s="1434">
        <f t="shared" si="32"/>
        <v>230</v>
      </c>
      <c r="J103" s="1434">
        <f t="shared" si="32"/>
        <v>9.2200000000000006</v>
      </c>
      <c r="K103" s="1434">
        <f t="shared" si="32"/>
        <v>3.9185000000000003</v>
      </c>
      <c r="L103" s="1434">
        <f t="shared" si="32"/>
        <v>1.1499999999999999</v>
      </c>
      <c r="M103" s="1434">
        <f t="shared" si="32"/>
        <v>0</v>
      </c>
      <c r="N103" s="1434">
        <f t="shared" si="32"/>
        <v>1081.0450000000001</v>
      </c>
      <c r="O103" s="1434">
        <f t="shared" si="32"/>
        <v>0</v>
      </c>
      <c r="P103" s="1434">
        <f t="shared" si="32"/>
        <v>19145306.950000003</v>
      </c>
      <c r="Q103" s="1434">
        <f t="shared" si="32"/>
        <v>19145306.950000003</v>
      </c>
      <c r="R103" s="1451"/>
    </row>
    <row r="104" spans="1:18" x14ac:dyDescent="0.3">
      <c r="A104" s="1441"/>
      <c r="C104" s="1441"/>
      <c r="D104" s="1441"/>
      <c r="E104" s="1443"/>
      <c r="F104" s="1444" t="s">
        <v>586</v>
      </c>
      <c r="G104" s="1441">
        <f>SUM(H104:I104)</f>
        <v>230</v>
      </c>
      <c r="H104" s="1441">
        <v>0</v>
      </c>
      <c r="I104" s="1441">
        <v>230</v>
      </c>
      <c r="J104" s="1441">
        <v>4.6100000000000003</v>
      </c>
      <c r="K104" s="1441">
        <f>J104-(J104*L104)</f>
        <v>3.9185000000000003</v>
      </c>
      <c r="L104" s="1441">
        <v>0.15</v>
      </c>
      <c r="M104" s="1445"/>
      <c r="N104" s="1441">
        <f t="shared" ref="N104:N117" si="33">I104*J104*L104</f>
        <v>159.04500000000002</v>
      </c>
      <c r="O104" s="1441"/>
      <c r="P104" s="1441">
        <f t="shared" si="26"/>
        <v>2816686.9500000007</v>
      </c>
      <c r="Q104" s="1441">
        <f t="shared" si="27"/>
        <v>2816686.9500000007</v>
      </c>
      <c r="R104" s="1446"/>
    </row>
    <row r="105" spans="1:18" x14ac:dyDescent="0.3">
      <c r="A105" s="1441"/>
      <c r="B105" s="1442"/>
      <c r="C105" s="1441"/>
      <c r="D105" s="1441"/>
      <c r="E105" s="1443"/>
      <c r="F105" s="1444" t="s">
        <v>474</v>
      </c>
      <c r="G105" s="1441">
        <f t="shared" ref="G105:G117" si="34">SUM(H105:I105)</f>
        <v>200</v>
      </c>
      <c r="H105" s="1441">
        <v>200</v>
      </c>
      <c r="I105" s="1441"/>
      <c r="J105" s="1441">
        <v>4.6100000000000003</v>
      </c>
      <c r="K105" s="1441">
        <f>J105-(J105*L105)</f>
        <v>0</v>
      </c>
      <c r="L105" s="1441">
        <v>1</v>
      </c>
      <c r="M105" s="1445"/>
      <c r="N105" s="1441">
        <f>J105*H105</f>
        <v>922.00000000000011</v>
      </c>
      <c r="O105" s="1441"/>
      <c r="P105" s="1441">
        <f t="shared" si="26"/>
        <v>16328620.000000004</v>
      </c>
      <c r="Q105" s="1441">
        <f t="shared" si="27"/>
        <v>16328620.000000004</v>
      </c>
      <c r="R105" s="1446"/>
    </row>
    <row r="106" spans="1:18" s="1438" customFormat="1" x14ac:dyDescent="0.3">
      <c r="A106" s="1448"/>
      <c r="B106" s="1442" t="s">
        <v>486</v>
      </c>
      <c r="C106" s="1448"/>
      <c r="D106" s="1448"/>
      <c r="E106" s="1449"/>
      <c r="F106" s="1450"/>
      <c r="G106" s="1434">
        <f>SUM(G107:G108)</f>
        <v>447</v>
      </c>
      <c r="H106" s="1434">
        <f t="shared" ref="H106:Q106" si="35">SUM(H107:H108)</f>
        <v>0</v>
      </c>
      <c r="I106" s="1434">
        <f t="shared" si="35"/>
        <v>447</v>
      </c>
      <c r="J106" s="1434">
        <f t="shared" si="35"/>
        <v>9.2200000000000006</v>
      </c>
      <c r="K106" s="1434">
        <f t="shared" si="35"/>
        <v>0</v>
      </c>
      <c r="L106" s="1434">
        <f t="shared" si="35"/>
        <v>0.2</v>
      </c>
      <c r="M106" s="1434">
        <f t="shared" si="35"/>
        <v>0</v>
      </c>
      <c r="N106" s="1434">
        <f t="shared" si="35"/>
        <v>206.06700000000004</v>
      </c>
      <c r="O106" s="1434">
        <f t="shared" si="35"/>
        <v>0</v>
      </c>
      <c r="P106" s="1434">
        <f t="shared" si="35"/>
        <v>3649446.5700000012</v>
      </c>
      <c r="Q106" s="1434">
        <f t="shared" si="35"/>
        <v>3649446.5700000012</v>
      </c>
      <c r="R106" s="1451"/>
    </row>
    <row r="107" spans="1:18" x14ac:dyDescent="0.3">
      <c r="A107" s="1441"/>
      <c r="C107" s="1441"/>
      <c r="D107" s="1441"/>
      <c r="E107" s="1443"/>
      <c r="F107" s="1444" t="s">
        <v>504</v>
      </c>
      <c r="G107" s="1441">
        <f t="shared" si="34"/>
        <v>348</v>
      </c>
      <c r="H107" s="1441">
        <v>0</v>
      </c>
      <c r="I107" s="1441">
        <v>348</v>
      </c>
      <c r="J107" s="1441">
        <v>4.6100000000000003</v>
      </c>
      <c r="K107" s="1441"/>
      <c r="L107" s="1441">
        <v>0.1</v>
      </c>
      <c r="M107" s="1445"/>
      <c r="N107" s="1441">
        <f t="shared" si="33"/>
        <v>160.42800000000003</v>
      </c>
      <c r="O107" s="1441"/>
      <c r="P107" s="1441">
        <f t="shared" si="26"/>
        <v>2841179.8800000008</v>
      </c>
      <c r="Q107" s="1441">
        <f t="shared" si="27"/>
        <v>2841179.8800000008</v>
      </c>
      <c r="R107" s="1446"/>
    </row>
    <row r="108" spans="1:18" x14ac:dyDescent="0.3">
      <c r="A108" s="1441"/>
      <c r="B108" s="1442"/>
      <c r="C108" s="1441"/>
      <c r="D108" s="1441"/>
      <c r="E108" s="1443"/>
      <c r="F108" s="1444" t="s">
        <v>474</v>
      </c>
      <c r="G108" s="1441">
        <f t="shared" si="34"/>
        <v>99</v>
      </c>
      <c r="H108" s="1441">
        <v>0</v>
      </c>
      <c r="I108" s="1441">
        <v>99</v>
      </c>
      <c r="J108" s="1441">
        <v>4.6100000000000003</v>
      </c>
      <c r="K108" s="1441"/>
      <c r="L108" s="1441">
        <v>0.1</v>
      </c>
      <c r="M108" s="1445"/>
      <c r="N108" s="1441">
        <f t="shared" si="33"/>
        <v>45.63900000000001</v>
      </c>
      <c r="O108" s="1441"/>
      <c r="P108" s="1441">
        <f t="shared" si="26"/>
        <v>808266.69000000018</v>
      </c>
      <c r="Q108" s="1441">
        <f t="shared" si="27"/>
        <v>808266.69000000018</v>
      </c>
      <c r="R108" s="1446"/>
    </row>
    <row r="109" spans="1:18" s="1438" customFormat="1" x14ac:dyDescent="0.3">
      <c r="A109" s="1448"/>
      <c r="B109" s="1442" t="s">
        <v>623</v>
      </c>
      <c r="C109" s="1448"/>
      <c r="D109" s="1448"/>
      <c r="E109" s="1449"/>
      <c r="F109" s="1450"/>
      <c r="G109" s="1434">
        <f>SUM(G110:G111)</f>
        <v>379</v>
      </c>
      <c r="H109" s="1434">
        <f t="shared" ref="H109:Q109" si="36">SUM(H110:H111)</f>
        <v>14</v>
      </c>
      <c r="I109" s="1434">
        <f t="shared" si="36"/>
        <v>365</v>
      </c>
      <c r="J109" s="1434">
        <f t="shared" si="36"/>
        <v>4.6100000000000003</v>
      </c>
      <c r="K109" s="1434">
        <f t="shared" si="36"/>
        <v>0</v>
      </c>
      <c r="L109" s="1434">
        <f t="shared" si="36"/>
        <v>0.1</v>
      </c>
      <c r="M109" s="1434">
        <f t="shared" si="36"/>
        <v>0</v>
      </c>
      <c r="N109" s="1434">
        <f t="shared" si="36"/>
        <v>168.26500000000001</v>
      </c>
      <c r="O109" s="1434">
        <f t="shared" si="36"/>
        <v>24996</v>
      </c>
      <c r="P109" s="1434">
        <f t="shared" si="36"/>
        <v>2979973.1500000008</v>
      </c>
      <c r="Q109" s="1434">
        <f t="shared" si="36"/>
        <v>3004969.1500000008</v>
      </c>
      <c r="R109" s="1451"/>
    </row>
    <row r="110" spans="1:18" x14ac:dyDescent="0.3">
      <c r="A110" s="1441"/>
      <c r="C110" s="1441"/>
      <c r="D110" s="1441"/>
      <c r="E110" s="1443"/>
      <c r="F110" s="1444" t="s">
        <v>482</v>
      </c>
      <c r="G110" s="1441">
        <f t="shared" si="34"/>
        <v>14</v>
      </c>
      <c r="H110" s="1441">
        <v>14</v>
      </c>
      <c r="I110" s="1441"/>
      <c r="J110" s="1441"/>
      <c r="K110" s="1441"/>
      <c r="L110" s="1441"/>
      <c r="M110" s="1445"/>
      <c r="N110" s="1441">
        <f t="shared" si="33"/>
        <v>0</v>
      </c>
      <c r="O110" s="1441">
        <v>24996</v>
      </c>
      <c r="P110" s="1441">
        <f t="shared" si="26"/>
        <v>0</v>
      </c>
      <c r="Q110" s="1441">
        <f t="shared" si="27"/>
        <v>24996</v>
      </c>
      <c r="R110" s="1446"/>
    </row>
    <row r="111" spans="1:18" x14ac:dyDescent="0.3">
      <c r="A111" s="1441"/>
      <c r="B111" s="1442"/>
      <c r="C111" s="1441"/>
      <c r="D111" s="1441"/>
      <c r="E111" s="1443"/>
      <c r="F111" s="1444" t="s">
        <v>586</v>
      </c>
      <c r="G111" s="1441">
        <f t="shared" si="34"/>
        <v>365</v>
      </c>
      <c r="H111" s="1441">
        <v>0</v>
      </c>
      <c r="I111" s="1441">
        <v>365</v>
      </c>
      <c r="J111" s="1441">
        <v>4.6100000000000003</v>
      </c>
      <c r="K111" s="1441"/>
      <c r="L111" s="1441">
        <v>0.1</v>
      </c>
      <c r="M111" s="1445"/>
      <c r="N111" s="1441">
        <f t="shared" si="33"/>
        <v>168.26500000000001</v>
      </c>
      <c r="O111" s="1441"/>
      <c r="P111" s="1441">
        <f t="shared" si="26"/>
        <v>2979973.1500000008</v>
      </c>
      <c r="Q111" s="1441">
        <f t="shared" si="27"/>
        <v>2979973.1500000008</v>
      </c>
      <c r="R111" s="1446"/>
    </row>
    <row r="112" spans="1:18" s="1438" customFormat="1" x14ac:dyDescent="0.3">
      <c r="A112" s="1448"/>
      <c r="B112" s="1442" t="s">
        <v>483</v>
      </c>
      <c r="C112" s="1448"/>
      <c r="D112" s="1448"/>
      <c r="E112" s="1449"/>
      <c r="F112" s="1450"/>
      <c r="G112" s="1434">
        <f>SUM(G113:G114)</f>
        <v>837.55</v>
      </c>
      <c r="H112" s="1434">
        <f t="shared" ref="H112:Q112" si="37">SUM(H113:H114)</f>
        <v>94.55</v>
      </c>
      <c r="I112" s="1434">
        <f t="shared" si="37"/>
        <v>743</v>
      </c>
      <c r="J112" s="1434">
        <f t="shared" si="37"/>
        <v>9.2200000000000006</v>
      </c>
      <c r="K112" s="1434">
        <f t="shared" si="37"/>
        <v>0</v>
      </c>
      <c r="L112" s="1434">
        <f t="shared" si="37"/>
        <v>1.1000000000000001</v>
      </c>
      <c r="M112" s="1434">
        <f t="shared" si="37"/>
        <v>0</v>
      </c>
      <c r="N112" s="1434">
        <f t="shared" si="37"/>
        <v>778.39850000000001</v>
      </c>
      <c r="O112" s="1434">
        <f t="shared" si="37"/>
        <v>0</v>
      </c>
      <c r="P112" s="1434">
        <f t="shared" si="37"/>
        <v>13785437.435000002</v>
      </c>
      <c r="Q112" s="1434">
        <f t="shared" si="37"/>
        <v>13785437.435000002</v>
      </c>
      <c r="R112" s="1451"/>
    </row>
    <row r="113" spans="1:18" x14ac:dyDescent="0.3">
      <c r="A113" s="1441"/>
      <c r="C113" s="1441"/>
      <c r="D113" s="1441"/>
      <c r="E113" s="1443"/>
      <c r="F113" s="1444" t="s">
        <v>474</v>
      </c>
      <c r="G113" s="1441">
        <f t="shared" si="34"/>
        <v>94.55</v>
      </c>
      <c r="H113" s="1441">
        <v>94.55</v>
      </c>
      <c r="I113" s="1441"/>
      <c r="J113" s="1441">
        <v>4.6100000000000003</v>
      </c>
      <c r="K113" s="1441"/>
      <c r="L113" s="1441">
        <v>1</v>
      </c>
      <c r="M113" s="1445"/>
      <c r="N113" s="1441">
        <f>J113*H113</f>
        <v>435.87550000000005</v>
      </c>
      <c r="O113" s="1441"/>
      <c r="P113" s="1441">
        <f t="shared" si="26"/>
        <v>7719355.1050000014</v>
      </c>
      <c r="Q113" s="1441">
        <f t="shared" si="27"/>
        <v>7719355.1050000014</v>
      </c>
      <c r="R113" s="1446"/>
    </row>
    <row r="114" spans="1:18" x14ac:dyDescent="0.3">
      <c r="A114" s="1441"/>
      <c r="B114" s="1442"/>
      <c r="C114" s="1441"/>
      <c r="D114" s="1441"/>
      <c r="E114" s="1443"/>
      <c r="F114" s="1444" t="s">
        <v>474</v>
      </c>
      <c r="G114" s="1441">
        <f t="shared" si="34"/>
        <v>743</v>
      </c>
      <c r="H114" s="1441">
        <v>0</v>
      </c>
      <c r="I114" s="1441">
        <v>743</v>
      </c>
      <c r="J114" s="1441">
        <v>4.6100000000000003</v>
      </c>
      <c r="K114" s="1441"/>
      <c r="L114" s="1441">
        <v>0.1</v>
      </c>
      <c r="M114" s="1445"/>
      <c r="N114" s="1441">
        <f t="shared" si="33"/>
        <v>342.52300000000002</v>
      </c>
      <c r="O114" s="1441"/>
      <c r="P114" s="1441">
        <f>N114*1000*17.71</f>
        <v>6066082.3300000001</v>
      </c>
      <c r="Q114" s="1441">
        <f t="shared" si="27"/>
        <v>6066082.3300000001</v>
      </c>
      <c r="R114" s="1446"/>
    </row>
    <row r="115" spans="1:18" s="1438" customFormat="1" x14ac:dyDescent="0.3">
      <c r="A115" s="1448"/>
      <c r="B115" s="1442" t="s">
        <v>882</v>
      </c>
      <c r="C115" s="1448"/>
      <c r="D115" s="1448"/>
      <c r="E115" s="1449"/>
      <c r="F115" s="1450"/>
      <c r="G115" s="1434">
        <f>SUM(G116:G117)</f>
        <v>735</v>
      </c>
      <c r="H115" s="1434">
        <f t="shared" ref="H115:Q115" si="38">SUM(H116:H117)</f>
        <v>235</v>
      </c>
      <c r="I115" s="1434">
        <f t="shared" si="38"/>
        <v>500</v>
      </c>
      <c r="J115" s="1434">
        <f t="shared" si="38"/>
        <v>9.2200000000000006</v>
      </c>
      <c r="K115" s="1434">
        <f t="shared" si="38"/>
        <v>0</v>
      </c>
      <c r="L115" s="1434">
        <f t="shared" si="38"/>
        <v>1.1000000000000001</v>
      </c>
      <c r="M115" s="1434">
        <f t="shared" si="38"/>
        <v>0</v>
      </c>
      <c r="N115" s="1434">
        <f t="shared" si="38"/>
        <v>1313.8500000000001</v>
      </c>
      <c r="O115" s="1434">
        <f t="shared" si="38"/>
        <v>0</v>
      </c>
      <c r="P115" s="1434">
        <f t="shared" si="38"/>
        <v>23268283.500000004</v>
      </c>
      <c r="Q115" s="1434">
        <f t="shared" si="38"/>
        <v>23268283.500000004</v>
      </c>
      <c r="R115" s="1451"/>
    </row>
    <row r="116" spans="1:18" x14ac:dyDescent="0.3">
      <c r="A116" s="1441"/>
      <c r="C116" s="1441"/>
      <c r="D116" s="1441"/>
      <c r="E116" s="1443"/>
      <c r="F116" s="1444" t="s">
        <v>586</v>
      </c>
      <c r="G116" s="1441">
        <f t="shared" si="34"/>
        <v>235</v>
      </c>
      <c r="H116" s="1441">
        <v>235</v>
      </c>
      <c r="I116" s="1441"/>
      <c r="J116" s="1441">
        <v>4.6100000000000003</v>
      </c>
      <c r="K116" s="1441"/>
      <c r="L116" s="1441">
        <v>1</v>
      </c>
      <c r="M116" s="1445"/>
      <c r="N116" s="1441">
        <f>J116*H116</f>
        <v>1083.3500000000001</v>
      </c>
      <c r="O116" s="1441"/>
      <c r="P116" s="1441">
        <f t="shared" si="26"/>
        <v>19186128.500000004</v>
      </c>
      <c r="Q116" s="1441">
        <f t="shared" si="27"/>
        <v>19186128.500000004</v>
      </c>
      <c r="R116" s="1446"/>
    </row>
    <row r="117" spans="1:18" x14ac:dyDescent="0.3">
      <c r="A117" s="1441"/>
      <c r="B117" s="1442"/>
      <c r="C117" s="1441"/>
      <c r="D117" s="1441"/>
      <c r="E117" s="1443"/>
      <c r="F117" s="1444" t="s">
        <v>586</v>
      </c>
      <c r="G117" s="1441">
        <f t="shared" si="34"/>
        <v>500</v>
      </c>
      <c r="H117" s="1441">
        <v>0</v>
      </c>
      <c r="I117" s="1441">
        <v>500</v>
      </c>
      <c r="J117" s="1441">
        <v>4.6100000000000003</v>
      </c>
      <c r="K117" s="1441"/>
      <c r="L117" s="1441">
        <v>0.1</v>
      </c>
      <c r="M117" s="1445"/>
      <c r="N117" s="1441">
        <f t="shared" si="33"/>
        <v>230.5</v>
      </c>
      <c r="O117" s="1441"/>
      <c r="P117" s="1441">
        <f t="shared" si="26"/>
        <v>4082155</v>
      </c>
      <c r="Q117" s="1441">
        <f t="shared" si="27"/>
        <v>4082155</v>
      </c>
      <c r="R117" s="1446"/>
    </row>
    <row r="118" spans="1:18" s="1438" customFormat="1" x14ac:dyDescent="0.3">
      <c r="A118" s="1448"/>
      <c r="B118" s="1442" t="s">
        <v>631</v>
      </c>
      <c r="C118" s="1448"/>
      <c r="D118" s="1448"/>
      <c r="E118" s="1449"/>
      <c r="F118" s="1450"/>
      <c r="G118" s="1434">
        <f>SUM(G119:G122)</f>
        <v>667</v>
      </c>
      <c r="H118" s="1434">
        <f t="shared" ref="H118:Q118" si="39">SUM(H119:H122)</f>
        <v>324</v>
      </c>
      <c r="I118" s="1434">
        <f t="shared" si="39"/>
        <v>343</v>
      </c>
      <c r="J118" s="1434">
        <f t="shared" si="39"/>
        <v>18.440000000000001</v>
      </c>
      <c r="K118" s="1434">
        <f t="shared" si="39"/>
        <v>8.298</v>
      </c>
      <c r="L118" s="1434">
        <f t="shared" si="39"/>
        <v>2.2000000000000002</v>
      </c>
      <c r="M118" s="1434">
        <f t="shared" si="39"/>
        <v>0</v>
      </c>
      <c r="N118" s="1434">
        <f t="shared" si="39"/>
        <v>1651.7630000000001</v>
      </c>
      <c r="O118" s="1434">
        <f t="shared" si="39"/>
        <v>0</v>
      </c>
      <c r="P118" s="1434">
        <f t="shared" si="39"/>
        <v>28371475.130000003</v>
      </c>
      <c r="Q118" s="1434">
        <f t="shared" si="39"/>
        <v>28371475.130000003</v>
      </c>
      <c r="R118" s="1451"/>
    </row>
    <row r="119" spans="1:18" x14ac:dyDescent="0.3">
      <c r="A119" s="1447" t="s">
        <v>1045</v>
      </c>
      <c r="C119" s="1441"/>
      <c r="D119" s="1441"/>
      <c r="E119" s="1443"/>
      <c r="F119" s="1444" t="s">
        <v>474</v>
      </c>
      <c r="G119" s="1441">
        <f>SUM(H119:I119)</f>
        <v>200</v>
      </c>
      <c r="H119" s="1441">
        <v>0</v>
      </c>
      <c r="I119" s="1441">
        <v>200</v>
      </c>
      <c r="J119" s="1441">
        <v>4.6100000000000003</v>
      </c>
      <c r="K119" s="1441">
        <f t="shared" si="24"/>
        <v>4.149</v>
      </c>
      <c r="L119" s="1441">
        <v>0.1</v>
      </c>
      <c r="M119" s="1445"/>
      <c r="N119" s="1441">
        <f t="shared" si="25"/>
        <v>92.200000000000017</v>
      </c>
      <c r="O119" s="1441"/>
      <c r="P119" s="1441">
        <f t="shared" si="26"/>
        <v>1632862.0000000002</v>
      </c>
      <c r="Q119" s="1441">
        <f t="shared" si="27"/>
        <v>1632862.0000000002</v>
      </c>
      <c r="R119" s="1446"/>
    </row>
    <row r="120" spans="1:18" x14ac:dyDescent="0.3">
      <c r="A120" s="1441"/>
      <c r="B120" s="1442"/>
      <c r="C120" s="1441"/>
      <c r="D120" s="1441"/>
      <c r="E120" s="1443"/>
      <c r="F120" s="1444" t="s">
        <v>586</v>
      </c>
      <c r="G120" s="1441">
        <f>SUM(H120:I120)</f>
        <v>143</v>
      </c>
      <c r="H120" s="1441">
        <v>0</v>
      </c>
      <c r="I120" s="1441">
        <v>143</v>
      </c>
      <c r="J120" s="1441">
        <v>4.6100000000000003</v>
      </c>
      <c r="K120" s="1441">
        <f t="shared" si="24"/>
        <v>4.149</v>
      </c>
      <c r="L120" s="1441">
        <v>0.1</v>
      </c>
      <c r="M120" s="1445"/>
      <c r="N120" s="1441">
        <f>I120*J120*L120</f>
        <v>65.923000000000002</v>
      </c>
      <c r="O120" s="1441"/>
      <c r="P120" s="1441">
        <f>N120*1000*17.71</f>
        <v>1167496.33</v>
      </c>
      <c r="Q120" s="1441">
        <f t="shared" si="27"/>
        <v>1167496.33</v>
      </c>
      <c r="R120" s="1446"/>
    </row>
    <row r="121" spans="1:18" x14ac:dyDescent="0.3">
      <c r="A121" s="1441"/>
      <c r="B121" s="1442"/>
      <c r="C121" s="1441"/>
      <c r="D121" s="1441"/>
      <c r="E121" s="1443"/>
      <c r="F121" s="1444" t="s">
        <v>474</v>
      </c>
      <c r="G121" s="1441">
        <f>I121+H121</f>
        <v>124</v>
      </c>
      <c r="H121" s="1441">
        <v>124</v>
      </c>
      <c r="I121" s="1441"/>
      <c r="J121" s="1441">
        <v>4.6100000000000003</v>
      </c>
      <c r="K121" s="1441">
        <f t="shared" si="24"/>
        <v>0</v>
      </c>
      <c r="L121" s="1441">
        <v>1</v>
      </c>
      <c r="M121" s="1445"/>
      <c r="N121" s="1441">
        <f>J121*H121</f>
        <v>571.64</v>
      </c>
      <c r="O121" s="1447"/>
      <c r="P121" s="1441">
        <f>N121*1000*17.12</f>
        <v>9786476.8000000007</v>
      </c>
      <c r="Q121" s="1441">
        <f t="shared" si="27"/>
        <v>9786476.8000000007</v>
      </c>
      <c r="R121" s="1446"/>
    </row>
    <row r="122" spans="1:18" x14ac:dyDescent="0.3">
      <c r="A122" s="1441"/>
      <c r="B122" s="1442"/>
      <c r="C122" s="1441"/>
      <c r="D122" s="1441"/>
      <c r="E122" s="1443"/>
      <c r="F122" s="1444" t="s">
        <v>586</v>
      </c>
      <c r="G122" s="1441">
        <f>I122+H122</f>
        <v>200</v>
      </c>
      <c r="H122" s="1441">
        <v>200</v>
      </c>
      <c r="I122" s="1441"/>
      <c r="J122" s="1441">
        <v>4.6100000000000003</v>
      </c>
      <c r="K122" s="1441">
        <f t="shared" si="24"/>
        <v>0</v>
      </c>
      <c r="L122" s="1441">
        <v>1</v>
      </c>
      <c r="M122" s="1445"/>
      <c r="N122" s="1441">
        <f>J122*H122</f>
        <v>922.00000000000011</v>
      </c>
      <c r="O122" s="1447"/>
      <c r="P122" s="1441">
        <f>N122*1000*17.12</f>
        <v>15784640.000000004</v>
      </c>
      <c r="Q122" s="1441">
        <f t="shared" si="27"/>
        <v>15784640.000000004</v>
      </c>
      <c r="R122" s="1446"/>
    </row>
    <row r="123" spans="1:18" s="1438" customFormat="1" x14ac:dyDescent="0.3">
      <c r="A123" s="1448"/>
      <c r="B123" s="1442" t="s">
        <v>629</v>
      </c>
      <c r="C123" s="1448"/>
      <c r="D123" s="1448"/>
      <c r="E123" s="1449"/>
      <c r="F123" s="1450"/>
      <c r="G123" s="1434">
        <f>SUM(G124:G126)</f>
        <v>1812</v>
      </c>
      <c r="H123" s="1434">
        <f t="shared" ref="H123:Q123" si="40">SUM(H124:H126)</f>
        <v>75</v>
      </c>
      <c r="I123" s="1434">
        <f t="shared" si="40"/>
        <v>1737</v>
      </c>
      <c r="J123" s="1434">
        <f t="shared" si="40"/>
        <v>13.830000000000002</v>
      </c>
      <c r="K123" s="1434">
        <f t="shared" si="40"/>
        <v>8.298</v>
      </c>
      <c r="L123" s="1434">
        <f t="shared" si="40"/>
        <v>1.2000000000000002</v>
      </c>
      <c r="M123" s="1434">
        <f t="shared" si="40"/>
        <v>0</v>
      </c>
      <c r="N123" s="1434">
        <f t="shared" si="40"/>
        <v>1146.5070000000001</v>
      </c>
      <c r="O123" s="1434">
        <f t="shared" si="40"/>
        <v>0</v>
      </c>
      <c r="P123" s="1434">
        <f t="shared" si="40"/>
        <v>20304638.970000003</v>
      </c>
      <c r="Q123" s="1434">
        <f t="shared" si="40"/>
        <v>20304638.970000003</v>
      </c>
      <c r="R123" s="1451"/>
    </row>
    <row r="124" spans="1:18" x14ac:dyDescent="0.3">
      <c r="A124" s="1441"/>
      <c r="C124" s="1441"/>
      <c r="D124" s="1441"/>
      <c r="E124" s="1443"/>
      <c r="F124" s="1444" t="s">
        <v>586</v>
      </c>
      <c r="G124" s="1441">
        <f>SUM(H124:I124)</f>
        <v>1435</v>
      </c>
      <c r="H124" s="1441">
        <v>0</v>
      </c>
      <c r="I124" s="1441">
        <v>1435</v>
      </c>
      <c r="J124" s="1441">
        <v>4.6100000000000003</v>
      </c>
      <c r="K124" s="1441">
        <f t="shared" si="24"/>
        <v>4.149</v>
      </c>
      <c r="L124" s="1441">
        <v>0.1</v>
      </c>
      <c r="M124" s="1445"/>
      <c r="N124" s="1441">
        <f>I124*J124*L124</f>
        <v>661.53500000000008</v>
      </c>
      <c r="O124" s="1441"/>
      <c r="P124" s="1441">
        <f>N124*1000*17.71</f>
        <v>11715784.850000003</v>
      </c>
      <c r="Q124" s="1441">
        <f>P124+O124</f>
        <v>11715784.850000003</v>
      </c>
      <c r="R124" s="1446"/>
    </row>
    <row r="125" spans="1:18" x14ac:dyDescent="0.3">
      <c r="A125" s="1441"/>
      <c r="B125" s="1442"/>
      <c r="C125" s="1441"/>
      <c r="D125" s="1441"/>
      <c r="E125" s="1443"/>
      <c r="F125" s="1444" t="s">
        <v>586</v>
      </c>
      <c r="G125" s="1441">
        <f>SUM(H125:I125)</f>
        <v>75</v>
      </c>
      <c r="H125" s="1441">
        <v>75</v>
      </c>
      <c r="I125" s="1441"/>
      <c r="J125" s="1441">
        <v>4.6100000000000003</v>
      </c>
      <c r="K125" s="1441">
        <f t="shared" si="24"/>
        <v>0</v>
      </c>
      <c r="L125" s="1441">
        <v>1</v>
      </c>
      <c r="M125" s="1445"/>
      <c r="N125" s="1441">
        <f>J125*H125</f>
        <v>345.75</v>
      </c>
      <c r="O125" s="1441"/>
      <c r="P125" s="1441">
        <f>N125*1000*17.71</f>
        <v>6123232.5</v>
      </c>
      <c r="Q125" s="1441">
        <f>P125+O125</f>
        <v>6123232.5</v>
      </c>
      <c r="R125" s="1446"/>
    </row>
    <row r="126" spans="1:18" x14ac:dyDescent="0.3">
      <c r="A126" s="1441"/>
      <c r="B126" s="1442" t="s">
        <v>628</v>
      </c>
      <c r="C126" s="1441"/>
      <c r="D126" s="1441"/>
      <c r="E126" s="1443"/>
      <c r="F126" s="1444" t="s">
        <v>586</v>
      </c>
      <c r="G126" s="1441">
        <f>SUM(H126:I126)</f>
        <v>302</v>
      </c>
      <c r="H126" s="1441">
        <v>0</v>
      </c>
      <c r="I126" s="1441">
        <v>302</v>
      </c>
      <c r="J126" s="1441">
        <v>4.6100000000000003</v>
      </c>
      <c r="K126" s="1441">
        <f t="shared" si="24"/>
        <v>4.149</v>
      </c>
      <c r="L126" s="1441">
        <v>0.1</v>
      </c>
      <c r="M126" s="1445"/>
      <c r="N126" s="1441">
        <f>I126*J126*L126</f>
        <v>139.22200000000001</v>
      </c>
      <c r="O126" s="1441"/>
      <c r="P126" s="1441">
        <f t="shared" si="26"/>
        <v>2465621.62</v>
      </c>
      <c r="Q126" s="1441">
        <f t="shared" si="27"/>
        <v>2465621.62</v>
      </c>
      <c r="R126" s="1446"/>
    </row>
    <row r="127" spans="1:18" s="1438" customFormat="1" x14ac:dyDescent="0.3">
      <c r="A127" s="1448"/>
      <c r="B127" s="1442" t="s">
        <v>772</v>
      </c>
      <c r="C127" s="1448"/>
      <c r="D127" s="1448"/>
      <c r="E127" s="1449"/>
      <c r="F127" s="1450"/>
      <c r="G127" s="1434">
        <f>SUM(G128:G130)</f>
        <v>1075.5</v>
      </c>
      <c r="H127" s="1434">
        <f t="shared" ref="H127:Q127" si="41">SUM(H128:H130)</f>
        <v>550</v>
      </c>
      <c r="I127" s="1434">
        <f t="shared" si="41"/>
        <v>525.5</v>
      </c>
      <c r="J127" s="1434">
        <f t="shared" si="41"/>
        <v>13.830000000000002</v>
      </c>
      <c r="K127" s="1434">
        <f t="shared" si="41"/>
        <v>8.298</v>
      </c>
      <c r="L127" s="1434">
        <f t="shared" si="41"/>
        <v>1.2000000000000002</v>
      </c>
      <c r="M127" s="1434">
        <f t="shared" si="41"/>
        <v>0</v>
      </c>
      <c r="N127" s="1434">
        <f t="shared" si="41"/>
        <v>2777.7554999999998</v>
      </c>
      <c r="O127" s="1434">
        <f t="shared" si="41"/>
        <v>0</v>
      </c>
      <c r="P127" s="1434">
        <f t="shared" si="41"/>
        <v>49194049.905000001</v>
      </c>
      <c r="Q127" s="1434">
        <f t="shared" si="41"/>
        <v>49194049.905000001</v>
      </c>
      <c r="R127" s="1451"/>
    </row>
    <row r="128" spans="1:18" x14ac:dyDescent="0.3">
      <c r="A128" s="1441"/>
      <c r="C128" s="1441"/>
      <c r="D128" s="1441"/>
      <c r="E128" s="1443"/>
      <c r="F128" s="1444" t="s">
        <v>586</v>
      </c>
      <c r="G128" s="1441">
        <f>SUM(H128:I128)</f>
        <v>550</v>
      </c>
      <c r="H128" s="1441">
        <v>550</v>
      </c>
      <c r="I128" s="1441"/>
      <c r="J128" s="1441">
        <v>4.6100000000000003</v>
      </c>
      <c r="K128" s="1441">
        <f t="shared" si="24"/>
        <v>0</v>
      </c>
      <c r="L128" s="1441">
        <v>1</v>
      </c>
      <c r="M128" s="1445"/>
      <c r="N128" s="1441">
        <f>J128*H128</f>
        <v>2535.5</v>
      </c>
      <c r="O128" s="1441"/>
      <c r="P128" s="1441">
        <f t="shared" si="26"/>
        <v>44903705</v>
      </c>
      <c r="Q128" s="1441">
        <f t="shared" si="27"/>
        <v>44903705</v>
      </c>
      <c r="R128" s="1446"/>
    </row>
    <row r="129" spans="1:18" x14ac:dyDescent="0.3">
      <c r="A129" s="1441"/>
      <c r="B129" s="1442"/>
      <c r="C129" s="1441"/>
      <c r="D129" s="1441"/>
      <c r="E129" s="1443"/>
      <c r="F129" s="1444" t="s">
        <v>474</v>
      </c>
      <c r="G129" s="1441">
        <f>SUM(H129:I129)</f>
        <v>450</v>
      </c>
      <c r="H129" s="1441"/>
      <c r="I129" s="1441">
        <v>450</v>
      </c>
      <c r="J129" s="1441">
        <v>4.6100000000000003</v>
      </c>
      <c r="K129" s="1441">
        <f t="shared" si="24"/>
        <v>4.149</v>
      </c>
      <c r="L129" s="1441">
        <v>0.1</v>
      </c>
      <c r="M129" s="1445"/>
      <c r="N129" s="1441">
        <f>I129*J129*L129</f>
        <v>207.45000000000002</v>
      </c>
      <c r="O129" s="1441"/>
      <c r="P129" s="1441">
        <f t="shared" si="26"/>
        <v>3673939.5000000005</v>
      </c>
      <c r="Q129" s="1441">
        <f t="shared" si="27"/>
        <v>3673939.5000000005</v>
      </c>
      <c r="R129" s="1446"/>
    </row>
    <row r="130" spans="1:18" x14ac:dyDescent="0.3">
      <c r="A130" s="1441"/>
      <c r="B130" s="1442" t="s">
        <v>911</v>
      </c>
      <c r="C130" s="1441"/>
      <c r="D130" s="1441"/>
      <c r="E130" s="1443"/>
      <c r="F130" s="1444" t="s">
        <v>586</v>
      </c>
      <c r="G130" s="1441">
        <f t="shared" ref="G130:G164" si="42">SUM(H130:I130)</f>
        <v>75.5</v>
      </c>
      <c r="H130" s="1441">
        <v>0</v>
      </c>
      <c r="I130" s="1441">
        <v>75.5</v>
      </c>
      <c r="J130" s="1441">
        <v>4.6100000000000003</v>
      </c>
      <c r="K130" s="1441">
        <f t="shared" si="24"/>
        <v>4.149</v>
      </c>
      <c r="L130" s="1441">
        <v>0.1</v>
      </c>
      <c r="M130" s="1445"/>
      <c r="N130" s="1441">
        <f t="shared" si="25"/>
        <v>34.805500000000002</v>
      </c>
      <c r="O130" s="1441"/>
      <c r="P130" s="1441">
        <f t="shared" si="26"/>
        <v>616405.40500000003</v>
      </c>
      <c r="Q130" s="1441">
        <f t="shared" si="27"/>
        <v>616405.40500000003</v>
      </c>
      <c r="R130" s="1446"/>
    </row>
    <row r="131" spans="1:18" s="1438" customFormat="1" x14ac:dyDescent="0.3">
      <c r="A131" s="1448"/>
      <c r="B131" s="1442" t="s">
        <v>627</v>
      </c>
      <c r="C131" s="1448"/>
      <c r="D131" s="1448"/>
      <c r="E131" s="1449"/>
      <c r="F131" s="1450"/>
      <c r="G131" s="1434">
        <f>SUM(G132:G135)</f>
        <v>1208</v>
      </c>
      <c r="H131" s="1434">
        <f t="shared" ref="H131:Q131" si="43">SUM(H132:H135)</f>
        <v>425</v>
      </c>
      <c r="I131" s="1434">
        <f t="shared" si="43"/>
        <v>783</v>
      </c>
      <c r="J131" s="1434">
        <f t="shared" si="43"/>
        <v>18.440000000000001</v>
      </c>
      <c r="K131" s="1434">
        <f t="shared" si="43"/>
        <v>8.298</v>
      </c>
      <c r="L131" s="1434">
        <f t="shared" si="43"/>
        <v>2.2000000000000002</v>
      </c>
      <c r="M131" s="1434">
        <f t="shared" si="43"/>
        <v>0</v>
      </c>
      <c r="N131" s="1434">
        <f t="shared" si="43"/>
        <v>2320.2130000000002</v>
      </c>
      <c r="O131" s="1434">
        <f t="shared" si="43"/>
        <v>0</v>
      </c>
      <c r="P131" s="1434">
        <f t="shared" si="43"/>
        <v>41090972.230000004</v>
      </c>
      <c r="Q131" s="1434">
        <f t="shared" si="43"/>
        <v>41090972.230000004</v>
      </c>
      <c r="R131" s="1451"/>
    </row>
    <row r="132" spans="1:18" x14ac:dyDescent="0.3">
      <c r="A132" s="1441"/>
      <c r="C132" s="1441" t="s">
        <v>713</v>
      </c>
      <c r="D132" s="1441"/>
      <c r="E132" s="1443"/>
      <c r="F132" s="1444" t="s">
        <v>474</v>
      </c>
      <c r="G132" s="1441">
        <f t="shared" si="42"/>
        <v>350</v>
      </c>
      <c r="H132" s="1441">
        <v>350</v>
      </c>
      <c r="I132" s="1441"/>
      <c r="J132" s="1441">
        <v>4.6100000000000003</v>
      </c>
      <c r="K132" s="1441">
        <f t="shared" si="24"/>
        <v>0</v>
      </c>
      <c r="L132" s="1441">
        <v>1</v>
      </c>
      <c r="M132" s="1445"/>
      <c r="N132" s="1441">
        <f>J132*H132</f>
        <v>1613.5</v>
      </c>
      <c r="O132" s="1441"/>
      <c r="P132" s="1441">
        <f>N132*1000*17.71</f>
        <v>28575085</v>
      </c>
      <c r="Q132" s="1441">
        <f>P132+O132</f>
        <v>28575085</v>
      </c>
      <c r="R132" s="1446"/>
    </row>
    <row r="133" spans="1:18" x14ac:dyDescent="0.3">
      <c r="A133" s="1441"/>
      <c r="B133" s="1442"/>
      <c r="C133" s="1441"/>
      <c r="D133" s="1441"/>
      <c r="E133" s="1443"/>
      <c r="F133" s="1444" t="s">
        <v>474</v>
      </c>
      <c r="G133" s="1441">
        <f t="shared" si="42"/>
        <v>183</v>
      </c>
      <c r="H133" s="1441">
        <v>0</v>
      </c>
      <c r="I133" s="1441">
        <v>183</v>
      </c>
      <c r="J133" s="1441">
        <v>4.6100000000000003</v>
      </c>
      <c r="K133" s="1441">
        <f t="shared" si="24"/>
        <v>4.149</v>
      </c>
      <c r="L133" s="1441">
        <v>0.1</v>
      </c>
      <c r="M133" s="1445"/>
      <c r="N133" s="1441">
        <f t="shared" si="25"/>
        <v>84.363000000000014</v>
      </c>
      <c r="O133" s="1441"/>
      <c r="P133" s="1441">
        <f>N133*1000*17.71</f>
        <v>1494068.7300000002</v>
      </c>
      <c r="Q133" s="1441">
        <f>P133+O133</f>
        <v>1494068.7300000002</v>
      </c>
      <c r="R133" s="1446"/>
    </row>
    <row r="134" spans="1:18" x14ac:dyDescent="0.3">
      <c r="A134" s="1417"/>
      <c r="B134" s="1435"/>
      <c r="C134" s="1417" t="s">
        <v>716</v>
      </c>
      <c r="D134" s="1417"/>
      <c r="E134" s="1428"/>
      <c r="F134" s="1433" t="s">
        <v>474</v>
      </c>
      <c r="G134" s="1417">
        <f t="shared" si="42"/>
        <v>75</v>
      </c>
      <c r="H134" s="1417">
        <v>75</v>
      </c>
      <c r="I134" s="1417"/>
      <c r="J134" s="1417">
        <v>4.6100000000000003</v>
      </c>
      <c r="K134" s="1417">
        <f t="shared" si="24"/>
        <v>0</v>
      </c>
      <c r="L134" s="1417">
        <v>1</v>
      </c>
      <c r="M134" s="1439"/>
      <c r="N134" s="1417">
        <f>J134*H134</f>
        <v>345.75</v>
      </c>
      <c r="O134" s="1417"/>
      <c r="P134" s="1417">
        <f>N134*1000*17.71</f>
        <v>6123232.5</v>
      </c>
      <c r="Q134" s="1417">
        <f>P134+O134</f>
        <v>6123232.5</v>
      </c>
    </row>
    <row r="135" spans="1:18" x14ac:dyDescent="0.3">
      <c r="A135" s="1417"/>
      <c r="B135" s="1435"/>
      <c r="C135" s="1417"/>
      <c r="D135" s="1417"/>
      <c r="E135" s="1428"/>
      <c r="F135" s="1433" t="s">
        <v>474</v>
      </c>
      <c r="G135" s="1417">
        <f t="shared" si="42"/>
        <v>600</v>
      </c>
      <c r="H135" s="1417">
        <v>0</v>
      </c>
      <c r="I135" s="1417">
        <v>600</v>
      </c>
      <c r="J135" s="1417">
        <v>4.6100000000000003</v>
      </c>
      <c r="K135" s="1417">
        <f t="shared" si="24"/>
        <v>4.149</v>
      </c>
      <c r="L135" s="1417">
        <v>0.1</v>
      </c>
      <c r="M135" s="1439"/>
      <c r="N135" s="1417">
        <f t="shared" si="25"/>
        <v>276.60000000000002</v>
      </c>
      <c r="O135" s="1417"/>
      <c r="P135" s="1417">
        <f>N135*1000*17.71</f>
        <v>4898586</v>
      </c>
      <c r="Q135" s="1417">
        <f>P135+O135</f>
        <v>4898586</v>
      </c>
    </row>
    <row r="136" spans="1:18" x14ac:dyDescent="0.3">
      <c r="A136" s="1417"/>
      <c r="B136" s="1435"/>
      <c r="C136" s="1417"/>
      <c r="D136" s="1417"/>
      <c r="E136" s="1428"/>
      <c r="F136" s="1433"/>
      <c r="G136" s="1417"/>
      <c r="H136" s="1417"/>
      <c r="I136" s="1417"/>
      <c r="J136" s="1417"/>
      <c r="K136" s="1417"/>
      <c r="L136" s="1417"/>
      <c r="M136" s="1439"/>
      <c r="N136" s="1417"/>
      <c r="O136" s="1417"/>
      <c r="P136" s="1417"/>
      <c r="Q136" s="1417"/>
    </row>
    <row r="137" spans="1:18" x14ac:dyDescent="0.3">
      <c r="A137" s="1416" t="s">
        <v>1046</v>
      </c>
      <c r="B137" s="1435" t="s">
        <v>492</v>
      </c>
      <c r="C137" s="1417"/>
      <c r="D137" s="1417"/>
      <c r="E137" s="1428"/>
      <c r="F137" s="1433" t="s">
        <v>474</v>
      </c>
      <c r="G137" s="1417">
        <f t="shared" si="42"/>
        <v>103</v>
      </c>
      <c r="H137" s="1417">
        <v>0</v>
      </c>
      <c r="I137" s="1417">
        <v>103</v>
      </c>
      <c r="J137" s="1417">
        <v>4.6100000000000003</v>
      </c>
      <c r="K137" s="1417">
        <f t="shared" si="24"/>
        <v>4.149</v>
      </c>
      <c r="L137" s="1417">
        <v>0.1</v>
      </c>
      <c r="M137" s="1439"/>
      <c r="N137" s="1417">
        <f t="shared" si="25"/>
        <v>47.483000000000004</v>
      </c>
      <c r="O137" s="1417"/>
      <c r="P137" s="1417">
        <f t="shared" si="26"/>
        <v>840923.93000000017</v>
      </c>
      <c r="Q137" s="1417">
        <f t="shared" si="27"/>
        <v>840923.93000000017</v>
      </c>
    </row>
    <row r="138" spans="1:18" s="1438" customFormat="1" x14ac:dyDescent="0.3">
      <c r="A138" s="1436"/>
      <c r="B138" s="1435" t="s">
        <v>634</v>
      </c>
      <c r="C138" s="1434"/>
      <c r="D138" s="1434"/>
      <c r="E138" s="1440"/>
      <c r="F138" s="1437"/>
      <c r="G138" s="1434">
        <f>SUM(G139:G141)</f>
        <v>130</v>
      </c>
      <c r="H138" s="1434">
        <f t="shared" ref="H138:Q138" si="44">SUM(H139:H141)</f>
        <v>0</v>
      </c>
      <c r="I138" s="1434">
        <f t="shared" si="44"/>
        <v>130</v>
      </c>
      <c r="J138" s="1434">
        <f t="shared" si="44"/>
        <v>11.49</v>
      </c>
      <c r="K138" s="1434">
        <f t="shared" si="44"/>
        <v>10.341000000000001</v>
      </c>
      <c r="L138" s="1434">
        <f t="shared" si="44"/>
        <v>0.30000000000000004</v>
      </c>
      <c r="M138" s="1434">
        <f t="shared" si="44"/>
        <v>0</v>
      </c>
      <c r="N138" s="1434">
        <f t="shared" si="44"/>
        <v>56.420000000000009</v>
      </c>
      <c r="O138" s="1434">
        <f t="shared" si="44"/>
        <v>0</v>
      </c>
      <c r="P138" s="1434">
        <f t="shared" si="44"/>
        <v>999198.20000000019</v>
      </c>
      <c r="Q138" s="1434">
        <f t="shared" si="44"/>
        <v>999198.20000000019</v>
      </c>
    </row>
    <row r="139" spans="1:18" x14ac:dyDescent="0.3">
      <c r="A139" s="1416"/>
      <c r="C139" s="1417" t="s">
        <v>713</v>
      </c>
      <c r="D139" s="1417"/>
      <c r="E139" s="1428"/>
      <c r="F139" s="1433" t="s">
        <v>474</v>
      </c>
      <c r="G139" s="1417">
        <f>SUM(H139:I139)</f>
        <v>100</v>
      </c>
      <c r="H139" s="1417">
        <v>0</v>
      </c>
      <c r="I139" s="1417">
        <v>100</v>
      </c>
      <c r="J139" s="1417">
        <v>4.6100000000000003</v>
      </c>
      <c r="K139" s="1417">
        <f>J139-(J139*L139)</f>
        <v>4.149</v>
      </c>
      <c r="L139" s="1417">
        <v>0.1</v>
      </c>
      <c r="M139" s="1439"/>
      <c r="N139" s="1417">
        <f>I139*J139*L139</f>
        <v>46.100000000000009</v>
      </c>
      <c r="O139" s="1417"/>
      <c r="P139" s="1417">
        <f>N139*1000*17.71</f>
        <v>816431.00000000012</v>
      </c>
      <c r="Q139" s="1417">
        <f>P139+O139</f>
        <v>816431.00000000012</v>
      </c>
    </row>
    <row r="140" spans="1:18" x14ac:dyDescent="0.3">
      <c r="A140" s="1417"/>
      <c r="B140" s="1435"/>
      <c r="C140" s="1417" t="s">
        <v>716</v>
      </c>
      <c r="D140" s="1417"/>
      <c r="E140" s="1428"/>
      <c r="F140" s="1433" t="s">
        <v>474</v>
      </c>
      <c r="G140" s="1417">
        <f>SUM(H140:I140)</f>
        <v>10</v>
      </c>
      <c r="H140" s="1417">
        <v>0</v>
      </c>
      <c r="I140" s="1417">
        <v>10</v>
      </c>
      <c r="J140" s="1417">
        <v>3.44</v>
      </c>
      <c r="K140" s="1417">
        <f>J140-(J140*L140)</f>
        <v>3.0960000000000001</v>
      </c>
      <c r="L140" s="1417">
        <v>0.1</v>
      </c>
      <c r="M140" s="1439"/>
      <c r="N140" s="1417">
        <f>I140*J140*L140</f>
        <v>3.44</v>
      </c>
      <c r="O140" s="1417"/>
      <c r="P140" s="1417">
        <f>N140*1000*17.71</f>
        <v>60922.400000000001</v>
      </c>
      <c r="Q140" s="1417">
        <f>P140+O140</f>
        <v>60922.400000000001</v>
      </c>
    </row>
    <row r="141" spans="1:18" x14ac:dyDescent="0.3">
      <c r="A141" s="1417"/>
      <c r="B141" s="1435"/>
      <c r="C141" s="1417" t="s">
        <v>716</v>
      </c>
      <c r="D141" s="1417"/>
      <c r="E141" s="1428"/>
      <c r="F141" s="1433" t="s">
        <v>586</v>
      </c>
      <c r="G141" s="1417">
        <f>SUM(H141:I141)</f>
        <v>20</v>
      </c>
      <c r="H141" s="1417">
        <v>0</v>
      </c>
      <c r="I141" s="1417">
        <v>20</v>
      </c>
      <c r="J141" s="1417">
        <v>3.44</v>
      </c>
      <c r="K141" s="1417">
        <f>J141-(J141*L141)</f>
        <v>3.0960000000000001</v>
      </c>
      <c r="L141" s="1417">
        <v>0.1</v>
      </c>
      <c r="M141" s="1439"/>
      <c r="N141" s="1417">
        <f>I141*J141*L141</f>
        <v>6.88</v>
      </c>
      <c r="O141" s="1417"/>
      <c r="P141" s="1417">
        <f>N141*1000*17.71</f>
        <v>121844.8</v>
      </c>
      <c r="Q141" s="1417">
        <f>P141+O141</f>
        <v>121844.8</v>
      </c>
    </row>
    <row r="142" spans="1:18" s="1438" customFormat="1" x14ac:dyDescent="0.3">
      <c r="A142" s="1434"/>
      <c r="B142" s="1435" t="s">
        <v>637</v>
      </c>
      <c r="C142" s="1434"/>
      <c r="D142" s="1434"/>
      <c r="E142" s="1440"/>
      <c r="F142" s="1437"/>
      <c r="G142" s="1434">
        <f>SUM(G143:G145)</f>
        <v>302</v>
      </c>
      <c r="H142" s="1434">
        <f t="shared" ref="H142:Q142" si="45">SUM(H143:H145)</f>
        <v>25</v>
      </c>
      <c r="I142" s="1434">
        <f t="shared" si="45"/>
        <v>277</v>
      </c>
      <c r="J142" s="1434">
        <f t="shared" si="45"/>
        <v>13.830000000000002</v>
      </c>
      <c r="K142" s="1434">
        <f t="shared" si="45"/>
        <v>8.298</v>
      </c>
      <c r="L142" s="1434">
        <f t="shared" si="45"/>
        <v>1.2000000000000002</v>
      </c>
      <c r="M142" s="1434">
        <f t="shared" si="45"/>
        <v>0</v>
      </c>
      <c r="N142" s="1434">
        <f t="shared" si="45"/>
        <v>242.94700000000003</v>
      </c>
      <c r="O142" s="1434">
        <f t="shared" si="45"/>
        <v>0</v>
      </c>
      <c r="P142" s="1434">
        <f t="shared" si="45"/>
        <v>4234593.870000001</v>
      </c>
      <c r="Q142" s="1434">
        <f t="shared" si="45"/>
        <v>4234593.870000001</v>
      </c>
    </row>
    <row r="143" spans="1:18" x14ac:dyDescent="0.3">
      <c r="A143" s="1417"/>
      <c r="C143" s="1417"/>
      <c r="D143" s="1417"/>
      <c r="E143" s="1428"/>
      <c r="F143" s="1433" t="s">
        <v>586</v>
      </c>
      <c r="G143" s="1417">
        <f t="shared" si="42"/>
        <v>187</v>
      </c>
      <c r="H143" s="1417">
        <v>0</v>
      </c>
      <c r="I143" s="1417">
        <v>187</v>
      </c>
      <c r="J143" s="1417">
        <v>4.6100000000000003</v>
      </c>
      <c r="K143" s="1417">
        <f t="shared" si="24"/>
        <v>4.149</v>
      </c>
      <c r="L143" s="1417">
        <v>0.1</v>
      </c>
      <c r="M143" s="1439"/>
      <c r="N143" s="1417">
        <f t="shared" si="25"/>
        <v>86.207000000000008</v>
      </c>
      <c r="O143" s="1417"/>
      <c r="P143" s="1417">
        <f t="shared" si="26"/>
        <v>1526725.9700000004</v>
      </c>
      <c r="Q143" s="1417">
        <f t="shared" si="27"/>
        <v>1526725.9700000004</v>
      </c>
    </row>
    <row r="144" spans="1:18" x14ac:dyDescent="0.3">
      <c r="A144" s="1417"/>
      <c r="B144" s="1435"/>
      <c r="C144" s="1417"/>
      <c r="D144" s="1417"/>
      <c r="E144" s="1428"/>
      <c r="F144" s="1433" t="s">
        <v>586</v>
      </c>
      <c r="G144" s="1417">
        <f>I144+H144</f>
        <v>25</v>
      </c>
      <c r="H144" s="1417">
        <v>25</v>
      </c>
      <c r="I144" s="1417"/>
      <c r="J144" s="1417">
        <v>4.6100000000000003</v>
      </c>
      <c r="K144" s="1417">
        <f t="shared" si="24"/>
        <v>0</v>
      </c>
      <c r="L144" s="1417">
        <v>1</v>
      </c>
      <c r="M144" s="1439"/>
      <c r="N144" s="1417">
        <f>J144*H144</f>
        <v>115.25000000000001</v>
      </c>
      <c r="O144" s="1416"/>
      <c r="P144" s="1417">
        <f>N144*1000*17.12</f>
        <v>1973080.0000000005</v>
      </c>
      <c r="Q144" s="1417">
        <f t="shared" si="27"/>
        <v>1973080.0000000005</v>
      </c>
    </row>
    <row r="145" spans="1:17" x14ac:dyDescent="0.3">
      <c r="A145" s="1417"/>
      <c r="B145" s="1435"/>
      <c r="C145" s="1417"/>
      <c r="D145" s="1417"/>
      <c r="E145" s="1428"/>
      <c r="F145" s="1433" t="s">
        <v>474</v>
      </c>
      <c r="G145" s="1417">
        <f>SUM(H145:I145)</f>
        <v>90</v>
      </c>
      <c r="H145" s="1417">
        <v>0</v>
      </c>
      <c r="I145" s="1417">
        <v>90</v>
      </c>
      <c r="J145" s="1417">
        <v>4.6100000000000003</v>
      </c>
      <c r="K145" s="1417">
        <f t="shared" si="24"/>
        <v>4.149</v>
      </c>
      <c r="L145" s="1417">
        <v>0.1</v>
      </c>
      <c r="M145" s="1439"/>
      <c r="N145" s="1417">
        <f>I145*J145*L145</f>
        <v>41.490000000000009</v>
      </c>
      <c r="O145" s="1417"/>
      <c r="P145" s="1417">
        <f>N145*1000*17.71</f>
        <v>734787.90000000014</v>
      </c>
      <c r="Q145" s="1417">
        <f t="shared" si="27"/>
        <v>734787.90000000014</v>
      </c>
    </row>
    <row r="146" spans="1:17" x14ac:dyDescent="0.3">
      <c r="A146" s="1416"/>
      <c r="B146" s="1435" t="s">
        <v>639</v>
      </c>
      <c r="C146" s="1417"/>
      <c r="D146" s="1417"/>
      <c r="E146" s="1428"/>
      <c r="F146" s="1433" t="s">
        <v>586</v>
      </c>
      <c r="G146" s="1417">
        <f t="shared" si="42"/>
        <v>143.5</v>
      </c>
      <c r="H146" s="1417">
        <v>0</v>
      </c>
      <c r="I146" s="1417">
        <v>143.5</v>
      </c>
      <c r="J146" s="1417">
        <v>4.6100000000000003</v>
      </c>
      <c r="K146" s="1417">
        <f t="shared" si="24"/>
        <v>4.149</v>
      </c>
      <c r="L146" s="1417">
        <v>0.1</v>
      </c>
      <c r="M146" s="1439"/>
      <c r="N146" s="1417">
        <f t="shared" si="25"/>
        <v>66.153500000000008</v>
      </c>
      <c r="O146" s="1417"/>
      <c r="P146" s="1417">
        <f t="shared" si="26"/>
        <v>1171578.4850000003</v>
      </c>
      <c r="Q146" s="1417">
        <f t="shared" si="27"/>
        <v>1171578.4850000003</v>
      </c>
    </row>
    <row r="147" spans="1:17" x14ac:dyDescent="0.3">
      <c r="A147" s="1416" t="s">
        <v>1047</v>
      </c>
      <c r="B147" s="1435" t="s">
        <v>642</v>
      </c>
      <c r="C147" s="1417"/>
      <c r="D147" s="1417"/>
      <c r="E147" s="1428"/>
      <c r="F147" s="1433" t="s">
        <v>586</v>
      </c>
      <c r="G147" s="1417">
        <f t="shared" si="42"/>
        <v>571</v>
      </c>
      <c r="H147" s="1417">
        <v>0</v>
      </c>
      <c r="I147" s="1417">
        <v>571</v>
      </c>
      <c r="J147" s="1417">
        <v>4.6100000000000003</v>
      </c>
      <c r="K147" s="1417">
        <f t="shared" si="24"/>
        <v>4.149</v>
      </c>
      <c r="L147" s="1417">
        <v>0.1</v>
      </c>
      <c r="M147" s="1439"/>
      <c r="N147" s="1417">
        <f t="shared" si="25"/>
        <v>263.23100000000005</v>
      </c>
      <c r="O147" s="1417"/>
      <c r="P147" s="1417">
        <f t="shared" si="26"/>
        <v>4661821.0100000016</v>
      </c>
      <c r="Q147" s="1417">
        <f t="shared" si="27"/>
        <v>4661821.0100000016</v>
      </c>
    </row>
    <row r="148" spans="1:17" s="1438" customFormat="1" x14ac:dyDescent="0.3">
      <c r="A148" s="1436"/>
      <c r="B148" s="1435" t="s">
        <v>499</v>
      </c>
      <c r="C148" s="1434"/>
      <c r="D148" s="1434"/>
      <c r="E148" s="1440"/>
      <c r="F148" s="1437"/>
      <c r="G148" s="1434">
        <f>SUM(G149:G150)</f>
        <v>300</v>
      </c>
      <c r="H148" s="1434">
        <f t="shared" ref="H148:Q148" si="46">SUM(H149:H150)</f>
        <v>0</v>
      </c>
      <c r="I148" s="1434">
        <f t="shared" si="46"/>
        <v>300</v>
      </c>
      <c r="J148" s="1434">
        <f t="shared" si="46"/>
        <v>9.2200000000000006</v>
      </c>
      <c r="K148" s="1434">
        <f t="shared" si="46"/>
        <v>8.298</v>
      </c>
      <c r="L148" s="1434">
        <f t="shared" si="46"/>
        <v>0.2</v>
      </c>
      <c r="M148" s="1434">
        <f t="shared" si="46"/>
        <v>0</v>
      </c>
      <c r="N148" s="1434">
        <f t="shared" si="46"/>
        <v>138.30000000000001</v>
      </c>
      <c r="O148" s="1434">
        <f t="shared" si="46"/>
        <v>0</v>
      </c>
      <c r="P148" s="1434">
        <f t="shared" si="46"/>
        <v>2449293</v>
      </c>
      <c r="Q148" s="1434">
        <f t="shared" si="46"/>
        <v>2449293</v>
      </c>
    </row>
    <row r="149" spans="1:17" x14ac:dyDescent="0.3">
      <c r="A149" s="1417"/>
      <c r="C149" s="1417"/>
      <c r="D149" s="1417"/>
      <c r="E149" s="1428"/>
      <c r="F149" s="1433" t="s">
        <v>586</v>
      </c>
      <c r="G149" s="1417">
        <f t="shared" si="42"/>
        <v>150</v>
      </c>
      <c r="H149" s="1417">
        <v>0</v>
      </c>
      <c r="I149" s="1417">
        <v>150</v>
      </c>
      <c r="J149" s="1417">
        <v>4.6100000000000003</v>
      </c>
      <c r="K149" s="1417">
        <f t="shared" si="24"/>
        <v>4.149</v>
      </c>
      <c r="L149" s="1417">
        <v>0.1</v>
      </c>
      <c r="M149" s="1439"/>
      <c r="N149" s="1417">
        <f t="shared" si="25"/>
        <v>69.150000000000006</v>
      </c>
      <c r="O149" s="1417"/>
      <c r="P149" s="1417">
        <f t="shared" si="26"/>
        <v>1224646.5</v>
      </c>
      <c r="Q149" s="1417">
        <f t="shared" si="27"/>
        <v>1224646.5</v>
      </c>
    </row>
    <row r="150" spans="1:17" x14ac:dyDescent="0.3">
      <c r="A150" s="1417"/>
      <c r="B150" s="1435"/>
      <c r="C150" s="1417"/>
      <c r="D150" s="1417"/>
      <c r="E150" s="1428"/>
      <c r="F150" s="1433" t="s">
        <v>474</v>
      </c>
      <c r="G150" s="1417">
        <f t="shared" si="42"/>
        <v>150</v>
      </c>
      <c r="H150" s="1417">
        <v>0</v>
      </c>
      <c r="I150" s="1417">
        <v>150</v>
      </c>
      <c r="J150" s="1417">
        <v>4.6100000000000003</v>
      </c>
      <c r="K150" s="1417">
        <f t="shared" si="24"/>
        <v>4.149</v>
      </c>
      <c r="L150" s="1417">
        <v>0.1</v>
      </c>
      <c r="M150" s="1439"/>
      <c r="N150" s="1417">
        <f t="shared" si="25"/>
        <v>69.150000000000006</v>
      </c>
      <c r="O150" s="1417"/>
      <c r="P150" s="1417">
        <f t="shared" si="26"/>
        <v>1224646.5</v>
      </c>
      <c r="Q150" s="1417">
        <f t="shared" si="27"/>
        <v>1224646.5</v>
      </c>
    </row>
    <row r="151" spans="1:17" s="1438" customFormat="1" x14ac:dyDescent="0.3">
      <c r="A151" s="1434"/>
      <c r="B151" s="1435" t="s">
        <v>503</v>
      </c>
      <c r="C151" s="1434"/>
      <c r="D151" s="1434"/>
      <c r="E151" s="1440"/>
      <c r="F151" s="1437"/>
      <c r="G151" s="1434">
        <f>SUM(G152:G153)</f>
        <v>1448</v>
      </c>
      <c r="H151" s="1434">
        <f t="shared" ref="H151:Q151" si="47">SUM(H152:H153)</f>
        <v>0</v>
      </c>
      <c r="I151" s="1434">
        <f t="shared" si="47"/>
        <v>1448</v>
      </c>
      <c r="J151" s="1434">
        <f t="shared" si="47"/>
        <v>9.2200000000000006</v>
      </c>
      <c r="K151" s="1434">
        <f t="shared" si="47"/>
        <v>8.7590000000000003</v>
      </c>
      <c r="L151" s="1434">
        <f t="shared" si="47"/>
        <v>0.1</v>
      </c>
      <c r="M151" s="1434">
        <f t="shared" si="47"/>
        <v>0</v>
      </c>
      <c r="N151" s="1434">
        <f t="shared" si="47"/>
        <v>333.76400000000007</v>
      </c>
      <c r="O151" s="1434">
        <f t="shared" si="47"/>
        <v>0</v>
      </c>
      <c r="P151" s="1434">
        <f t="shared" si="47"/>
        <v>5910960.4400000013</v>
      </c>
      <c r="Q151" s="1434">
        <f t="shared" si="47"/>
        <v>5910960.4400000013</v>
      </c>
    </row>
    <row r="152" spans="1:17" x14ac:dyDescent="0.3">
      <c r="A152" s="1417"/>
      <c r="C152" s="1417"/>
      <c r="D152" s="1417"/>
      <c r="E152" s="1428"/>
      <c r="F152" s="1433" t="s">
        <v>586</v>
      </c>
      <c r="G152" s="1417">
        <f t="shared" si="42"/>
        <v>990</v>
      </c>
      <c r="H152" s="1417">
        <v>0</v>
      </c>
      <c r="I152" s="1417">
        <v>990</v>
      </c>
      <c r="J152" s="1417">
        <v>4.6100000000000003</v>
      </c>
      <c r="K152" s="1417">
        <f t="shared" si="24"/>
        <v>4.3795000000000002</v>
      </c>
      <c r="L152" s="1417">
        <v>0.05</v>
      </c>
      <c r="M152" s="1439"/>
      <c r="N152" s="1417">
        <f t="shared" si="25"/>
        <v>228.19500000000005</v>
      </c>
      <c r="O152" s="1417"/>
      <c r="P152" s="1417">
        <f t="shared" si="26"/>
        <v>4041333.4500000011</v>
      </c>
      <c r="Q152" s="1417">
        <f t="shared" si="27"/>
        <v>4041333.4500000011</v>
      </c>
    </row>
    <row r="153" spans="1:17" x14ac:dyDescent="0.3">
      <c r="A153" s="1417"/>
      <c r="B153" s="1435"/>
      <c r="C153" s="1417"/>
      <c r="D153" s="1417"/>
      <c r="E153" s="1428"/>
      <c r="F153" s="1433" t="s">
        <v>474</v>
      </c>
      <c r="G153" s="1417">
        <f t="shared" si="42"/>
        <v>458</v>
      </c>
      <c r="H153" s="1417">
        <v>0</v>
      </c>
      <c r="I153" s="1417">
        <v>458</v>
      </c>
      <c r="J153" s="1417">
        <v>4.6100000000000003</v>
      </c>
      <c r="K153" s="1417">
        <f t="shared" si="24"/>
        <v>4.3795000000000002</v>
      </c>
      <c r="L153" s="1417">
        <v>0.05</v>
      </c>
      <c r="M153" s="1439"/>
      <c r="N153" s="1417">
        <f t="shared" si="25"/>
        <v>105.56900000000002</v>
      </c>
      <c r="O153" s="1417"/>
      <c r="P153" s="1417">
        <f t="shared" si="26"/>
        <v>1869626.9900000005</v>
      </c>
      <c r="Q153" s="1417">
        <f t="shared" si="27"/>
        <v>1869626.9900000005</v>
      </c>
    </row>
    <row r="154" spans="1:17" s="1438" customFormat="1" x14ac:dyDescent="0.3">
      <c r="A154" s="1434"/>
      <c r="B154" s="1435" t="s">
        <v>498</v>
      </c>
      <c r="C154" s="1434"/>
      <c r="D154" s="1434"/>
      <c r="E154" s="1440"/>
      <c r="F154" s="1437"/>
      <c r="G154" s="1434">
        <f>SUM(G155:G156)</f>
        <v>1964</v>
      </c>
      <c r="H154" s="1434">
        <f t="shared" ref="H154:Q154" si="48">SUM(H155:H156)</f>
        <v>0</v>
      </c>
      <c r="I154" s="1434">
        <f t="shared" si="48"/>
        <v>1964</v>
      </c>
      <c r="J154" s="1434">
        <f t="shared" si="48"/>
        <v>8.0500000000000007</v>
      </c>
      <c r="K154" s="1434">
        <f t="shared" si="48"/>
        <v>7.2450000000000001</v>
      </c>
      <c r="L154" s="1434">
        <f t="shared" si="48"/>
        <v>0.2</v>
      </c>
      <c r="M154" s="1434">
        <f t="shared" si="48"/>
        <v>0</v>
      </c>
      <c r="N154" s="1434">
        <f t="shared" si="48"/>
        <v>757.048</v>
      </c>
      <c r="O154" s="1434">
        <f t="shared" si="48"/>
        <v>0</v>
      </c>
      <c r="P154" s="1434">
        <f t="shared" si="48"/>
        <v>13407320.080000002</v>
      </c>
      <c r="Q154" s="1434">
        <f t="shared" si="48"/>
        <v>13407320.080000002</v>
      </c>
    </row>
    <row r="155" spans="1:17" x14ac:dyDescent="0.3">
      <c r="A155" s="1417"/>
      <c r="C155" s="1417" t="s">
        <v>713</v>
      </c>
      <c r="D155" s="1417" t="s">
        <v>713</v>
      </c>
      <c r="E155" s="1428"/>
      <c r="F155" s="1433" t="s">
        <v>586</v>
      </c>
      <c r="G155" s="1417">
        <f t="shared" si="42"/>
        <v>696</v>
      </c>
      <c r="H155" s="1417">
        <v>0</v>
      </c>
      <c r="I155" s="1417">
        <v>696</v>
      </c>
      <c r="J155" s="1417">
        <v>4.6100000000000003</v>
      </c>
      <c r="K155" s="1417">
        <f t="shared" si="24"/>
        <v>4.149</v>
      </c>
      <c r="L155" s="1417">
        <v>0.1</v>
      </c>
      <c r="M155" s="1439"/>
      <c r="N155" s="1417">
        <f t="shared" si="25"/>
        <v>320.85600000000005</v>
      </c>
      <c r="O155" s="1417"/>
      <c r="P155" s="1417">
        <f t="shared" si="26"/>
        <v>5682359.7600000016</v>
      </c>
      <c r="Q155" s="1417">
        <f t="shared" si="27"/>
        <v>5682359.7600000016</v>
      </c>
    </row>
    <row r="156" spans="1:17" x14ac:dyDescent="0.3">
      <c r="A156" s="1417"/>
      <c r="B156" s="1435"/>
      <c r="C156" s="1417" t="s">
        <v>716</v>
      </c>
      <c r="D156" s="1417" t="s">
        <v>716</v>
      </c>
      <c r="E156" s="1428"/>
      <c r="F156" s="1433" t="s">
        <v>586</v>
      </c>
      <c r="G156" s="1417">
        <f t="shared" si="42"/>
        <v>1268</v>
      </c>
      <c r="H156" s="1417">
        <v>0</v>
      </c>
      <c r="I156" s="1417">
        <v>1268</v>
      </c>
      <c r="J156" s="1417">
        <v>3.44</v>
      </c>
      <c r="K156" s="1417">
        <f t="shared" si="24"/>
        <v>3.0960000000000001</v>
      </c>
      <c r="L156" s="1417">
        <v>0.1</v>
      </c>
      <c r="M156" s="1439"/>
      <c r="N156" s="1417">
        <f t="shared" si="25"/>
        <v>436.19200000000001</v>
      </c>
      <c r="O156" s="1417"/>
      <c r="P156" s="1417">
        <f t="shared" si="26"/>
        <v>7724960.3200000003</v>
      </c>
      <c r="Q156" s="1417">
        <f t="shared" si="27"/>
        <v>7724960.3200000003</v>
      </c>
    </row>
    <row r="157" spans="1:17" s="1438" customFormat="1" x14ac:dyDescent="0.3">
      <c r="A157" s="1434"/>
      <c r="B157" s="1435" t="s">
        <v>496</v>
      </c>
      <c r="C157" s="1434"/>
      <c r="D157" s="1434"/>
      <c r="E157" s="1440"/>
      <c r="F157" s="1437"/>
      <c r="G157" s="1434">
        <f>SUM(G158:G159)</f>
        <v>130</v>
      </c>
      <c r="H157" s="1434">
        <f t="shared" ref="H157:Q157" si="49">SUM(H158:H159)</f>
        <v>0</v>
      </c>
      <c r="I157" s="1434">
        <f t="shared" si="49"/>
        <v>130</v>
      </c>
      <c r="J157" s="1434">
        <f t="shared" si="49"/>
        <v>9.2200000000000006</v>
      </c>
      <c r="K157" s="1434">
        <f t="shared" si="49"/>
        <v>8.298</v>
      </c>
      <c r="L157" s="1434">
        <f t="shared" si="49"/>
        <v>0.2</v>
      </c>
      <c r="M157" s="1434">
        <f t="shared" si="49"/>
        <v>0</v>
      </c>
      <c r="N157" s="1434">
        <f t="shared" si="49"/>
        <v>59.930000000000007</v>
      </c>
      <c r="O157" s="1434">
        <f t="shared" si="49"/>
        <v>0</v>
      </c>
      <c r="P157" s="1434">
        <f t="shared" si="49"/>
        <v>1061360.3</v>
      </c>
      <c r="Q157" s="1434">
        <f t="shared" si="49"/>
        <v>1061360.3</v>
      </c>
    </row>
    <row r="158" spans="1:17" x14ac:dyDescent="0.3">
      <c r="A158" s="1417"/>
      <c r="C158" s="1417"/>
      <c r="D158" s="1417"/>
      <c r="E158" s="1428"/>
      <c r="F158" s="1433" t="s">
        <v>586</v>
      </c>
      <c r="G158" s="1417">
        <f t="shared" si="42"/>
        <v>75</v>
      </c>
      <c r="H158" s="1417">
        <v>0</v>
      </c>
      <c r="I158" s="1417">
        <v>75</v>
      </c>
      <c r="J158" s="1417">
        <v>4.6100000000000003</v>
      </c>
      <c r="K158" s="1417">
        <f t="shared" si="24"/>
        <v>4.149</v>
      </c>
      <c r="L158" s="1417">
        <v>0.1</v>
      </c>
      <c r="M158" s="1439"/>
      <c r="N158" s="1417">
        <f t="shared" si="25"/>
        <v>34.575000000000003</v>
      </c>
      <c r="O158" s="1417"/>
      <c r="P158" s="1417">
        <f t="shared" si="26"/>
        <v>612323.25</v>
      </c>
      <c r="Q158" s="1417">
        <f t="shared" si="27"/>
        <v>612323.25</v>
      </c>
    </row>
    <row r="159" spans="1:17" x14ac:dyDescent="0.3">
      <c r="A159" s="1417"/>
      <c r="B159" s="1435"/>
      <c r="C159" s="1417"/>
      <c r="D159" s="1417"/>
      <c r="E159" s="1428"/>
      <c r="F159" s="1433" t="s">
        <v>474</v>
      </c>
      <c r="G159" s="1417">
        <f t="shared" si="42"/>
        <v>55</v>
      </c>
      <c r="H159" s="1417">
        <v>0</v>
      </c>
      <c r="I159" s="1417">
        <v>55</v>
      </c>
      <c r="J159" s="1417">
        <v>4.6100000000000003</v>
      </c>
      <c r="K159" s="1417">
        <f t="shared" si="24"/>
        <v>4.149</v>
      </c>
      <c r="L159" s="1417">
        <v>0.1</v>
      </c>
      <c r="M159" s="1439"/>
      <c r="N159" s="1417">
        <f t="shared" si="25"/>
        <v>25.355000000000004</v>
      </c>
      <c r="O159" s="1417"/>
      <c r="P159" s="1417">
        <f t="shared" si="26"/>
        <v>449037.0500000001</v>
      </c>
      <c r="Q159" s="1417">
        <f t="shared" si="27"/>
        <v>449037.0500000001</v>
      </c>
    </row>
    <row r="160" spans="1:17" s="1438" customFormat="1" x14ac:dyDescent="0.3">
      <c r="A160" s="1434"/>
      <c r="B160" s="1435" t="s">
        <v>1040</v>
      </c>
      <c r="C160" s="1434"/>
      <c r="D160" s="1434"/>
      <c r="E160" s="1440"/>
      <c r="F160" s="1437"/>
      <c r="G160" s="1434">
        <f>SUM(G161:G162)</f>
        <v>467</v>
      </c>
      <c r="H160" s="1434">
        <f t="shared" ref="H160:Q160" si="50">SUM(H161:H162)</f>
        <v>0</v>
      </c>
      <c r="I160" s="1434">
        <f t="shared" si="50"/>
        <v>467</v>
      </c>
      <c r="J160" s="1434">
        <f t="shared" si="50"/>
        <v>9.2200000000000006</v>
      </c>
      <c r="K160" s="1434">
        <f t="shared" si="50"/>
        <v>8.298</v>
      </c>
      <c r="L160" s="1434">
        <f t="shared" si="50"/>
        <v>0.2</v>
      </c>
      <c r="M160" s="1434">
        <f t="shared" si="50"/>
        <v>0</v>
      </c>
      <c r="N160" s="1434">
        <f t="shared" si="50"/>
        <v>215.28700000000003</v>
      </c>
      <c r="O160" s="1434">
        <f t="shared" si="50"/>
        <v>0</v>
      </c>
      <c r="P160" s="1434">
        <f t="shared" si="50"/>
        <v>3812732.7700000009</v>
      </c>
      <c r="Q160" s="1434">
        <f t="shared" si="50"/>
        <v>3812732.7700000009</v>
      </c>
    </row>
    <row r="161" spans="1:17" x14ac:dyDescent="0.3">
      <c r="A161" s="1417"/>
      <c r="C161" s="1417"/>
      <c r="D161" s="1417"/>
      <c r="E161" s="1428"/>
      <c r="F161" s="1433" t="s">
        <v>586</v>
      </c>
      <c r="G161" s="1417">
        <f t="shared" si="42"/>
        <v>390</v>
      </c>
      <c r="H161" s="1417">
        <v>0</v>
      </c>
      <c r="I161" s="1417">
        <v>390</v>
      </c>
      <c r="J161" s="1417">
        <v>4.6100000000000003</v>
      </c>
      <c r="K161" s="1417">
        <f t="shared" si="24"/>
        <v>4.149</v>
      </c>
      <c r="L161" s="1417">
        <v>0.1</v>
      </c>
      <c r="M161" s="1439"/>
      <c r="N161" s="1417">
        <f t="shared" si="25"/>
        <v>179.79000000000002</v>
      </c>
      <c r="O161" s="1417"/>
      <c r="P161" s="1417">
        <f t="shared" si="26"/>
        <v>3184080.9000000008</v>
      </c>
      <c r="Q161" s="1417">
        <f t="shared" si="27"/>
        <v>3184080.9000000008</v>
      </c>
    </row>
    <row r="162" spans="1:17" x14ac:dyDescent="0.3">
      <c r="A162" s="1417"/>
      <c r="B162" s="1435"/>
      <c r="C162" s="1417"/>
      <c r="D162" s="1417"/>
      <c r="E162" s="1428"/>
      <c r="F162" s="1433" t="s">
        <v>474</v>
      </c>
      <c r="G162" s="1417">
        <f t="shared" si="42"/>
        <v>77</v>
      </c>
      <c r="H162" s="1417">
        <v>0</v>
      </c>
      <c r="I162" s="1417">
        <v>77</v>
      </c>
      <c r="J162" s="1417">
        <v>4.6100000000000003</v>
      </c>
      <c r="K162" s="1417">
        <f t="shared" si="24"/>
        <v>4.149</v>
      </c>
      <c r="L162" s="1417">
        <v>0.1</v>
      </c>
      <c r="M162" s="1439"/>
      <c r="N162" s="1417">
        <f t="shared" si="25"/>
        <v>35.497000000000007</v>
      </c>
      <c r="O162" s="1417"/>
      <c r="P162" s="1417">
        <f t="shared" si="26"/>
        <v>628651.87000000011</v>
      </c>
      <c r="Q162" s="1417">
        <f t="shared" si="27"/>
        <v>628651.87000000011</v>
      </c>
    </row>
    <row r="163" spans="1:17" s="1438" customFormat="1" x14ac:dyDescent="0.3">
      <c r="A163" s="1434"/>
      <c r="B163" s="1435" t="s">
        <v>500</v>
      </c>
      <c r="C163" s="1434"/>
      <c r="D163" s="1434"/>
      <c r="E163" s="1440"/>
      <c r="F163" s="1437"/>
      <c r="G163" s="1434">
        <f>SUM(G164:G165)</f>
        <v>991</v>
      </c>
      <c r="H163" s="1434">
        <f t="shared" ref="H163:Q163" si="51">SUM(H164:H165)</f>
        <v>0</v>
      </c>
      <c r="I163" s="1434">
        <f t="shared" si="51"/>
        <v>991</v>
      </c>
      <c r="J163" s="1434">
        <f t="shared" si="51"/>
        <v>9.2200000000000006</v>
      </c>
      <c r="K163" s="1434">
        <f t="shared" si="51"/>
        <v>8.298</v>
      </c>
      <c r="L163" s="1434">
        <f t="shared" si="51"/>
        <v>0.2</v>
      </c>
      <c r="M163" s="1434">
        <f t="shared" si="51"/>
        <v>0</v>
      </c>
      <c r="N163" s="1434">
        <f t="shared" si="51"/>
        <v>456.85100000000006</v>
      </c>
      <c r="O163" s="1434">
        <f t="shared" si="51"/>
        <v>0</v>
      </c>
      <c r="P163" s="1434">
        <f t="shared" si="51"/>
        <v>8090831.2100000009</v>
      </c>
      <c r="Q163" s="1434">
        <f t="shared" si="51"/>
        <v>8090831.2100000009</v>
      </c>
    </row>
    <row r="164" spans="1:17" x14ac:dyDescent="0.3">
      <c r="A164" s="1417"/>
      <c r="C164" s="1417"/>
      <c r="D164" s="1417"/>
      <c r="E164" s="1428"/>
      <c r="F164" s="1433" t="s">
        <v>586</v>
      </c>
      <c r="G164" s="1417">
        <f t="shared" si="42"/>
        <v>624</v>
      </c>
      <c r="H164" s="1417">
        <v>0</v>
      </c>
      <c r="I164" s="1417">
        <v>624</v>
      </c>
      <c r="J164" s="1417">
        <v>4.6100000000000003</v>
      </c>
      <c r="K164" s="1417">
        <f t="shared" si="24"/>
        <v>4.149</v>
      </c>
      <c r="L164" s="1417">
        <v>0.1</v>
      </c>
      <c r="M164" s="1439"/>
      <c r="N164" s="1417">
        <f t="shared" si="25"/>
        <v>287.66400000000004</v>
      </c>
      <c r="O164" s="1417"/>
      <c r="P164" s="1417">
        <f t="shared" si="26"/>
        <v>5094529.4400000013</v>
      </c>
      <c r="Q164" s="1417">
        <f t="shared" si="27"/>
        <v>5094529.4400000013</v>
      </c>
    </row>
    <row r="165" spans="1:17" x14ac:dyDescent="0.3">
      <c r="A165" s="1417"/>
      <c r="B165" s="1435"/>
      <c r="C165" s="1417"/>
      <c r="D165" s="1417"/>
      <c r="E165" s="1428"/>
      <c r="F165" s="1433" t="s">
        <v>474</v>
      </c>
      <c r="G165" s="1417">
        <f t="shared" ref="G165:G172" si="52">SUM(H165:I165)</f>
        <v>367</v>
      </c>
      <c r="H165" s="1417">
        <v>0</v>
      </c>
      <c r="I165" s="1417">
        <v>367</v>
      </c>
      <c r="J165" s="1417">
        <v>4.6100000000000003</v>
      </c>
      <c r="K165" s="1417">
        <f t="shared" si="24"/>
        <v>4.149</v>
      </c>
      <c r="L165" s="1417">
        <v>0.1</v>
      </c>
      <c r="M165" s="1439"/>
      <c r="N165" s="1417">
        <f t="shared" si="25"/>
        <v>169.18700000000001</v>
      </c>
      <c r="O165" s="1417"/>
      <c r="P165" s="1417">
        <f>N165*1000*17.71</f>
        <v>2996301.77</v>
      </c>
      <c r="Q165" s="1417">
        <f t="shared" si="27"/>
        <v>2996301.77</v>
      </c>
    </row>
    <row r="166" spans="1:17" s="1438" customFormat="1" x14ac:dyDescent="0.3">
      <c r="A166" s="1434"/>
      <c r="B166" s="1435" t="s">
        <v>494</v>
      </c>
      <c r="C166" s="1434"/>
      <c r="D166" s="1434"/>
      <c r="E166" s="1440"/>
      <c r="F166" s="1437"/>
      <c r="G166" s="1434">
        <f>SUM(G167:G168)</f>
        <v>192</v>
      </c>
      <c r="H166" s="1434">
        <f t="shared" ref="H166:Q166" si="53">SUM(H167:H168)</f>
        <v>0</v>
      </c>
      <c r="I166" s="1434">
        <f t="shared" si="53"/>
        <v>192</v>
      </c>
      <c r="J166" s="1434">
        <f t="shared" si="53"/>
        <v>9.2200000000000006</v>
      </c>
      <c r="K166" s="1434">
        <f t="shared" si="53"/>
        <v>8.298</v>
      </c>
      <c r="L166" s="1434">
        <f t="shared" si="53"/>
        <v>0.2</v>
      </c>
      <c r="M166" s="1434">
        <f t="shared" si="53"/>
        <v>0</v>
      </c>
      <c r="N166" s="1434">
        <f t="shared" si="53"/>
        <v>88.512</v>
      </c>
      <c r="O166" s="1434">
        <f t="shared" si="53"/>
        <v>0</v>
      </c>
      <c r="P166" s="1434">
        <f t="shared" si="53"/>
        <v>1567547.52</v>
      </c>
      <c r="Q166" s="1434">
        <f t="shared" si="53"/>
        <v>1567547.52</v>
      </c>
    </row>
    <row r="167" spans="1:17" x14ac:dyDescent="0.3">
      <c r="A167" s="1417"/>
      <c r="C167" s="1417"/>
      <c r="D167" s="1417"/>
      <c r="E167" s="1428"/>
      <c r="F167" s="1433" t="s">
        <v>586</v>
      </c>
      <c r="G167" s="1417">
        <f t="shared" si="52"/>
        <v>160</v>
      </c>
      <c r="H167" s="1417">
        <v>0</v>
      </c>
      <c r="I167" s="1417">
        <v>160</v>
      </c>
      <c r="J167" s="1417">
        <v>4.6100000000000003</v>
      </c>
      <c r="K167" s="1417">
        <f t="shared" si="24"/>
        <v>4.149</v>
      </c>
      <c r="L167" s="1417">
        <v>0.1</v>
      </c>
      <c r="M167" s="1439"/>
      <c r="N167" s="1417">
        <f t="shared" si="25"/>
        <v>73.760000000000005</v>
      </c>
      <c r="O167" s="1417"/>
      <c r="P167" s="1417">
        <f>N167*1000*17.71</f>
        <v>1306289.6000000001</v>
      </c>
      <c r="Q167" s="1417">
        <f t="shared" si="27"/>
        <v>1306289.6000000001</v>
      </c>
    </row>
    <row r="168" spans="1:17" x14ac:dyDescent="0.3">
      <c r="A168" s="1417"/>
      <c r="B168" s="1435"/>
      <c r="C168" s="1417"/>
      <c r="D168" s="1417"/>
      <c r="E168" s="1428"/>
      <c r="F168" s="1433" t="s">
        <v>474</v>
      </c>
      <c r="G168" s="1417">
        <f t="shared" si="52"/>
        <v>32</v>
      </c>
      <c r="H168" s="1417">
        <v>0</v>
      </c>
      <c r="I168" s="1417">
        <v>32</v>
      </c>
      <c r="J168" s="1417">
        <v>4.6100000000000003</v>
      </c>
      <c r="K168" s="1417">
        <f t="shared" si="24"/>
        <v>4.149</v>
      </c>
      <c r="L168" s="1417">
        <v>0.1</v>
      </c>
      <c r="M168" s="1439"/>
      <c r="N168" s="1417">
        <f t="shared" si="25"/>
        <v>14.752000000000002</v>
      </c>
      <c r="O168" s="1417"/>
      <c r="P168" s="1417">
        <f>N168*1000*17.71</f>
        <v>261257.92000000004</v>
      </c>
      <c r="Q168" s="1417">
        <f t="shared" si="27"/>
        <v>261257.92000000004</v>
      </c>
    </row>
    <row r="169" spans="1:17" s="1438" customFormat="1" x14ac:dyDescent="0.3">
      <c r="A169" s="1434"/>
      <c r="B169" s="1435" t="s">
        <v>1048</v>
      </c>
      <c r="C169" s="1434"/>
      <c r="D169" s="1434"/>
      <c r="E169" s="1440"/>
      <c r="F169" s="1437"/>
      <c r="G169" s="1434">
        <f>SUM(G170:G172)</f>
        <v>1057</v>
      </c>
      <c r="H169" s="1434">
        <f t="shared" ref="H169:Q169" si="54">SUM(H170:H172)</f>
        <v>0</v>
      </c>
      <c r="I169" s="1434">
        <f t="shared" si="54"/>
        <v>1057</v>
      </c>
      <c r="J169" s="1434">
        <f t="shared" si="54"/>
        <v>13.830000000000002</v>
      </c>
      <c r="K169" s="1434">
        <f t="shared" si="54"/>
        <v>12.446999999999999</v>
      </c>
      <c r="L169" s="1434">
        <f t="shared" si="54"/>
        <v>0.30000000000000004</v>
      </c>
      <c r="M169" s="1434">
        <f t="shared" si="54"/>
        <v>0</v>
      </c>
      <c r="N169" s="1434">
        <f t="shared" si="54"/>
        <v>487.27700000000004</v>
      </c>
      <c r="O169" s="1434">
        <f t="shared" si="54"/>
        <v>1348425.0000000002</v>
      </c>
      <c r="P169" s="1434">
        <f t="shared" si="54"/>
        <v>7674451.4000000013</v>
      </c>
      <c r="Q169" s="1434">
        <f t="shared" si="54"/>
        <v>9022876.4000000022</v>
      </c>
    </row>
    <row r="170" spans="1:17" x14ac:dyDescent="0.3">
      <c r="A170" s="1417"/>
      <c r="C170" s="1417"/>
      <c r="D170" s="1417"/>
      <c r="E170" s="1428"/>
      <c r="F170" s="1433" t="s">
        <v>586</v>
      </c>
      <c r="G170" s="1417">
        <f t="shared" si="52"/>
        <v>855</v>
      </c>
      <c r="H170" s="1417">
        <v>0</v>
      </c>
      <c r="I170" s="1417">
        <v>855</v>
      </c>
      <c r="J170" s="1417">
        <v>4.6100000000000003</v>
      </c>
      <c r="K170" s="1417">
        <f t="shared" si="24"/>
        <v>4.149</v>
      </c>
      <c r="L170" s="1417">
        <v>0.1</v>
      </c>
      <c r="M170" s="1439"/>
      <c r="N170" s="1417">
        <f t="shared" si="25"/>
        <v>394.15500000000003</v>
      </c>
      <c r="O170" s="1417"/>
      <c r="P170" s="1417">
        <f>N170*1000*17.71</f>
        <v>6980485.0500000017</v>
      </c>
      <c r="Q170" s="1417">
        <f t="shared" si="27"/>
        <v>6980485.0500000017</v>
      </c>
    </row>
    <row r="171" spans="1:17" x14ac:dyDescent="0.3">
      <c r="A171" s="1417"/>
      <c r="B171" s="1435"/>
      <c r="C171" s="1417"/>
      <c r="D171" s="1417"/>
      <c r="E171" s="1428"/>
      <c r="F171" s="1433" t="s">
        <v>474</v>
      </c>
      <c r="G171" s="1417">
        <f t="shared" si="52"/>
        <v>85</v>
      </c>
      <c r="H171" s="1417">
        <v>0</v>
      </c>
      <c r="I171" s="1417">
        <v>85</v>
      </c>
      <c r="J171" s="1417">
        <v>4.6100000000000003</v>
      </c>
      <c r="K171" s="1417">
        <f t="shared" si="24"/>
        <v>4.149</v>
      </c>
      <c r="L171" s="1417">
        <v>0.1</v>
      </c>
      <c r="M171" s="1439"/>
      <c r="N171" s="1417">
        <f t="shared" si="25"/>
        <v>39.185000000000002</v>
      </c>
      <c r="O171" s="1417"/>
      <c r="P171" s="1417">
        <f>N171*1000*17.71</f>
        <v>693966.35</v>
      </c>
      <c r="Q171" s="1417">
        <f t="shared" si="27"/>
        <v>693966.35</v>
      </c>
    </row>
    <row r="172" spans="1:17" x14ac:dyDescent="0.3">
      <c r="A172" s="1417"/>
      <c r="B172" s="1435"/>
      <c r="C172" s="1417"/>
      <c r="D172" s="1417"/>
      <c r="E172" s="1428"/>
      <c r="F172" s="1433" t="s">
        <v>539</v>
      </c>
      <c r="G172" s="1417">
        <f t="shared" si="52"/>
        <v>117</v>
      </c>
      <c r="H172" s="1417">
        <v>0</v>
      </c>
      <c r="I172" s="1417">
        <v>117</v>
      </c>
      <c r="J172" s="1417">
        <v>4.6100000000000003</v>
      </c>
      <c r="K172" s="1417">
        <f t="shared" si="24"/>
        <v>4.149</v>
      </c>
      <c r="L172" s="1417">
        <v>0.1</v>
      </c>
      <c r="M172" s="1439"/>
      <c r="N172" s="1417">
        <f t="shared" si="25"/>
        <v>53.937000000000005</v>
      </c>
      <c r="O172" s="1417">
        <f>I172*L172*J172*25000</f>
        <v>1348425.0000000002</v>
      </c>
      <c r="P172" s="1417"/>
      <c r="Q172" s="1417">
        <f t="shared" si="27"/>
        <v>1348425.0000000002</v>
      </c>
    </row>
    <row r="173" spans="1:17" s="1438" customFormat="1" x14ac:dyDescent="0.3">
      <c r="A173" s="1434"/>
      <c r="B173" s="1435" t="s">
        <v>649</v>
      </c>
      <c r="C173" s="1434"/>
      <c r="D173" s="1434"/>
      <c r="E173" s="1440"/>
      <c r="F173" s="1437"/>
      <c r="G173" s="1434">
        <f>SUM(G174:G175)</f>
        <v>198</v>
      </c>
      <c r="H173" s="1434">
        <f t="shared" ref="H173:Q173" si="55">SUM(H174:H175)</f>
        <v>0</v>
      </c>
      <c r="I173" s="1434">
        <f t="shared" si="55"/>
        <v>198</v>
      </c>
      <c r="J173" s="1434">
        <f t="shared" si="55"/>
        <v>9.2200000000000006</v>
      </c>
      <c r="K173" s="1434">
        <f t="shared" si="55"/>
        <v>8.298</v>
      </c>
      <c r="L173" s="1434">
        <f t="shared" si="55"/>
        <v>0.2</v>
      </c>
      <c r="M173" s="1434">
        <f t="shared" si="55"/>
        <v>0</v>
      </c>
      <c r="N173" s="1434">
        <f t="shared" si="55"/>
        <v>91.27800000000002</v>
      </c>
      <c r="O173" s="1434">
        <f t="shared" si="55"/>
        <v>0</v>
      </c>
      <c r="P173" s="1434">
        <f t="shared" si="55"/>
        <v>1616533.3800000004</v>
      </c>
      <c r="Q173" s="1434">
        <f t="shared" si="55"/>
        <v>1616533.3800000004</v>
      </c>
    </row>
    <row r="174" spans="1:17" x14ac:dyDescent="0.3">
      <c r="A174" s="1416" t="s">
        <v>1049</v>
      </c>
      <c r="C174" s="1417"/>
      <c r="D174" s="1417"/>
      <c r="E174" s="1428"/>
      <c r="F174" s="1433" t="s">
        <v>586</v>
      </c>
      <c r="G174" s="1417">
        <f t="shared" ref="G174:G184" si="56">SUM(H174:I174)</f>
        <v>120</v>
      </c>
      <c r="H174" s="1417">
        <v>0</v>
      </c>
      <c r="I174" s="1417">
        <v>120</v>
      </c>
      <c r="J174" s="1417">
        <v>4.6100000000000003</v>
      </c>
      <c r="K174" s="1417">
        <f t="shared" si="24"/>
        <v>4.149</v>
      </c>
      <c r="L174" s="1417">
        <v>0.1</v>
      </c>
      <c r="M174" s="1439"/>
      <c r="N174" s="1417">
        <f t="shared" si="25"/>
        <v>55.320000000000007</v>
      </c>
      <c r="O174" s="1417"/>
      <c r="P174" s="1417">
        <f t="shared" ref="P174:P204" si="57">N174*1000*17.71</f>
        <v>979717.20000000019</v>
      </c>
      <c r="Q174" s="1417">
        <f t="shared" si="27"/>
        <v>979717.20000000019</v>
      </c>
    </row>
    <row r="175" spans="1:17" x14ac:dyDescent="0.3">
      <c r="A175" s="1417"/>
      <c r="B175" s="1435"/>
      <c r="C175" s="1417"/>
      <c r="D175" s="1417"/>
      <c r="E175" s="1428"/>
      <c r="F175" s="1433" t="s">
        <v>474</v>
      </c>
      <c r="G175" s="1417">
        <f t="shared" si="56"/>
        <v>78</v>
      </c>
      <c r="H175" s="1417">
        <v>0</v>
      </c>
      <c r="I175" s="1417">
        <v>78</v>
      </c>
      <c r="J175" s="1417">
        <v>4.6100000000000003</v>
      </c>
      <c r="K175" s="1417">
        <f t="shared" si="24"/>
        <v>4.149</v>
      </c>
      <c r="L175" s="1417">
        <v>0.1</v>
      </c>
      <c r="M175" s="1439"/>
      <c r="N175" s="1417">
        <f t="shared" si="25"/>
        <v>35.958000000000006</v>
      </c>
      <c r="O175" s="1417"/>
      <c r="P175" s="1417">
        <f t="shared" si="57"/>
        <v>636816.18000000017</v>
      </c>
      <c r="Q175" s="1417">
        <f t="shared" si="27"/>
        <v>636816.18000000017</v>
      </c>
    </row>
    <row r="176" spans="1:17" s="1438" customFormat="1" x14ac:dyDescent="0.3">
      <c r="A176" s="1434"/>
      <c r="B176" s="1435" t="s">
        <v>654</v>
      </c>
      <c r="C176" s="1434"/>
      <c r="D176" s="1434"/>
      <c r="E176" s="1440"/>
      <c r="F176" s="1437"/>
      <c r="G176" s="1434">
        <f>SUM(G177:G178)</f>
        <v>725</v>
      </c>
      <c r="H176" s="1434">
        <f t="shared" ref="H176:Q176" si="58">SUM(H177:H178)</f>
        <v>0</v>
      </c>
      <c r="I176" s="1434">
        <f t="shared" si="58"/>
        <v>725</v>
      </c>
      <c r="J176" s="1434">
        <f t="shared" si="58"/>
        <v>9.2200000000000006</v>
      </c>
      <c r="K176" s="1434">
        <f t="shared" si="58"/>
        <v>8.298</v>
      </c>
      <c r="L176" s="1434">
        <f t="shared" si="58"/>
        <v>0.2</v>
      </c>
      <c r="M176" s="1434">
        <f t="shared" si="58"/>
        <v>0</v>
      </c>
      <c r="N176" s="1434">
        <f t="shared" si="58"/>
        <v>334.22500000000008</v>
      </c>
      <c r="O176" s="1434">
        <f t="shared" si="58"/>
        <v>0</v>
      </c>
      <c r="P176" s="1434">
        <f t="shared" si="58"/>
        <v>5919124.7500000019</v>
      </c>
      <c r="Q176" s="1434">
        <f t="shared" si="58"/>
        <v>5919124.7500000019</v>
      </c>
    </row>
    <row r="177" spans="1:17" x14ac:dyDescent="0.3">
      <c r="A177" s="1417"/>
      <c r="C177" s="1417"/>
      <c r="D177" s="1417"/>
      <c r="E177" s="1428"/>
      <c r="F177" s="1433" t="s">
        <v>586</v>
      </c>
      <c r="G177" s="1417">
        <f t="shared" si="56"/>
        <v>255</v>
      </c>
      <c r="H177" s="1417">
        <v>0</v>
      </c>
      <c r="I177" s="1417">
        <v>255</v>
      </c>
      <c r="J177" s="1417">
        <v>4.6100000000000003</v>
      </c>
      <c r="K177" s="1417">
        <f t="shared" si="24"/>
        <v>4.149</v>
      </c>
      <c r="L177" s="1417">
        <v>0.1</v>
      </c>
      <c r="M177" s="1439"/>
      <c r="N177" s="1417">
        <f t="shared" si="25"/>
        <v>117.55500000000002</v>
      </c>
      <c r="O177" s="1417"/>
      <c r="P177" s="1417">
        <f t="shared" si="57"/>
        <v>2081899.0500000003</v>
      </c>
      <c r="Q177" s="1417">
        <f t="shared" si="27"/>
        <v>2081899.0500000003</v>
      </c>
    </row>
    <row r="178" spans="1:17" x14ac:dyDescent="0.3">
      <c r="A178" s="1417"/>
      <c r="B178" s="1435"/>
      <c r="C178" s="1417"/>
      <c r="D178" s="1417"/>
      <c r="E178" s="1428"/>
      <c r="F178" s="1433" t="s">
        <v>474</v>
      </c>
      <c r="G178" s="1417">
        <f t="shared" si="56"/>
        <v>470</v>
      </c>
      <c r="H178" s="1417">
        <v>0</v>
      </c>
      <c r="I178" s="1417">
        <v>470</v>
      </c>
      <c r="J178" s="1417">
        <v>4.6100000000000003</v>
      </c>
      <c r="K178" s="1417">
        <f t="shared" si="24"/>
        <v>4.149</v>
      </c>
      <c r="L178" s="1417">
        <v>0.1</v>
      </c>
      <c r="M178" s="1439"/>
      <c r="N178" s="1417">
        <f t="shared" si="25"/>
        <v>216.67000000000004</v>
      </c>
      <c r="O178" s="1417"/>
      <c r="P178" s="1417">
        <f t="shared" si="57"/>
        <v>3837225.7000000011</v>
      </c>
      <c r="Q178" s="1417">
        <f t="shared" si="27"/>
        <v>3837225.7000000011</v>
      </c>
    </row>
    <row r="179" spans="1:17" s="1438" customFormat="1" x14ac:dyDescent="0.3">
      <c r="A179" s="1434"/>
      <c r="B179" s="1435" t="s">
        <v>514</v>
      </c>
      <c r="C179" s="1434"/>
      <c r="D179" s="1434"/>
      <c r="E179" s="1440"/>
      <c r="F179" s="1437"/>
      <c r="G179" s="1434">
        <f>SUM(G180:G181)</f>
        <v>420</v>
      </c>
      <c r="H179" s="1434">
        <f t="shared" ref="H179:Q179" si="59">SUM(H180:H181)</f>
        <v>0</v>
      </c>
      <c r="I179" s="1434">
        <f t="shared" si="59"/>
        <v>420</v>
      </c>
      <c r="J179" s="1434">
        <f t="shared" si="59"/>
        <v>9.2200000000000006</v>
      </c>
      <c r="K179" s="1434">
        <f t="shared" si="59"/>
        <v>8.298</v>
      </c>
      <c r="L179" s="1434">
        <f t="shared" si="59"/>
        <v>0.2</v>
      </c>
      <c r="M179" s="1434">
        <f t="shared" si="59"/>
        <v>0</v>
      </c>
      <c r="N179" s="1434">
        <f t="shared" si="59"/>
        <v>193.62000000000003</v>
      </c>
      <c r="O179" s="1434">
        <f t="shared" si="59"/>
        <v>0</v>
      </c>
      <c r="P179" s="1434">
        <f t="shared" si="59"/>
        <v>3429010.2000000007</v>
      </c>
      <c r="Q179" s="1434">
        <f t="shared" si="59"/>
        <v>3429010.2000000007</v>
      </c>
    </row>
    <row r="180" spans="1:17" x14ac:dyDescent="0.3">
      <c r="A180" s="1417"/>
      <c r="C180" s="1417"/>
      <c r="D180" s="1417"/>
      <c r="E180" s="1428"/>
      <c r="F180" s="1433" t="s">
        <v>586</v>
      </c>
      <c r="G180" s="1417">
        <f t="shared" si="56"/>
        <v>237</v>
      </c>
      <c r="H180" s="1417">
        <v>0</v>
      </c>
      <c r="I180" s="1417">
        <v>237</v>
      </c>
      <c r="J180" s="1417">
        <v>4.6100000000000003</v>
      </c>
      <c r="K180" s="1417">
        <f t="shared" si="24"/>
        <v>4.149</v>
      </c>
      <c r="L180" s="1417">
        <v>0.1</v>
      </c>
      <c r="M180" s="1439"/>
      <c r="N180" s="1417">
        <f t="shared" si="25"/>
        <v>109.25700000000002</v>
      </c>
      <c r="O180" s="1417"/>
      <c r="P180" s="1417">
        <f t="shared" si="57"/>
        <v>1934941.4700000004</v>
      </c>
      <c r="Q180" s="1417">
        <f t="shared" si="27"/>
        <v>1934941.4700000004</v>
      </c>
    </row>
    <row r="181" spans="1:17" x14ac:dyDescent="0.3">
      <c r="A181" s="1417"/>
      <c r="B181" s="1435"/>
      <c r="C181" s="1417"/>
      <c r="D181" s="1417"/>
      <c r="E181" s="1428"/>
      <c r="F181" s="1433" t="s">
        <v>474</v>
      </c>
      <c r="G181" s="1417">
        <f t="shared" si="56"/>
        <v>183</v>
      </c>
      <c r="H181" s="1417">
        <v>0</v>
      </c>
      <c r="I181" s="1417">
        <v>183</v>
      </c>
      <c r="J181" s="1417">
        <v>4.6100000000000003</v>
      </c>
      <c r="K181" s="1417">
        <f t="shared" si="24"/>
        <v>4.149</v>
      </c>
      <c r="L181" s="1417">
        <v>0.1</v>
      </c>
      <c r="M181" s="1439"/>
      <c r="N181" s="1417">
        <f t="shared" si="25"/>
        <v>84.363000000000014</v>
      </c>
      <c r="O181" s="1417"/>
      <c r="P181" s="1417">
        <f t="shared" si="57"/>
        <v>1494068.7300000002</v>
      </c>
      <c r="Q181" s="1417">
        <f t="shared" si="27"/>
        <v>1494068.7300000002</v>
      </c>
    </row>
    <row r="182" spans="1:17" s="1438" customFormat="1" x14ac:dyDescent="0.3">
      <c r="A182" s="1434"/>
      <c r="B182" s="1435" t="s">
        <v>186</v>
      </c>
      <c r="C182" s="1434"/>
      <c r="D182" s="1434"/>
      <c r="E182" s="1440"/>
      <c r="F182" s="1437"/>
      <c r="G182" s="1434">
        <f>SUM(G183:G184)</f>
        <v>837.1</v>
      </c>
      <c r="H182" s="1434">
        <f t="shared" ref="H182:Q182" si="60">SUM(H183:H184)</f>
        <v>0</v>
      </c>
      <c r="I182" s="1434">
        <f t="shared" si="60"/>
        <v>837.1</v>
      </c>
      <c r="J182" s="1434">
        <f t="shared" si="60"/>
        <v>9.2200000000000006</v>
      </c>
      <c r="K182" s="1434">
        <f t="shared" si="60"/>
        <v>8.298</v>
      </c>
      <c r="L182" s="1434">
        <f t="shared" si="60"/>
        <v>0.2</v>
      </c>
      <c r="M182" s="1434">
        <f t="shared" si="60"/>
        <v>0</v>
      </c>
      <c r="N182" s="1434">
        <f t="shared" si="60"/>
        <v>385.90310000000011</v>
      </c>
      <c r="O182" s="1434">
        <f t="shared" si="60"/>
        <v>0</v>
      </c>
      <c r="P182" s="1434">
        <f t="shared" si="60"/>
        <v>6834343.9010000015</v>
      </c>
      <c r="Q182" s="1434">
        <f t="shared" si="60"/>
        <v>6834343.9010000015</v>
      </c>
    </row>
    <row r="183" spans="1:17" x14ac:dyDescent="0.3">
      <c r="A183" s="1417"/>
      <c r="C183" s="1417"/>
      <c r="D183" s="1417"/>
      <c r="E183" s="1428"/>
      <c r="F183" s="1433" t="s">
        <v>586</v>
      </c>
      <c r="G183" s="1417">
        <f t="shared" si="56"/>
        <v>153.1</v>
      </c>
      <c r="H183" s="1417">
        <v>0</v>
      </c>
      <c r="I183" s="1417">
        <v>153.1</v>
      </c>
      <c r="J183" s="1417">
        <v>4.6100000000000003</v>
      </c>
      <c r="K183" s="1417">
        <f t="shared" si="24"/>
        <v>4.149</v>
      </c>
      <c r="L183" s="1417">
        <v>0.1</v>
      </c>
      <c r="M183" s="1439"/>
      <c r="N183" s="1417">
        <f t="shared" si="25"/>
        <v>70.579100000000011</v>
      </c>
      <c r="O183" s="1417"/>
      <c r="P183" s="1417">
        <f t="shared" si="57"/>
        <v>1249955.8610000003</v>
      </c>
      <c r="Q183" s="1417">
        <f t="shared" si="27"/>
        <v>1249955.8610000003</v>
      </c>
    </row>
    <row r="184" spans="1:17" x14ac:dyDescent="0.3">
      <c r="A184" s="1417"/>
      <c r="B184" s="1435"/>
      <c r="C184" s="1417"/>
      <c r="D184" s="1417"/>
      <c r="E184" s="1428"/>
      <c r="F184" s="1433" t="s">
        <v>474</v>
      </c>
      <c r="G184" s="1417">
        <f t="shared" si="56"/>
        <v>684</v>
      </c>
      <c r="H184" s="1417">
        <v>0</v>
      </c>
      <c r="I184" s="1417">
        <v>684</v>
      </c>
      <c r="J184" s="1417">
        <v>4.6100000000000003</v>
      </c>
      <c r="K184" s="1417">
        <f t="shared" si="24"/>
        <v>4.149</v>
      </c>
      <c r="L184" s="1417">
        <v>0.1</v>
      </c>
      <c r="M184" s="1439"/>
      <c r="N184" s="1417">
        <f t="shared" si="25"/>
        <v>315.32400000000007</v>
      </c>
      <c r="O184" s="1417"/>
      <c r="P184" s="1417">
        <f t="shared" si="57"/>
        <v>5584388.040000001</v>
      </c>
      <c r="Q184" s="1417">
        <f t="shared" si="27"/>
        <v>5584388.040000001</v>
      </c>
    </row>
    <row r="185" spans="1:17" s="1438" customFormat="1" x14ac:dyDescent="0.3">
      <c r="A185" s="1434"/>
      <c r="B185" s="1435" t="s">
        <v>511</v>
      </c>
      <c r="C185" s="1434"/>
      <c r="D185" s="1434"/>
      <c r="E185" s="1440"/>
      <c r="F185" s="1437"/>
      <c r="G185" s="1434">
        <f>SUM(G186:G188)</f>
        <v>332</v>
      </c>
      <c r="H185" s="1434">
        <f t="shared" ref="H185:Q185" si="61">SUM(H186:H188)</f>
        <v>0</v>
      </c>
      <c r="I185" s="1434">
        <f t="shared" si="61"/>
        <v>332</v>
      </c>
      <c r="J185" s="1434">
        <f t="shared" si="61"/>
        <v>13.830000000000002</v>
      </c>
      <c r="K185" s="1434">
        <f t="shared" si="61"/>
        <v>13.138500000000001</v>
      </c>
      <c r="L185" s="1434">
        <f t="shared" si="61"/>
        <v>0.15000000000000002</v>
      </c>
      <c r="M185" s="1434">
        <f t="shared" si="61"/>
        <v>0</v>
      </c>
      <c r="N185" s="1434">
        <f t="shared" si="61"/>
        <v>76.52600000000001</v>
      </c>
      <c r="O185" s="1434">
        <f t="shared" si="61"/>
        <v>760650.00000000012</v>
      </c>
      <c r="P185" s="1434">
        <f t="shared" si="61"/>
        <v>816431</v>
      </c>
      <c r="Q185" s="1434">
        <f t="shared" si="61"/>
        <v>1577081</v>
      </c>
    </row>
    <row r="186" spans="1:17" x14ac:dyDescent="0.3">
      <c r="A186" s="1417"/>
      <c r="C186" s="1417"/>
      <c r="D186" s="1417"/>
      <c r="E186" s="1428"/>
      <c r="F186" s="1433" t="s">
        <v>586</v>
      </c>
      <c r="G186" s="1417">
        <f t="shared" ref="G186:G204" si="62">SUM(H186:I186)</f>
        <v>150</v>
      </c>
      <c r="H186" s="1417">
        <v>0</v>
      </c>
      <c r="I186" s="1417">
        <v>150</v>
      </c>
      <c r="J186" s="1417">
        <v>4.6100000000000003</v>
      </c>
      <c r="K186" s="1417">
        <f t="shared" si="24"/>
        <v>4.3795000000000002</v>
      </c>
      <c r="L186" s="1417">
        <v>0.05</v>
      </c>
      <c r="M186" s="1439"/>
      <c r="N186" s="1417">
        <f t="shared" si="25"/>
        <v>34.575000000000003</v>
      </c>
      <c r="O186" s="1417"/>
      <c r="P186" s="1417">
        <f t="shared" si="57"/>
        <v>612323.25</v>
      </c>
      <c r="Q186" s="1417">
        <f t="shared" si="27"/>
        <v>612323.25</v>
      </c>
    </row>
    <row r="187" spans="1:17" x14ac:dyDescent="0.3">
      <c r="A187" s="1417"/>
      <c r="B187" s="1435"/>
      <c r="C187" s="1417"/>
      <c r="D187" s="1417"/>
      <c r="E187" s="1428"/>
      <c r="F187" s="1433" t="s">
        <v>474</v>
      </c>
      <c r="G187" s="1417">
        <f t="shared" si="62"/>
        <v>50</v>
      </c>
      <c r="H187" s="1417">
        <v>0</v>
      </c>
      <c r="I187" s="1417">
        <v>50</v>
      </c>
      <c r="J187" s="1417">
        <v>4.6100000000000003</v>
      </c>
      <c r="K187" s="1417">
        <f t="shared" si="24"/>
        <v>4.3795000000000002</v>
      </c>
      <c r="L187" s="1417">
        <v>0.05</v>
      </c>
      <c r="M187" s="1439"/>
      <c r="N187" s="1417">
        <f t="shared" si="25"/>
        <v>11.525000000000002</v>
      </c>
      <c r="O187" s="1417"/>
      <c r="P187" s="1417">
        <f t="shared" si="57"/>
        <v>204107.75000000003</v>
      </c>
      <c r="Q187" s="1417">
        <f t="shared" si="27"/>
        <v>204107.75000000003</v>
      </c>
    </row>
    <row r="188" spans="1:17" x14ac:dyDescent="0.3">
      <c r="A188" s="1417"/>
      <c r="B188" s="1435"/>
      <c r="C188" s="1417"/>
      <c r="D188" s="1417"/>
      <c r="E188" s="1428"/>
      <c r="F188" s="1433" t="s">
        <v>539</v>
      </c>
      <c r="G188" s="1417">
        <f>SUM(H188:I188)</f>
        <v>132</v>
      </c>
      <c r="H188" s="1417">
        <v>0</v>
      </c>
      <c r="I188" s="1417">
        <v>132</v>
      </c>
      <c r="J188" s="1417">
        <v>4.6100000000000003</v>
      </c>
      <c r="K188" s="1417">
        <f t="shared" ref="K188:K204" si="63">J188-(J188*L188)</f>
        <v>4.3795000000000002</v>
      </c>
      <c r="L188" s="1417">
        <v>0.05</v>
      </c>
      <c r="M188" s="1439"/>
      <c r="N188" s="1417">
        <f>I188*J188*L188</f>
        <v>30.426000000000005</v>
      </c>
      <c r="O188" s="1417">
        <f>I188*L188*J188*25000</f>
        <v>760650.00000000012</v>
      </c>
      <c r="P188" s="1417"/>
      <c r="Q188" s="1417">
        <f t="shared" ref="Q188:Q204" si="64">P188+O188</f>
        <v>760650.00000000012</v>
      </c>
    </row>
    <row r="189" spans="1:17" s="1438" customFormat="1" x14ac:dyDescent="0.3">
      <c r="A189" s="1434"/>
      <c r="B189" s="1435" t="s">
        <v>655</v>
      </c>
      <c r="C189" s="1434"/>
      <c r="D189" s="1434"/>
      <c r="E189" s="1440"/>
      <c r="F189" s="1437"/>
      <c r="G189" s="1434">
        <f>SUM(G190:G192)</f>
        <v>157</v>
      </c>
      <c r="H189" s="1434">
        <f t="shared" ref="H189:Q189" si="65">SUM(H190:H192)</f>
        <v>7</v>
      </c>
      <c r="I189" s="1434">
        <f t="shared" si="65"/>
        <v>150</v>
      </c>
      <c r="J189" s="1434">
        <f t="shared" si="65"/>
        <v>13.830000000000002</v>
      </c>
      <c r="K189" s="1434">
        <f t="shared" si="65"/>
        <v>8.298</v>
      </c>
      <c r="L189" s="1434">
        <f t="shared" si="65"/>
        <v>1.2</v>
      </c>
      <c r="M189" s="1434">
        <f t="shared" si="65"/>
        <v>0</v>
      </c>
      <c r="N189" s="1434">
        <f t="shared" si="65"/>
        <v>101.42000000000002</v>
      </c>
      <c r="O189" s="1434">
        <f t="shared" si="65"/>
        <v>0</v>
      </c>
      <c r="P189" s="1434">
        <f t="shared" si="65"/>
        <v>1756778.8000000003</v>
      </c>
      <c r="Q189" s="1434">
        <f t="shared" si="65"/>
        <v>1756778.8000000003</v>
      </c>
    </row>
    <row r="190" spans="1:17" x14ac:dyDescent="0.3">
      <c r="A190" s="1417"/>
      <c r="C190" s="1417"/>
      <c r="D190" s="1417"/>
      <c r="E190" s="1428"/>
      <c r="F190" s="1433" t="s">
        <v>586</v>
      </c>
      <c r="G190" s="1417">
        <f t="shared" si="62"/>
        <v>50</v>
      </c>
      <c r="H190" s="1417">
        <v>0</v>
      </c>
      <c r="I190" s="1417">
        <v>50</v>
      </c>
      <c r="J190" s="1417">
        <v>4.6100000000000003</v>
      </c>
      <c r="K190" s="1417">
        <f t="shared" si="63"/>
        <v>4.149</v>
      </c>
      <c r="L190" s="1417">
        <v>0.1</v>
      </c>
      <c r="M190" s="1439"/>
      <c r="N190" s="1417">
        <f t="shared" ref="N190:N204" si="66">I190*J190*L190</f>
        <v>23.050000000000004</v>
      </c>
      <c r="O190" s="1417"/>
      <c r="P190" s="1417">
        <f t="shared" si="57"/>
        <v>408215.50000000006</v>
      </c>
      <c r="Q190" s="1417">
        <f t="shared" si="64"/>
        <v>408215.50000000006</v>
      </c>
    </row>
    <row r="191" spans="1:17" x14ac:dyDescent="0.3">
      <c r="A191" s="1417"/>
      <c r="B191" s="1435"/>
      <c r="C191" s="1417"/>
      <c r="D191" s="1417"/>
      <c r="E191" s="1428"/>
      <c r="F191" s="1433" t="s">
        <v>474</v>
      </c>
      <c r="G191" s="1417">
        <f t="shared" si="62"/>
        <v>100</v>
      </c>
      <c r="H191" s="1417">
        <v>0</v>
      </c>
      <c r="I191" s="1417">
        <v>100</v>
      </c>
      <c r="J191" s="1417">
        <v>4.6100000000000003</v>
      </c>
      <c r="K191" s="1417">
        <f t="shared" si="63"/>
        <v>4.149</v>
      </c>
      <c r="L191" s="1417">
        <v>0.1</v>
      </c>
      <c r="M191" s="1439"/>
      <c r="N191" s="1417">
        <f t="shared" si="66"/>
        <v>46.100000000000009</v>
      </c>
      <c r="O191" s="1417"/>
      <c r="P191" s="1417">
        <f t="shared" si="57"/>
        <v>816431.00000000012</v>
      </c>
      <c r="Q191" s="1417">
        <f t="shared" si="64"/>
        <v>816431.00000000012</v>
      </c>
    </row>
    <row r="192" spans="1:17" x14ac:dyDescent="0.3">
      <c r="A192" s="1417"/>
      <c r="B192" s="1435"/>
      <c r="C192" s="1417"/>
      <c r="D192" s="1417"/>
      <c r="E192" s="1428"/>
      <c r="F192" s="1433" t="s">
        <v>474</v>
      </c>
      <c r="G192" s="1417">
        <f>SUM(H192:I192)</f>
        <v>7</v>
      </c>
      <c r="H192" s="1417">
        <v>7</v>
      </c>
      <c r="I192" s="1417">
        <v>0</v>
      </c>
      <c r="J192" s="1417">
        <v>4.6100000000000003</v>
      </c>
      <c r="K192" s="1417">
        <f t="shared" si="63"/>
        <v>0</v>
      </c>
      <c r="L192" s="1417">
        <v>1</v>
      </c>
      <c r="M192" s="1439"/>
      <c r="N192" s="1417">
        <f>L192*J192*H192</f>
        <v>32.270000000000003</v>
      </c>
      <c r="O192" s="1417"/>
      <c r="P192" s="1417">
        <f>N192*1000*16.49</f>
        <v>532132.30000000005</v>
      </c>
      <c r="Q192" s="1417">
        <f t="shared" si="64"/>
        <v>532132.30000000005</v>
      </c>
    </row>
    <row r="193" spans="1:17" s="1438" customFormat="1" x14ac:dyDescent="0.3">
      <c r="A193" s="1434"/>
      <c r="B193" s="1435" t="s">
        <v>520</v>
      </c>
      <c r="C193" s="1434"/>
      <c r="D193" s="1434"/>
      <c r="E193" s="1440"/>
      <c r="F193" s="1437"/>
      <c r="G193" s="1434">
        <f>SUM(G194:G195)</f>
        <v>1400</v>
      </c>
      <c r="H193" s="1434">
        <f t="shared" ref="H193:Q193" si="67">SUM(H194:H195)</f>
        <v>0</v>
      </c>
      <c r="I193" s="1434">
        <f t="shared" si="67"/>
        <v>1400</v>
      </c>
      <c r="J193" s="1434">
        <f t="shared" si="67"/>
        <v>9.2200000000000006</v>
      </c>
      <c r="K193" s="1434">
        <f t="shared" si="67"/>
        <v>8.298</v>
      </c>
      <c r="L193" s="1434">
        <f t="shared" si="67"/>
        <v>0.2</v>
      </c>
      <c r="M193" s="1434">
        <f t="shared" si="67"/>
        <v>0</v>
      </c>
      <c r="N193" s="1434">
        <f t="shared" si="67"/>
        <v>645.40000000000009</v>
      </c>
      <c r="O193" s="1434">
        <f t="shared" si="67"/>
        <v>0</v>
      </c>
      <c r="P193" s="1434">
        <f t="shared" si="67"/>
        <v>11430034</v>
      </c>
      <c r="Q193" s="1434">
        <f t="shared" si="67"/>
        <v>11430034</v>
      </c>
    </row>
    <row r="194" spans="1:17" x14ac:dyDescent="0.3">
      <c r="A194" s="1417"/>
      <c r="C194" s="1417"/>
      <c r="D194" s="1417"/>
      <c r="E194" s="1428"/>
      <c r="F194" s="1433" t="s">
        <v>586</v>
      </c>
      <c r="G194" s="1417">
        <f t="shared" si="62"/>
        <v>600</v>
      </c>
      <c r="H194" s="1417">
        <v>0</v>
      </c>
      <c r="I194" s="1417">
        <v>600</v>
      </c>
      <c r="J194" s="1417">
        <v>4.6100000000000003</v>
      </c>
      <c r="K194" s="1417">
        <f t="shared" si="63"/>
        <v>4.149</v>
      </c>
      <c r="L194" s="1417">
        <v>0.1</v>
      </c>
      <c r="M194" s="1439"/>
      <c r="N194" s="1417">
        <f t="shared" si="66"/>
        <v>276.60000000000002</v>
      </c>
      <c r="O194" s="1417"/>
      <c r="P194" s="1417">
        <f t="shared" si="57"/>
        <v>4898586</v>
      </c>
      <c r="Q194" s="1417">
        <f t="shared" si="64"/>
        <v>4898586</v>
      </c>
    </row>
    <row r="195" spans="1:17" x14ac:dyDescent="0.3">
      <c r="A195" s="1417"/>
      <c r="B195" s="1435"/>
      <c r="C195" s="1417"/>
      <c r="D195" s="1417"/>
      <c r="E195" s="1428"/>
      <c r="F195" s="1433" t="s">
        <v>474</v>
      </c>
      <c r="G195" s="1417">
        <f t="shared" si="62"/>
        <v>800</v>
      </c>
      <c r="H195" s="1417">
        <v>0</v>
      </c>
      <c r="I195" s="1417">
        <v>800</v>
      </c>
      <c r="J195" s="1417">
        <v>4.6100000000000003</v>
      </c>
      <c r="K195" s="1417">
        <f t="shared" si="63"/>
        <v>4.149</v>
      </c>
      <c r="L195" s="1417">
        <v>0.1</v>
      </c>
      <c r="M195" s="1439"/>
      <c r="N195" s="1417">
        <f t="shared" si="66"/>
        <v>368.80000000000007</v>
      </c>
      <c r="O195" s="1417"/>
      <c r="P195" s="1417">
        <f t="shared" si="57"/>
        <v>6531448.0000000009</v>
      </c>
      <c r="Q195" s="1417">
        <f t="shared" si="64"/>
        <v>6531448.0000000009</v>
      </c>
    </row>
    <row r="196" spans="1:17" s="1438" customFormat="1" x14ac:dyDescent="0.3">
      <c r="A196" s="1434"/>
      <c r="B196" s="1435" t="s">
        <v>515</v>
      </c>
      <c r="C196" s="1434"/>
      <c r="D196" s="1434"/>
      <c r="E196" s="1440"/>
      <c r="F196" s="1437"/>
      <c r="G196" s="1434">
        <f>SUM(G197:G198)</f>
        <v>3090</v>
      </c>
      <c r="H196" s="1434">
        <f t="shared" ref="H196:Q196" si="68">SUM(H197:H198)</f>
        <v>0</v>
      </c>
      <c r="I196" s="1434">
        <f t="shared" si="68"/>
        <v>3090</v>
      </c>
      <c r="J196" s="1434">
        <f t="shared" si="68"/>
        <v>9.2200000000000006</v>
      </c>
      <c r="K196" s="1434">
        <f t="shared" si="68"/>
        <v>8.298</v>
      </c>
      <c r="L196" s="1434">
        <f t="shared" si="68"/>
        <v>0.2</v>
      </c>
      <c r="M196" s="1434">
        <f t="shared" si="68"/>
        <v>0</v>
      </c>
      <c r="N196" s="1434">
        <f t="shared" si="68"/>
        <v>1424.49</v>
      </c>
      <c r="O196" s="1434">
        <f t="shared" si="68"/>
        <v>0</v>
      </c>
      <c r="P196" s="1434">
        <f t="shared" si="68"/>
        <v>25227717.900000002</v>
      </c>
      <c r="Q196" s="1434">
        <f t="shared" si="68"/>
        <v>25227717.900000002</v>
      </c>
    </row>
    <row r="197" spans="1:17" x14ac:dyDescent="0.3">
      <c r="A197" s="1417"/>
      <c r="C197" s="1417"/>
      <c r="D197" s="1417"/>
      <c r="E197" s="1428"/>
      <c r="F197" s="1433" t="s">
        <v>586</v>
      </c>
      <c r="G197" s="1417">
        <f>SUM(H197:I197)</f>
        <v>2300</v>
      </c>
      <c r="H197" s="1417">
        <v>0</v>
      </c>
      <c r="I197" s="1417">
        <v>2300</v>
      </c>
      <c r="J197" s="1417">
        <v>4.6100000000000003</v>
      </c>
      <c r="K197" s="1417">
        <f t="shared" si="63"/>
        <v>4.149</v>
      </c>
      <c r="L197" s="1417">
        <v>0.1</v>
      </c>
      <c r="M197" s="1439"/>
      <c r="N197" s="1417">
        <f t="shared" si="66"/>
        <v>1060.3</v>
      </c>
      <c r="O197" s="1417"/>
      <c r="P197" s="1417">
        <f t="shared" si="57"/>
        <v>18777913</v>
      </c>
      <c r="Q197" s="1417">
        <f t="shared" si="64"/>
        <v>18777913</v>
      </c>
    </row>
    <row r="198" spans="1:17" x14ac:dyDescent="0.3">
      <c r="A198" s="1417"/>
      <c r="B198" s="1435"/>
      <c r="C198" s="1417"/>
      <c r="D198" s="1417"/>
      <c r="E198" s="1428"/>
      <c r="F198" s="1433" t="s">
        <v>474</v>
      </c>
      <c r="G198" s="1417">
        <f>SUM(H198:I198)</f>
        <v>790</v>
      </c>
      <c r="H198" s="1417">
        <v>0</v>
      </c>
      <c r="I198" s="1417">
        <v>790</v>
      </c>
      <c r="J198" s="1417">
        <v>4.6100000000000003</v>
      </c>
      <c r="K198" s="1417">
        <f t="shared" si="63"/>
        <v>4.149</v>
      </c>
      <c r="L198" s="1417">
        <v>0.1</v>
      </c>
      <c r="M198" s="1439"/>
      <c r="N198" s="1417">
        <f t="shared" si="66"/>
        <v>364.19000000000005</v>
      </c>
      <c r="O198" s="1417"/>
      <c r="P198" s="1417">
        <f t="shared" si="57"/>
        <v>6449804.9000000013</v>
      </c>
      <c r="Q198" s="1417">
        <f t="shared" si="64"/>
        <v>6449804.9000000013</v>
      </c>
    </row>
    <row r="199" spans="1:17" s="1438" customFormat="1" x14ac:dyDescent="0.3">
      <c r="A199" s="1434"/>
      <c r="B199" s="1435" t="s">
        <v>519</v>
      </c>
      <c r="C199" s="1434"/>
      <c r="D199" s="1434"/>
      <c r="E199" s="1440"/>
      <c r="F199" s="1437"/>
      <c r="G199" s="1434">
        <f>SUM(G200:G203)</f>
        <v>3362.6</v>
      </c>
      <c r="H199" s="1434">
        <f t="shared" ref="H199:Q199" si="69">SUM(H200:H203)</f>
        <v>0</v>
      </c>
      <c r="I199" s="1434">
        <f t="shared" si="69"/>
        <v>3362.6</v>
      </c>
      <c r="J199" s="1434">
        <f t="shared" si="69"/>
        <v>16.100000000000001</v>
      </c>
      <c r="K199" s="1434">
        <f t="shared" si="69"/>
        <v>14.49</v>
      </c>
      <c r="L199" s="1434">
        <f t="shared" si="69"/>
        <v>0.4</v>
      </c>
      <c r="M199" s="1434">
        <f t="shared" si="69"/>
        <v>0</v>
      </c>
      <c r="N199" s="1434">
        <f t="shared" si="69"/>
        <v>1276.2616000000003</v>
      </c>
      <c r="O199" s="1434">
        <f t="shared" si="69"/>
        <v>0</v>
      </c>
      <c r="P199" s="1434">
        <f t="shared" si="69"/>
        <v>22602592.936000001</v>
      </c>
      <c r="Q199" s="1434">
        <f t="shared" si="69"/>
        <v>22602592.936000001</v>
      </c>
    </row>
    <row r="200" spans="1:17" x14ac:dyDescent="0.3">
      <c r="A200" s="1417"/>
      <c r="C200" s="1417" t="s">
        <v>713</v>
      </c>
      <c r="D200" s="1417"/>
      <c r="E200" s="1428"/>
      <c r="F200" s="1433" t="s">
        <v>586</v>
      </c>
      <c r="G200" s="1417">
        <f t="shared" si="62"/>
        <v>151.6</v>
      </c>
      <c r="H200" s="1417">
        <v>0</v>
      </c>
      <c r="I200" s="1417">
        <v>151.6</v>
      </c>
      <c r="J200" s="1417">
        <v>4.6100000000000003</v>
      </c>
      <c r="K200" s="1417">
        <f t="shared" si="63"/>
        <v>4.149</v>
      </c>
      <c r="L200" s="1417">
        <v>0.1</v>
      </c>
      <c r="M200" s="1439"/>
      <c r="N200" s="1417">
        <f t="shared" si="66"/>
        <v>69.887600000000006</v>
      </c>
      <c r="O200" s="1417"/>
      <c r="P200" s="1417">
        <f t="shared" si="57"/>
        <v>1237709.3960000002</v>
      </c>
      <c r="Q200" s="1417">
        <f t="shared" si="64"/>
        <v>1237709.3960000002</v>
      </c>
    </row>
    <row r="201" spans="1:17" x14ac:dyDescent="0.3">
      <c r="A201" s="1417"/>
      <c r="B201" s="1435"/>
      <c r="C201" s="1417"/>
      <c r="D201" s="1417"/>
      <c r="E201" s="1428"/>
      <c r="F201" s="1433" t="s">
        <v>474</v>
      </c>
      <c r="G201" s="1417">
        <f t="shared" si="62"/>
        <v>870</v>
      </c>
      <c r="H201" s="1417">
        <v>0</v>
      </c>
      <c r="I201" s="1417">
        <v>870</v>
      </c>
      <c r="J201" s="1417">
        <v>4.6100000000000003</v>
      </c>
      <c r="K201" s="1417">
        <f t="shared" si="63"/>
        <v>4.149</v>
      </c>
      <c r="L201" s="1417">
        <v>0.1</v>
      </c>
      <c r="M201" s="1439"/>
      <c r="N201" s="1417">
        <f t="shared" si="66"/>
        <v>401.07000000000005</v>
      </c>
      <c r="O201" s="1417"/>
      <c r="P201" s="1417">
        <f t="shared" si="57"/>
        <v>7102949.7000000011</v>
      </c>
      <c r="Q201" s="1417">
        <f t="shared" si="64"/>
        <v>7102949.7000000011</v>
      </c>
    </row>
    <row r="202" spans="1:17" x14ac:dyDescent="0.3">
      <c r="A202" s="1417"/>
      <c r="B202" s="1435"/>
      <c r="C202" s="1417" t="s">
        <v>716</v>
      </c>
      <c r="D202" s="1417"/>
      <c r="E202" s="1428"/>
      <c r="F202" s="1433" t="s">
        <v>586</v>
      </c>
      <c r="G202" s="1417">
        <f t="shared" si="62"/>
        <v>541</v>
      </c>
      <c r="H202" s="1417">
        <v>0</v>
      </c>
      <c r="I202" s="1417">
        <v>541</v>
      </c>
      <c r="J202" s="1417">
        <v>3.44</v>
      </c>
      <c r="K202" s="1417">
        <f t="shared" si="63"/>
        <v>3.0960000000000001</v>
      </c>
      <c r="L202" s="1417">
        <v>0.1</v>
      </c>
      <c r="M202" s="1439"/>
      <c r="N202" s="1417">
        <f t="shared" si="66"/>
        <v>186.10400000000001</v>
      </c>
      <c r="O202" s="1417"/>
      <c r="P202" s="1417">
        <f t="shared" si="57"/>
        <v>3295901.8400000003</v>
      </c>
      <c r="Q202" s="1417">
        <f t="shared" si="64"/>
        <v>3295901.8400000003</v>
      </c>
    </row>
    <row r="203" spans="1:17" x14ac:dyDescent="0.3">
      <c r="A203" s="1417"/>
      <c r="B203" s="1435"/>
      <c r="C203" s="1417"/>
      <c r="D203" s="1417"/>
      <c r="E203" s="1428"/>
      <c r="F203" s="1433" t="s">
        <v>474</v>
      </c>
      <c r="G203" s="1417">
        <f t="shared" si="62"/>
        <v>1800</v>
      </c>
      <c r="H203" s="1417">
        <v>0</v>
      </c>
      <c r="I203" s="1417">
        <v>1800</v>
      </c>
      <c r="J203" s="1417">
        <v>3.44</v>
      </c>
      <c r="K203" s="1417">
        <f t="shared" si="63"/>
        <v>3.0960000000000001</v>
      </c>
      <c r="L203" s="1417">
        <v>0.1</v>
      </c>
      <c r="M203" s="1439"/>
      <c r="N203" s="1417">
        <f t="shared" si="66"/>
        <v>619.20000000000005</v>
      </c>
      <c r="O203" s="1417"/>
      <c r="P203" s="1417">
        <f t="shared" si="57"/>
        <v>10966032</v>
      </c>
      <c r="Q203" s="1417">
        <f t="shared" si="64"/>
        <v>10966032</v>
      </c>
    </row>
    <row r="204" spans="1:17" x14ac:dyDescent="0.3">
      <c r="A204" s="1417"/>
      <c r="B204" s="1435" t="s">
        <v>516</v>
      </c>
      <c r="C204" s="1417"/>
      <c r="D204" s="1417"/>
      <c r="E204" s="1428"/>
      <c r="F204" s="1433" t="s">
        <v>586</v>
      </c>
      <c r="G204" s="1417">
        <f t="shared" si="62"/>
        <v>402</v>
      </c>
      <c r="H204" s="1417">
        <v>0</v>
      </c>
      <c r="I204" s="1417">
        <v>402</v>
      </c>
      <c r="J204" s="1417">
        <v>4.6100000000000003</v>
      </c>
      <c r="K204" s="1417">
        <f t="shared" si="63"/>
        <v>4.149</v>
      </c>
      <c r="L204" s="1417">
        <v>0.1</v>
      </c>
      <c r="M204" s="1439"/>
      <c r="N204" s="1417">
        <f t="shared" si="66"/>
        <v>185.322</v>
      </c>
      <c r="O204" s="1417"/>
      <c r="P204" s="1417">
        <f t="shared" si="57"/>
        <v>3282052.62</v>
      </c>
      <c r="Q204" s="1417">
        <f t="shared" si="64"/>
        <v>3282052.62</v>
      </c>
    </row>
    <row r="205" spans="1:17" x14ac:dyDescent="0.3">
      <c r="A205" s="1417"/>
      <c r="B205" s="1435"/>
      <c r="C205" s="1417"/>
      <c r="D205" s="1417"/>
      <c r="E205" s="1428"/>
      <c r="F205" s="1433"/>
      <c r="G205" s="1417"/>
      <c r="H205" s="1417"/>
      <c r="I205" s="1416"/>
      <c r="J205" s="1416"/>
      <c r="K205" s="1416"/>
      <c r="L205" s="1416"/>
      <c r="M205" s="1416"/>
      <c r="N205" s="1416"/>
      <c r="O205" s="1417"/>
      <c r="P205" s="1417"/>
      <c r="Q205" s="1417"/>
    </row>
    <row r="206" spans="1:17" x14ac:dyDescent="0.3">
      <c r="A206" s="1419"/>
      <c r="B206" s="1452"/>
      <c r="C206" s="1419"/>
      <c r="D206" s="1419"/>
      <c r="E206" s="1420"/>
      <c r="F206" s="1453"/>
      <c r="G206" s="1419"/>
      <c r="H206" s="1419"/>
      <c r="I206" s="1454"/>
      <c r="J206" s="1454"/>
      <c r="K206" s="1454"/>
      <c r="L206" s="1454"/>
      <c r="M206" s="1454"/>
      <c r="N206" s="1454"/>
      <c r="O206" s="1419"/>
      <c r="P206" s="1419"/>
      <c r="Q206" s="1419"/>
    </row>
    <row r="208" spans="1:17" x14ac:dyDescent="0.3">
      <c r="A208" s="1411" t="s">
        <v>522</v>
      </c>
      <c r="F208" s="1411" t="s">
        <v>815</v>
      </c>
      <c r="K208" s="1411" t="s">
        <v>816</v>
      </c>
      <c r="O208" s="1411" t="s">
        <v>656</v>
      </c>
    </row>
    <row r="211" spans="1:17" x14ac:dyDescent="0.3">
      <c r="A211" s="1456" t="s">
        <v>524</v>
      </c>
      <c r="B211" s="1456"/>
      <c r="C211" s="1456"/>
      <c r="D211" s="1456"/>
      <c r="E211" s="1457"/>
      <c r="F211" s="1552" t="s">
        <v>1050</v>
      </c>
      <c r="G211" s="1456"/>
      <c r="H211" s="1456"/>
      <c r="I211" s="1456"/>
      <c r="J211" s="1456"/>
      <c r="K211" s="1552" t="s">
        <v>1051</v>
      </c>
      <c r="L211" s="1456"/>
      <c r="M211" s="1456"/>
      <c r="N211" s="1456"/>
      <c r="O211" s="1552" t="s">
        <v>944</v>
      </c>
      <c r="P211" s="1456"/>
      <c r="Q211" s="1456"/>
    </row>
    <row r="212" spans="1:17" x14ac:dyDescent="0.3">
      <c r="A212" s="1458" t="s">
        <v>750</v>
      </c>
      <c r="B212" s="1458"/>
      <c r="C212" s="1458"/>
      <c r="D212" s="1458"/>
      <c r="E212" s="1459"/>
      <c r="F212" s="1460" t="s">
        <v>820</v>
      </c>
      <c r="G212" s="1458"/>
      <c r="H212" s="1458"/>
      <c r="I212" s="1458"/>
      <c r="J212" s="1458"/>
      <c r="K212" s="1460" t="s">
        <v>1052</v>
      </c>
      <c r="L212" s="1458"/>
      <c r="M212" s="1458"/>
      <c r="N212" s="1458"/>
      <c r="O212" s="1460" t="s">
        <v>995</v>
      </c>
      <c r="P212" s="1458"/>
      <c r="Q212" s="1458"/>
    </row>
    <row r="259" spans="1:15" x14ac:dyDescent="0.3">
      <c r="A259" s="1456"/>
      <c r="B259" s="1456"/>
      <c r="C259" s="1456"/>
      <c r="D259" s="1456"/>
      <c r="E259" s="1461"/>
      <c r="F259" s="1552"/>
      <c r="G259" s="1456"/>
      <c r="H259" s="1456"/>
      <c r="I259" s="1456"/>
      <c r="J259" s="1456"/>
      <c r="K259" s="1552"/>
      <c r="L259" s="1456"/>
      <c r="M259" s="1456"/>
      <c r="N259" s="1456"/>
      <c r="O259" s="1552"/>
    </row>
    <row r="260" spans="1:15" x14ac:dyDescent="0.3">
      <c r="E260" s="1462"/>
      <c r="F260" s="1551"/>
      <c r="K260" s="1551"/>
      <c r="O260" s="1551"/>
    </row>
  </sheetData>
  <mergeCells count="26">
    <mergeCell ref="A1:Q1"/>
    <mergeCell ref="A2:Q2"/>
    <mergeCell ref="A3:Q3"/>
    <mergeCell ref="A4:Q4"/>
    <mergeCell ref="A5:Q5"/>
    <mergeCell ref="G16:G17"/>
    <mergeCell ref="H16:H17"/>
    <mergeCell ref="I16:I17"/>
    <mergeCell ref="J16:J17"/>
    <mergeCell ref="A6:Q6"/>
    <mergeCell ref="K16:K17"/>
    <mergeCell ref="N16:N17"/>
    <mergeCell ref="O16:P16"/>
    <mergeCell ref="Q16:Q17"/>
    <mergeCell ref="A7:Q7"/>
    <mergeCell ref="A15:A17"/>
    <mergeCell ref="B15:B17"/>
    <mergeCell ref="C15:C17"/>
    <mergeCell ref="D15:D17"/>
    <mergeCell ref="E15:E17"/>
    <mergeCell ref="F15:F17"/>
    <mergeCell ref="G15:I15"/>
    <mergeCell ref="J15:K15"/>
    <mergeCell ref="L15:L17"/>
    <mergeCell ref="M15:M17"/>
    <mergeCell ref="N15:Q15"/>
  </mergeCells>
  <printOptions horizontalCentered="1"/>
  <pageMargins left="0.5" right="0" top="0.35" bottom="0.35" header="0.3" footer="0.3"/>
  <pageSetup paperSize="5" scale="69" orientation="landscape" horizontalDpi="300" verticalDpi="300" r:id="rId1"/>
  <rowBreaks count="2" manualBreakCount="2">
    <brk id="93" max="16" man="1"/>
    <brk id="133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C80B-27EE-B440-A528-D43A91B33F97}">
  <sheetPr>
    <tabColor indexed="34"/>
  </sheetPr>
  <dimension ref="A1:L52"/>
  <sheetViews>
    <sheetView view="pageBreakPreview" topLeftCell="A5" zoomScaleNormal="80" zoomScaleSheetLayoutView="100" workbookViewId="0">
      <selection activeCell="C24" sqref="C24"/>
    </sheetView>
  </sheetViews>
  <sheetFormatPr defaultColWidth="9.125" defaultRowHeight="12.75" x14ac:dyDescent="0.2"/>
  <cols>
    <col min="1" max="1" width="11.625" style="1468" customWidth="1"/>
    <col min="2" max="2" width="16.625" style="1468" customWidth="1"/>
    <col min="3" max="3" width="13" style="1468" customWidth="1"/>
    <col min="4" max="4" width="12.625" style="1468" customWidth="1"/>
    <col min="5" max="5" width="10.375" style="1468" customWidth="1"/>
    <col min="6" max="6" width="11.625" style="1468" customWidth="1"/>
    <col min="7" max="7" width="12.875" style="1468" customWidth="1"/>
    <col min="8" max="8" width="10.125" style="1468" customWidth="1"/>
    <col min="9" max="9" width="8.5" style="1468" customWidth="1"/>
    <col min="10" max="10" width="12" style="1468" customWidth="1"/>
    <col min="11" max="11" width="15.875" style="1468" customWidth="1"/>
    <col min="12" max="12" width="20.5" style="1470" customWidth="1"/>
    <col min="13" max="13" width="9.5" style="1468" customWidth="1"/>
    <col min="14" max="14" width="11.375" style="1468" bestFit="1" customWidth="1"/>
    <col min="15" max="256" width="9.125" style="1468"/>
    <col min="257" max="257" width="11.625" style="1468" customWidth="1"/>
    <col min="258" max="258" width="16.625" style="1468" customWidth="1"/>
    <col min="259" max="259" width="13" style="1468" customWidth="1"/>
    <col min="260" max="260" width="12.625" style="1468" customWidth="1"/>
    <col min="261" max="261" width="10.375" style="1468" customWidth="1"/>
    <col min="262" max="262" width="11.625" style="1468" customWidth="1"/>
    <col min="263" max="263" width="12.875" style="1468" customWidth="1"/>
    <col min="264" max="264" width="10.125" style="1468" customWidth="1"/>
    <col min="265" max="265" width="8.5" style="1468" customWidth="1"/>
    <col min="266" max="266" width="12" style="1468" customWidth="1"/>
    <col min="267" max="267" width="15.875" style="1468" customWidth="1"/>
    <col min="268" max="268" width="20.5" style="1468" customWidth="1"/>
    <col min="269" max="269" width="9.5" style="1468" customWidth="1"/>
    <col min="270" max="270" width="11.375" style="1468" bestFit="1" customWidth="1"/>
    <col min="271" max="512" width="9.125" style="1468"/>
    <col min="513" max="513" width="11.625" style="1468" customWidth="1"/>
    <col min="514" max="514" width="16.625" style="1468" customWidth="1"/>
    <col min="515" max="515" width="13" style="1468" customWidth="1"/>
    <col min="516" max="516" width="12.625" style="1468" customWidth="1"/>
    <col min="517" max="517" width="10.375" style="1468" customWidth="1"/>
    <col min="518" max="518" width="11.625" style="1468" customWidth="1"/>
    <col min="519" max="519" width="12.875" style="1468" customWidth="1"/>
    <col min="520" max="520" width="10.125" style="1468" customWidth="1"/>
    <col min="521" max="521" width="8.5" style="1468" customWidth="1"/>
    <col min="522" max="522" width="12" style="1468" customWidth="1"/>
    <col min="523" max="523" width="15.875" style="1468" customWidth="1"/>
    <col min="524" max="524" width="20.5" style="1468" customWidth="1"/>
    <col min="525" max="525" width="9.5" style="1468" customWidth="1"/>
    <col min="526" max="526" width="11.375" style="1468" bestFit="1" customWidth="1"/>
    <col min="527" max="768" width="9.125" style="1468"/>
    <col min="769" max="769" width="11.625" style="1468" customWidth="1"/>
    <col min="770" max="770" width="16.625" style="1468" customWidth="1"/>
    <col min="771" max="771" width="13" style="1468" customWidth="1"/>
    <col min="772" max="772" width="12.625" style="1468" customWidth="1"/>
    <col min="773" max="773" width="10.375" style="1468" customWidth="1"/>
    <col min="774" max="774" width="11.625" style="1468" customWidth="1"/>
    <col min="775" max="775" width="12.875" style="1468" customWidth="1"/>
    <col min="776" max="776" width="10.125" style="1468" customWidth="1"/>
    <col min="777" max="777" width="8.5" style="1468" customWidth="1"/>
    <col min="778" max="778" width="12" style="1468" customWidth="1"/>
    <col min="779" max="779" width="15.875" style="1468" customWidth="1"/>
    <col min="780" max="780" width="20.5" style="1468" customWidth="1"/>
    <col min="781" max="781" width="9.5" style="1468" customWidth="1"/>
    <col min="782" max="782" width="11.375" style="1468" bestFit="1" customWidth="1"/>
    <col min="783" max="1024" width="9.125" style="1468"/>
    <col min="1025" max="1025" width="11.625" style="1468" customWidth="1"/>
    <col min="1026" max="1026" width="16.625" style="1468" customWidth="1"/>
    <col min="1027" max="1027" width="13" style="1468" customWidth="1"/>
    <col min="1028" max="1028" width="12.625" style="1468" customWidth="1"/>
    <col min="1029" max="1029" width="10.375" style="1468" customWidth="1"/>
    <col min="1030" max="1030" width="11.625" style="1468" customWidth="1"/>
    <col min="1031" max="1031" width="12.875" style="1468" customWidth="1"/>
    <col min="1032" max="1032" width="10.125" style="1468" customWidth="1"/>
    <col min="1033" max="1033" width="8.5" style="1468" customWidth="1"/>
    <col min="1034" max="1034" width="12" style="1468" customWidth="1"/>
    <col min="1035" max="1035" width="15.875" style="1468" customWidth="1"/>
    <col min="1036" max="1036" width="20.5" style="1468" customWidth="1"/>
    <col min="1037" max="1037" width="9.5" style="1468" customWidth="1"/>
    <col min="1038" max="1038" width="11.375" style="1468" bestFit="1" customWidth="1"/>
    <col min="1039" max="1280" width="9.125" style="1468"/>
    <col min="1281" max="1281" width="11.625" style="1468" customWidth="1"/>
    <col min="1282" max="1282" width="16.625" style="1468" customWidth="1"/>
    <col min="1283" max="1283" width="13" style="1468" customWidth="1"/>
    <col min="1284" max="1284" width="12.625" style="1468" customWidth="1"/>
    <col min="1285" max="1285" width="10.375" style="1468" customWidth="1"/>
    <col min="1286" max="1286" width="11.625" style="1468" customWidth="1"/>
    <col min="1287" max="1287" width="12.875" style="1468" customWidth="1"/>
    <col min="1288" max="1288" width="10.125" style="1468" customWidth="1"/>
    <col min="1289" max="1289" width="8.5" style="1468" customWidth="1"/>
    <col min="1290" max="1290" width="12" style="1468" customWidth="1"/>
    <col min="1291" max="1291" width="15.875" style="1468" customWidth="1"/>
    <col min="1292" max="1292" width="20.5" style="1468" customWidth="1"/>
    <col min="1293" max="1293" width="9.5" style="1468" customWidth="1"/>
    <col min="1294" max="1294" width="11.375" style="1468" bestFit="1" customWidth="1"/>
    <col min="1295" max="1536" width="9.125" style="1468"/>
    <col min="1537" max="1537" width="11.625" style="1468" customWidth="1"/>
    <col min="1538" max="1538" width="16.625" style="1468" customWidth="1"/>
    <col min="1539" max="1539" width="13" style="1468" customWidth="1"/>
    <col min="1540" max="1540" width="12.625" style="1468" customWidth="1"/>
    <col min="1541" max="1541" width="10.375" style="1468" customWidth="1"/>
    <col min="1542" max="1542" width="11.625" style="1468" customWidth="1"/>
    <col min="1543" max="1543" width="12.875" style="1468" customWidth="1"/>
    <col min="1544" max="1544" width="10.125" style="1468" customWidth="1"/>
    <col min="1545" max="1545" width="8.5" style="1468" customWidth="1"/>
    <col min="1546" max="1546" width="12" style="1468" customWidth="1"/>
    <col min="1547" max="1547" width="15.875" style="1468" customWidth="1"/>
    <col min="1548" max="1548" width="20.5" style="1468" customWidth="1"/>
    <col min="1549" max="1549" width="9.5" style="1468" customWidth="1"/>
    <col min="1550" max="1550" width="11.375" style="1468" bestFit="1" customWidth="1"/>
    <col min="1551" max="1792" width="9.125" style="1468"/>
    <col min="1793" max="1793" width="11.625" style="1468" customWidth="1"/>
    <col min="1794" max="1794" width="16.625" style="1468" customWidth="1"/>
    <col min="1795" max="1795" width="13" style="1468" customWidth="1"/>
    <col min="1796" max="1796" width="12.625" style="1468" customWidth="1"/>
    <col min="1797" max="1797" width="10.375" style="1468" customWidth="1"/>
    <col min="1798" max="1798" width="11.625" style="1468" customWidth="1"/>
    <col min="1799" max="1799" width="12.875" style="1468" customWidth="1"/>
    <col min="1800" max="1800" width="10.125" style="1468" customWidth="1"/>
    <col min="1801" max="1801" width="8.5" style="1468" customWidth="1"/>
    <col min="1802" max="1802" width="12" style="1468" customWidth="1"/>
    <col min="1803" max="1803" width="15.875" style="1468" customWidth="1"/>
    <col min="1804" max="1804" width="20.5" style="1468" customWidth="1"/>
    <col min="1805" max="1805" width="9.5" style="1468" customWidth="1"/>
    <col min="1806" max="1806" width="11.375" style="1468" bestFit="1" customWidth="1"/>
    <col min="1807" max="2048" width="9.125" style="1468"/>
    <col min="2049" max="2049" width="11.625" style="1468" customWidth="1"/>
    <col min="2050" max="2050" width="16.625" style="1468" customWidth="1"/>
    <col min="2051" max="2051" width="13" style="1468" customWidth="1"/>
    <col min="2052" max="2052" width="12.625" style="1468" customWidth="1"/>
    <col min="2053" max="2053" width="10.375" style="1468" customWidth="1"/>
    <col min="2054" max="2054" width="11.625" style="1468" customWidth="1"/>
    <col min="2055" max="2055" width="12.875" style="1468" customWidth="1"/>
    <col min="2056" max="2056" width="10.125" style="1468" customWidth="1"/>
    <col min="2057" max="2057" width="8.5" style="1468" customWidth="1"/>
    <col min="2058" max="2058" width="12" style="1468" customWidth="1"/>
    <col min="2059" max="2059" width="15.875" style="1468" customWidth="1"/>
    <col min="2060" max="2060" width="20.5" style="1468" customWidth="1"/>
    <col min="2061" max="2061" width="9.5" style="1468" customWidth="1"/>
    <col min="2062" max="2062" width="11.375" style="1468" bestFit="1" customWidth="1"/>
    <col min="2063" max="2304" width="9.125" style="1468"/>
    <col min="2305" max="2305" width="11.625" style="1468" customWidth="1"/>
    <col min="2306" max="2306" width="16.625" style="1468" customWidth="1"/>
    <col min="2307" max="2307" width="13" style="1468" customWidth="1"/>
    <col min="2308" max="2308" width="12.625" style="1468" customWidth="1"/>
    <col min="2309" max="2309" width="10.375" style="1468" customWidth="1"/>
    <col min="2310" max="2310" width="11.625" style="1468" customWidth="1"/>
    <col min="2311" max="2311" width="12.875" style="1468" customWidth="1"/>
    <col min="2312" max="2312" width="10.125" style="1468" customWidth="1"/>
    <col min="2313" max="2313" width="8.5" style="1468" customWidth="1"/>
    <col min="2314" max="2314" width="12" style="1468" customWidth="1"/>
    <col min="2315" max="2315" width="15.875" style="1468" customWidth="1"/>
    <col min="2316" max="2316" width="20.5" style="1468" customWidth="1"/>
    <col min="2317" max="2317" width="9.5" style="1468" customWidth="1"/>
    <col min="2318" max="2318" width="11.375" style="1468" bestFit="1" customWidth="1"/>
    <col min="2319" max="2560" width="9.125" style="1468"/>
    <col min="2561" max="2561" width="11.625" style="1468" customWidth="1"/>
    <col min="2562" max="2562" width="16.625" style="1468" customWidth="1"/>
    <col min="2563" max="2563" width="13" style="1468" customWidth="1"/>
    <col min="2564" max="2564" width="12.625" style="1468" customWidth="1"/>
    <col min="2565" max="2565" width="10.375" style="1468" customWidth="1"/>
    <col min="2566" max="2566" width="11.625" style="1468" customWidth="1"/>
    <col min="2567" max="2567" width="12.875" style="1468" customWidth="1"/>
    <col min="2568" max="2568" width="10.125" style="1468" customWidth="1"/>
    <col min="2569" max="2569" width="8.5" style="1468" customWidth="1"/>
    <col min="2570" max="2570" width="12" style="1468" customWidth="1"/>
    <col min="2571" max="2571" width="15.875" style="1468" customWidth="1"/>
    <col min="2572" max="2572" width="20.5" style="1468" customWidth="1"/>
    <col min="2573" max="2573" width="9.5" style="1468" customWidth="1"/>
    <col min="2574" max="2574" width="11.375" style="1468" bestFit="1" customWidth="1"/>
    <col min="2575" max="2816" width="9.125" style="1468"/>
    <col min="2817" max="2817" width="11.625" style="1468" customWidth="1"/>
    <col min="2818" max="2818" width="16.625" style="1468" customWidth="1"/>
    <col min="2819" max="2819" width="13" style="1468" customWidth="1"/>
    <col min="2820" max="2820" width="12.625" style="1468" customWidth="1"/>
    <col min="2821" max="2821" width="10.375" style="1468" customWidth="1"/>
    <col min="2822" max="2822" width="11.625" style="1468" customWidth="1"/>
    <col min="2823" max="2823" width="12.875" style="1468" customWidth="1"/>
    <col min="2824" max="2824" width="10.125" style="1468" customWidth="1"/>
    <col min="2825" max="2825" width="8.5" style="1468" customWidth="1"/>
    <col min="2826" max="2826" width="12" style="1468" customWidth="1"/>
    <col min="2827" max="2827" width="15.875" style="1468" customWidth="1"/>
    <col min="2828" max="2828" width="20.5" style="1468" customWidth="1"/>
    <col min="2829" max="2829" width="9.5" style="1468" customWidth="1"/>
    <col min="2830" max="2830" width="11.375" style="1468" bestFit="1" customWidth="1"/>
    <col min="2831" max="3072" width="9.125" style="1468"/>
    <col min="3073" max="3073" width="11.625" style="1468" customWidth="1"/>
    <col min="3074" max="3074" width="16.625" style="1468" customWidth="1"/>
    <col min="3075" max="3075" width="13" style="1468" customWidth="1"/>
    <col min="3076" max="3076" width="12.625" style="1468" customWidth="1"/>
    <col min="3077" max="3077" width="10.375" style="1468" customWidth="1"/>
    <col min="3078" max="3078" width="11.625" style="1468" customWidth="1"/>
    <col min="3079" max="3079" width="12.875" style="1468" customWidth="1"/>
    <col min="3080" max="3080" width="10.125" style="1468" customWidth="1"/>
    <col min="3081" max="3081" width="8.5" style="1468" customWidth="1"/>
    <col min="3082" max="3082" width="12" style="1468" customWidth="1"/>
    <col min="3083" max="3083" width="15.875" style="1468" customWidth="1"/>
    <col min="3084" max="3084" width="20.5" style="1468" customWidth="1"/>
    <col min="3085" max="3085" width="9.5" style="1468" customWidth="1"/>
    <col min="3086" max="3086" width="11.375" style="1468" bestFit="1" customWidth="1"/>
    <col min="3087" max="3328" width="9.125" style="1468"/>
    <col min="3329" max="3329" width="11.625" style="1468" customWidth="1"/>
    <col min="3330" max="3330" width="16.625" style="1468" customWidth="1"/>
    <col min="3331" max="3331" width="13" style="1468" customWidth="1"/>
    <col min="3332" max="3332" width="12.625" style="1468" customWidth="1"/>
    <col min="3333" max="3333" width="10.375" style="1468" customWidth="1"/>
    <col min="3334" max="3334" width="11.625" style="1468" customWidth="1"/>
    <col min="3335" max="3335" width="12.875" style="1468" customWidth="1"/>
    <col min="3336" max="3336" width="10.125" style="1468" customWidth="1"/>
    <col min="3337" max="3337" width="8.5" style="1468" customWidth="1"/>
    <col min="3338" max="3338" width="12" style="1468" customWidth="1"/>
    <col min="3339" max="3339" width="15.875" style="1468" customWidth="1"/>
    <col min="3340" max="3340" width="20.5" style="1468" customWidth="1"/>
    <col min="3341" max="3341" width="9.5" style="1468" customWidth="1"/>
    <col min="3342" max="3342" width="11.375" style="1468" bestFit="1" customWidth="1"/>
    <col min="3343" max="3584" width="9.125" style="1468"/>
    <col min="3585" max="3585" width="11.625" style="1468" customWidth="1"/>
    <col min="3586" max="3586" width="16.625" style="1468" customWidth="1"/>
    <col min="3587" max="3587" width="13" style="1468" customWidth="1"/>
    <col min="3588" max="3588" width="12.625" style="1468" customWidth="1"/>
    <col min="3589" max="3589" width="10.375" style="1468" customWidth="1"/>
    <col min="3590" max="3590" width="11.625" style="1468" customWidth="1"/>
    <col min="3591" max="3591" width="12.875" style="1468" customWidth="1"/>
    <col min="3592" max="3592" width="10.125" style="1468" customWidth="1"/>
    <col min="3593" max="3593" width="8.5" style="1468" customWidth="1"/>
    <col min="3594" max="3594" width="12" style="1468" customWidth="1"/>
    <col min="3595" max="3595" width="15.875" style="1468" customWidth="1"/>
    <col min="3596" max="3596" width="20.5" style="1468" customWidth="1"/>
    <col min="3597" max="3597" width="9.5" style="1468" customWidth="1"/>
    <col min="3598" max="3598" width="11.375" style="1468" bestFit="1" customWidth="1"/>
    <col min="3599" max="3840" width="9.125" style="1468"/>
    <col min="3841" max="3841" width="11.625" style="1468" customWidth="1"/>
    <col min="3842" max="3842" width="16.625" style="1468" customWidth="1"/>
    <col min="3843" max="3843" width="13" style="1468" customWidth="1"/>
    <col min="3844" max="3844" width="12.625" style="1468" customWidth="1"/>
    <col min="3845" max="3845" width="10.375" style="1468" customWidth="1"/>
    <col min="3846" max="3846" width="11.625" style="1468" customWidth="1"/>
    <col min="3847" max="3847" width="12.875" style="1468" customWidth="1"/>
    <col min="3848" max="3848" width="10.125" style="1468" customWidth="1"/>
    <col min="3849" max="3849" width="8.5" style="1468" customWidth="1"/>
    <col min="3850" max="3850" width="12" style="1468" customWidth="1"/>
    <col min="3851" max="3851" width="15.875" style="1468" customWidth="1"/>
    <col min="3852" max="3852" width="20.5" style="1468" customWidth="1"/>
    <col min="3853" max="3853" width="9.5" style="1468" customWidth="1"/>
    <col min="3854" max="3854" width="11.375" style="1468" bestFit="1" customWidth="1"/>
    <col min="3855" max="4096" width="9.125" style="1468"/>
    <col min="4097" max="4097" width="11.625" style="1468" customWidth="1"/>
    <col min="4098" max="4098" width="16.625" style="1468" customWidth="1"/>
    <col min="4099" max="4099" width="13" style="1468" customWidth="1"/>
    <col min="4100" max="4100" width="12.625" style="1468" customWidth="1"/>
    <col min="4101" max="4101" width="10.375" style="1468" customWidth="1"/>
    <col min="4102" max="4102" width="11.625" style="1468" customWidth="1"/>
    <col min="4103" max="4103" width="12.875" style="1468" customWidth="1"/>
    <col min="4104" max="4104" width="10.125" style="1468" customWidth="1"/>
    <col min="4105" max="4105" width="8.5" style="1468" customWidth="1"/>
    <col min="4106" max="4106" width="12" style="1468" customWidth="1"/>
    <col min="4107" max="4107" width="15.875" style="1468" customWidth="1"/>
    <col min="4108" max="4108" width="20.5" style="1468" customWidth="1"/>
    <col min="4109" max="4109" width="9.5" style="1468" customWidth="1"/>
    <col min="4110" max="4110" width="11.375" style="1468" bestFit="1" customWidth="1"/>
    <col min="4111" max="4352" width="9.125" style="1468"/>
    <col min="4353" max="4353" width="11.625" style="1468" customWidth="1"/>
    <col min="4354" max="4354" width="16.625" style="1468" customWidth="1"/>
    <col min="4355" max="4355" width="13" style="1468" customWidth="1"/>
    <col min="4356" max="4356" width="12.625" style="1468" customWidth="1"/>
    <col min="4357" max="4357" width="10.375" style="1468" customWidth="1"/>
    <col min="4358" max="4358" width="11.625" style="1468" customWidth="1"/>
    <col min="4359" max="4359" width="12.875" style="1468" customWidth="1"/>
    <col min="4360" max="4360" width="10.125" style="1468" customWidth="1"/>
    <col min="4361" max="4361" width="8.5" style="1468" customWidth="1"/>
    <col min="4362" max="4362" width="12" style="1468" customWidth="1"/>
    <col min="4363" max="4363" width="15.875" style="1468" customWidth="1"/>
    <col min="4364" max="4364" width="20.5" style="1468" customWidth="1"/>
    <col min="4365" max="4365" width="9.5" style="1468" customWidth="1"/>
    <col min="4366" max="4366" width="11.375" style="1468" bestFit="1" customWidth="1"/>
    <col min="4367" max="4608" width="9.125" style="1468"/>
    <col min="4609" max="4609" width="11.625" style="1468" customWidth="1"/>
    <col min="4610" max="4610" width="16.625" style="1468" customWidth="1"/>
    <col min="4611" max="4611" width="13" style="1468" customWidth="1"/>
    <col min="4612" max="4612" width="12.625" style="1468" customWidth="1"/>
    <col min="4613" max="4613" width="10.375" style="1468" customWidth="1"/>
    <col min="4614" max="4614" width="11.625" style="1468" customWidth="1"/>
    <col min="4615" max="4615" width="12.875" style="1468" customWidth="1"/>
    <col min="4616" max="4616" width="10.125" style="1468" customWidth="1"/>
    <col min="4617" max="4617" width="8.5" style="1468" customWidth="1"/>
    <col min="4618" max="4618" width="12" style="1468" customWidth="1"/>
    <col min="4619" max="4619" width="15.875" style="1468" customWidth="1"/>
    <col min="4620" max="4620" width="20.5" style="1468" customWidth="1"/>
    <col min="4621" max="4621" width="9.5" style="1468" customWidth="1"/>
    <col min="4622" max="4622" width="11.375" style="1468" bestFit="1" customWidth="1"/>
    <col min="4623" max="4864" width="9.125" style="1468"/>
    <col min="4865" max="4865" width="11.625" style="1468" customWidth="1"/>
    <col min="4866" max="4866" width="16.625" style="1468" customWidth="1"/>
    <col min="4867" max="4867" width="13" style="1468" customWidth="1"/>
    <col min="4868" max="4868" width="12.625" style="1468" customWidth="1"/>
    <col min="4869" max="4869" width="10.375" style="1468" customWidth="1"/>
    <col min="4870" max="4870" width="11.625" style="1468" customWidth="1"/>
    <col min="4871" max="4871" width="12.875" style="1468" customWidth="1"/>
    <col min="4872" max="4872" width="10.125" style="1468" customWidth="1"/>
    <col min="4873" max="4873" width="8.5" style="1468" customWidth="1"/>
    <col min="4874" max="4874" width="12" style="1468" customWidth="1"/>
    <col min="4875" max="4875" width="15.875" style="1468" customWidth="1"/>
    <col min="4876" max="4876" width="20.5" style="1468" customWidth="1"/>
    <col min="4877" max="4877" width="9.5" style="1468" customWidth="1"/>
    <col min="4878" max="4878" width="11.375" style="1468" bestFit="1" customWidth="1"/>
    <col min="4879" max="5120" width="9.125" style="1468"/>
    <col min="5121" max="5121" width="11.625" style="1468" customWidth="1"/>
    <col min="5122" max="5122" width="16.625" style="1468" customWidth="1"/>
    <col min="5123" max="5123" width="13" style="1468" customWidth="1"/>
    <col min="5124" max="5124" width="12.625" style="1468" customWidth="1"/>
    <col min="5125" max="5125" width="10.375" style="1468" customWidth="1"/>
    <col min="5126" max="5126" width="11.625" style="1468" customWidth="1"/>
    <col min="5127" max="5127" width="12.875" style="1468" customWidth="1"/>
    <col min="5128" max="5128" width="10.125" style="1468" customWidth="1"/>
    <col min="5129" max="5129" width="8.5" style="1468" customWidth="1"/>
    <col min="5130" max="5130" width="12" style="1468" customWidth="1"/>
    <col min="5131" max="5131" width="15.875" style="1468" customWidth="1"/>
    <col min="5132" max="5132" width="20.5" style="1468" customWidth="1"/>
    <col min="5133" max="5133" width="9.5" style="1468" customWidth="1"/>
    <col min="5134" max="5134" width="11.375" style="1468" bestFit="1" customWidth="1"/>
    <col min="5135" max="5376" width="9.125" style="1468"/>
    <col min="5377" max="5377" width="11.625" style="1468" customWidth="1"/>
    <col min="5378" max="5378" width="16.625" style="1468" customWidth="1"/>
    <col min="5379" max="5379" width="13" style="1468" customWidth="1"/>
    <col min="5380" max="5380" width="12.625" style="1468" customWidth="1"/>
    <col min="5381" max="5381" width="10.375" style="1468" customWidth="1"/>
    <col min="5382" max="5382" width="11.625" style="1468" customWidth="1"/>
    <col min="5383" max="5383" width="12.875" style="1468" customWidth="1"/>
    <col min="5384" max="5384" width="10.125" style="1468" customWidth="1"/>
    <col min="5385" max="5385" width="8.5" style="1468" customWidth="1"/>
    <col min="5386" max="5386" width="12" style="1468" customWidth="1"/>
    <col min="5387" max="5387" width="15.875" style="1468" customWidth="1"/>
    <col min="5388" max="5388" width="20.5" style="1468" customWidth="1"/>
    <col min="5389" max="5389" width="9.5" style="1468" customWidth="1"/>
    <col min="5390" max="5390" width="11.375" style="1468" bestFit="1" customWidth="1"/>
    <col min="5391" max="5632" width="9.125" style="1468"/>
    <col min="5633" max="5633" width="11.625" style="1468" customWidth="1"/>
    <col min="5634" max="5634" width="16.625" style="1468" customWidth="1"/>
    <col min="5635" max="5635" width="13" style="1468" customWidth="1"/>
    <col min="5636" max="5636" width="12.625" style="1468" customWidth="1"/>
    <col min="5637" max="5637" width="10.375" style="1468" customWidth="1"/>
    <col min="5638" max="5638" width="11.625" style="1468" customWidth="1"/>
    <col min="5639" max="5639" width="12.875" style="1468" customWidth="1"/>
    <col min="5640" max="5640" width="10.125" style="1468" customWidth="1"/>
    <col min="5641" max="5641" width="8.5" style="1468" customWidth="1"/>
    <col min="5642" max="5642" width="12" style="1468" customWidth="1"/>
    <col min="5643" max="5643" width="15.875" style="1468" customWidth="1"/>
    <col min="5644" max="5644" width="20.5" style="1468" customWidth="1"/>
    <col min="5645" max="5645" width="9.5" style="1468" customWidth="1"/>
    <col min="5646" max="5646" width="11.375" style="1468" bestFit="1" customWidth="1"/>
    <col min="5647" max="5888" width="9.125" style="1468"/>
    <col min="5889" max="5889" width="11.625" style="1468" customWidth="1"/>
    <col min="5890" max="5890" width="16.625" style="1468" customWidth="1"/>
    <col min="5891" max="5891" width="13" style="1468" customWidth="1"/>
    <col min="5892" max="5892" width="12.625" style="1468" customWidth="1"/>
    <col min="5893" max="5893" width="10.375" style="1468" customWidth="1"/>
    <col min="5894" max="5894" width="11.625" style="1468" customWidth="1"/>
    <col min="5895" max="5895" width="12.875" style="1468" customWidth="1"/>
    <col min="5896" max="5896" width="10.125" style="1468" customWidth="1"/>
    <col min="5897" max="5897" width="8.5" style="1468" customWidth="1"/>
    <col min="5898" max="5898" width="12" style="1468" customWidth="1"/>
    <col min="5899" max="5899" width="15.875" style="1468" customWidth="1"/>
    <col min="5900" max="5900" width="20.5" style="1468" customWidth="1"/>
    <col min="5901" max="5901" width="9.5" style="1468" customWidth="1"/>
    <col min="5902" max="5902" width="11.375" style="1468" bestFit="1" customWidth="1"/>
    <col min="5903" max="6144" width="9.125" style="1468"/>
    <col min="6145" max="6145" width="11.625" style="1468" customWidth="1"/>
    <col min="6146" max="6146" width="16.625" style="1468" customWidth="1"/>
    <col min="6147" max="6147" width="13" style="1468" customWidth="1"/>
    <col min="6148" max="6148" width="12.625" style="1468" customWidth="1"/>
    <col min="6149" max="6149" width="10.375" style="1468" customWidth="1"/>
    <col min="6150" max="6150" width="11.625" style="1468" customWidth="1"/>
    <col min="6151" max="6151" width="12.875" style="1468" customWidth="1"/>
    <col min="6152" max="6152" width="10.125" style="1468" customWidth="1"/>
    <col min="6153" max="6153" width="8.5" style="1468" customWidth="1"/>
    <col min="6154" max="6154" width="12" style="1468" customWidth="1"/>
    <col min="6155" max="6155" width="15.875" style="1468" customWidth="1"/>
    <col min="6156" max="6156" width="20.5" style="1468" customWidth="1"/>
    <col min="6157" max="6157" width="9.5" style="1468" customWidth="1"/>
    <col min="6158" max="6158" width="11.375" style="1468" bestFit="1" customWidth="1"/>
    <col min="6159" max="6400" width="9.125" style="1468"/>
    <col min="6401" max="6401" width="11.625" style="1468" customWidth="1"/>
    <col min="6402" max="6402" width="16.625" style="1468" customWidth="1"/>
    <col min="6403" max="6403" width="13" style="1468" customWidth="1"/>
    <col min="6404" max="6404" width="12.625" style="1468" customWidth="1"/>
    <col min="6405" max="6405" width="10.375" style="1468" customWidth="1"/>
    <col min="6406" max="6406" width="11.625" style="1468" customWidth="1"/>
    <col min="6407" max="6407" width="12.875" style="1468" customWidth="1"/>
    <col min="6408" max="6408" width="10.125" style="1468" customWidth="1"/>
    <col min="6409" max="6409" width="8.5" style="1468" customWidth="1"/>
    <col min="6410" max="6410" width="12" style="1468" customWidth="1"/>
    <col min="6411" max="6411" width="15.875" style="1468" customWidth="1"/>
    <col min="6412" max="6412" width="20.5" style="1468" customWidth="1"/>
    <col min="6413" max="6413" width="9.5" style="1468" customWidth="1"/>
    <col min="6414" max="6414" width="11.375" style="1468" bestFit="1" customWidth="1"/>
    <col min="6415" max="6656" width="9.125" style="1468"/>
    <col min="6657" max="6657" width="11.625" style="1468" customWidth="1"/>
    <col min="6658" max="6658" width="16.625" style="1468" customWidth="1"/>
    <col min="6659" max="6659" width="13" style="1468" customWidth="1"/>
    <col min="6660" max="6660" width="12.625" style="1468" customWidth="1"/>
    <col min="6661" max="6661" width="10.375" style="1468" customWidth="1"/>
    <col min="6662" max="6662" width="11.625" style="1468" customWidth="1"/>
    <col min="6663" max="6663" width="12.875" style="1468" customWidth="1"/>
    <col min="6664" max="6664" width="10.125" style="1468" customWidth="1"/>
    <col min="6665" max="6665" width="8.5" style="1468" customWidth="1"/>
    <col min="6666" max="6666" width="12" style="1468" customWidth="1"/>
    <col min="6667" max="6667" width="15.875" style="1468" customWidth="1"/>
    <col min="6668" max="6668" width="20.5" style="1468" customWidth="1"/>
    <col min="6669" max="6669" width="9.5" style="1468" customWidth="1"/>
    <col min="6670" max="6670" width="11.375" style="1468" bestFit="1" customWidth="1"/>
    <col min="6671" max="6912" width="9.125" style="1468"/>
    <col min="6913" max="6913" width="11.625" style="1468" customWidth="1"/>
    <col min="6914" max="6914" width="16.625" style="1468" customWidth="1"/>
    <col min="6915" max="6915" width="13" style="1468" customWidth="1"/>
    <col min="6916" max="6916" width="12.625" style="1468" customWidth="1"/>
    <col min="6917" max="6917" width="10.375" style="1468" customWidth="1"/>
    <col min="6918" max="6918" width="11.625" style="1468" customWidth="1"/>
    <col min="6919" max="6919" width="12.875" style="1468" customWidth="1"/>
    <col min="6920" max="6920" width="10.125" style="1468" customWidth="1"/>
    <col min="6921" max="6921" width="8.5" style="1468" customWidth="1"/>
    <col min="6922" max="6922" width="12" style="1468" customWidth="1"/>
    <col min="6923" max="6923" width="15.875" style="1468" customWidth="1"/>
    <col min="6924" max="6924" width="20.5" style="1468" customWidth="1"/>
    <col min="6925" max="6925" width="9.5" style="1468" customWidth="1"/>
    <col min="6926" max="6926" width="11.375" style="1468" bestFit="1" customWidth="1"/>
    <col min="6927" max="7168" width="9.125" style="1468"/>
    <col min="7169" max="7169" width="11.625" style="1468" customWidth="1"/>
    <col min="7170" max="7170" width="16.625" style="1468" customWidth="1"/>
    <col min="7171" max="7171" width="13" style="1468" customWidth="1"/>
    <col min="7172" max="7172" width="12.625" style="1468" customWidth="1"/>
    <col min="7173" max="7173" width="10.375" style="1468" customWidth="1"/>
    <col min="7174" max="7174" width="11.625" style="1468" customWidth="1"/>
    <col min="7175" max="7175" width="12.875" style="1468" customWidth="1"/>
    <col min="7176" max="7176" width="10.125" style="1468" customWidth="1"/>
    <col min="7177" max="7177" width="8.5" style="1468" customWidth="1"/>
    <col min="7178" max="7178" width="12" style="1468" customWidth="1"/>
    <col min="7179" max="7179" width="15.875" style="1468" customWidth="1"/>
    <col min="7180" max="7180" width="20.5" style="1468" customWidth="1"/>
    <col min="7181" max="7181" width="9.5" style="1468" customWidth="1"/>
    <col min="7182" max="7182" width="11.375" style="1468" bestFit="1" customWidth="1"/>
    <col min="7183" max="7424" width="9.125" style="1468"/>
    <col min="7425" max="7425" width="11.625" style="1468" customWidth="1"/>
    <col min="7426" max="7426" width="16.625" style="1468" customWidth="1"/>
    <col min="7427" max="7427" width="13" style="1468" customWidth="1"/>
    <col min="7428" max="7428" width="12.625" style="1468" customWidth="1"/>
    <col min="7429" max="7429" width="10.375" style="1468" customWidth="1"/>
    <col min="7430" max="7430" width="11.625" style="1468" customWidth="1"/>
    <col min="7431" max="7431" width="12.875" style="1468" customWidth="1"/>
    <col min="7432" max="7432" width="10.125" style="1468" customWidth="1"/>
    <col min="7433" max="7433" width="8.5" style="1468" customWidth="1"/>
    <col min="7434" max="7434" width="12" style="1468" customWidth="1"/>
    <col min="7435" max="7435" width="15.875" style="1468" customWidth="1"/>
    <col min="7436" max="7436" width="20.5" style="1468" customWidth="1"/>
    <col min="7437" max="7437" width="9.5" style="1468" customWidth="1"/>
    <col min="7438" max="7438" width="11.375" style="1468" bestFit="1" customWidth="1"/>
    <col min="7439" max="7680" width="9.125" style="1468"/>
    <col min="7681" max="7681" width="11.625" style="1468" customWidth="1"/>
    <col min="7682" max="7682" width="16.625" style="1468" customWidth="1"/>
    <col min="7683" max="7683" width="13" style="1468" customWidth="1"/>
    <col min="7684" max="7684" width="12.625" style="1468" customWidth="1"/>
    <col min="7685" max="7685" width="10.375" style="1468" customWidth="1"/>
    <col min="7686" max="7686" width="11.625" style="1468" customWidth="1"/>
    <col min="7687" max="7687" width="12.875" style="1468" customWidth="1"/>
    <col min="7688" max="7688" width="10.125" style="1468" customWidth="1"/>
    <col min="7689" max="7689" width="8.5" style="1468" customWidth="1"/>
    <col min="7690" max="7690" width="12" style="1468" customWidth="1"/>
    <col min="7691" max="7691" width="15.875" style="1468" customWidth="1"/>
    <col min="7692" max="7692" width="20.5" style="1468" customWidth="1"/>
    <col min="7693" max="7693" width="9.5" style="1468" customWidth="1"/>
    <col min="7694" max="7694" width="11.375" style="1468" bestFit="1" customWidth="1"/>
    <col min="7695" max="7936" width="9.125" style="1468"/>
    <col min="7937" max="7937" width="11.625" style="1468" customWidth="1"/>
    <col min="7938" max="7938" width="16.625" style="1468" customWidth="1"/>
    <col min="7939" max="7939" width="13" style="1468" customWidth="1"/>
    <col min="7940" max="7940" width="12.625" style="1468" customWidth="1"/>
    <col min="7941" max="7941" width="10.375" style="1468" customWidth="1"/>
    <col min="7942" max="7942" width="11.625" style="1468" customWidth="1"/>
    <col min="7943" max="7943" width="12.875" style="1468" customWidth="1"/>
    <col min="7944" max="7944" width="10.125" style="1468" customWidth="1"/>
    <col min="7945" max="7945" width="8.5" style="1468" customWidth="1"/>
    <col min="7946" max="7946" width="12" style="1468" customWidth="1"/>
    <col min="7947" max="7947" width="15.875" style="1468" customWidth="1"/>
    <col min="7948" max="7948" width="20.5" style="1468" customWidth="1"/>
    <col min="7949" max="7949" width="9.5" style="1468" customWidth="1"/>
    <col min="7950" max="7950" width="11.375" style="1468" bestFit="1" customWidth="1"/>
    <col min="7951" max="8192" width="9.125" style="1468"/>
    <col min="8193" max="8193" width="11.625" style="1468" customWidth="1"/>
    <col min="8194" max="8194" width="16.625" style="1468" customWidth="1"/>
    <col min="8195" max="8195" width="13" style="1468" customWidth="1"/>
    <col min="8196" max="8196" width="12.625" style="1468" customWidth="1"/>
    <col min="8197" max="8197" width="10.375" style="1468" customWidth="1"/>
    <col min="8198" max="8198" width="11.625" style="1468" customWidth="1"/>
    <col min="8199" max="8199" width="12.875" style="1468" customWidth="1"/>
    <col min="8200" max="8200" width="10.125" style="1468" customWidth="1"/>
    <col min="8201" max="8201" width="8.5" style="1468" customWidth="1"/>
    <col min="8202" max="8202" width="12" style="1468" customWidth="1"/>
    <col min="8203" max="8203" width="15.875" style="1468" customWidth="1"/>
    <col min="8204" max="8204" width="20.5" style="1468" customWidth="1"/>
    <col min="8205" max="8205" width="9.5" style="1468" customWidth="1"/>
    <col min="8206" max="8206" width="11.375" style="1468" bestFit="1" customWidth="1"/>
    <col min="8207" max="8448" width="9.125" style="1468"/>
    <col min="8449" max="8449" width="11.625" style="1468" customWidth="1"/>
    <col min="8450" max="8450" width="16.625" style="1468" customWidth="1"/>
    <col min="8451" max="8451" width="13" style="1468" customWidth="1"/>
    <col min="8452" max="8452" width="12.625" style="1468" customWidth="1"/>
    <col min="8453" max="8453" width="10.375" style="1468" customWidth="1"/>
    <col min="8454" max="8454" width="11.625" style="1468" customWidth="1"/>
    <col min="8455" max="8455" width="12.875" style="1468" customWidth="1"/>
    <col min="8456" max="8456" width="10.125" style="1468" customWidth="1"/>
    <col min="8457" max="8457" width="8.5" style="1468" customWidth="1"/>
    <col min="8458" max="8458" width="12" style="1468" customWidth="1"/>
    <col min="8459" max="8459" width="15.875" style="1468" customWidth="1"/>
    <col min="8460" max="8460" width="20.5" style="1468" customWidth="1"/>
    <col min="8461" max="8461" width="9.5" style="1468" customWidth="1"/>
    <col min="8462" max="8462" width="11.375" style="1468" bestFit="1" customWidth="1"/>
    <col min="8463" max="8704" width="9.125" style="1468"/>
    <col min="8705" max="8705" width="11.625" style="1468" customWidth="1"/>
    <col min="8706" max="8706" width="16.625" style="1468" customWidth="1"/>
    <col min="8707" max="8707" width="13" style="1468" customWidth="1"/>
    <col min="8708" max="8708" width="12.625" style="1468" customWidth="1"/>
    <col min="8709" max="8709" width="10.375" style="1468" customWidth="1"/>
    <col min="8710" max="8710" width="11.625" style="1468" customWidth="1"/>
    <col min="8711" max="8711" width="12.875" style="1468" customWidth="1"/>
    <col min="8712" max="8712" width="10.125" style="1468" customWidth="1"/>
    <col min="8713" max="8713" width="8.5" style="1468" customWidth="1"/>
    <col min="8714" max="8714" width="12" style="1468" customWidth="1"/>
    <col min="8715" max="8715" width="15.875" style="1468" customWidth="1"/>
    <col min="8716" max="8716" width="20.5" style="1468" customWidth="1"/>
    <col min="8717" max="8717" width="9.5" style="1468" customWidth="1"/>
    <col min="8718" max="8718" width="11.375" style="1468" bestFit="1" customWidth="1"/>
    <col min="8719" max="8960" width="9.125" style="1468"/>
    <col min="8961" max="8961" width="11.625" style="1468" customWidth="1"/>
    <col min="8962" max="8962" width="16.625" style="1468" customWidth="1"/>
    <col min="8963" max="8963" width="13" style="1468" customWidth="1"/>
    <col min="8964" max="8964" width="12.625" style="1468" customWidth="1"/>
    <col min="8965" max="8965" width="10.375" style="1468" customWidth="1"/>
    <col min="8966" max="8966" width="11.625" style="1468" customWidth="1"/>
    <col min="8967" max="8967" width="12.875" style="1468" customWidth="1"/>
    <col min="8968" max="8968" width="10.125" style="1468" customWidth="1"/>
    <col min="8969" max="8969" width="8.5" style="1468" customWidth="1"/>
    <col min="8970" max="8970" width="12" style="1468" customWidth="1"/>
    <col min="8971" max="8971" width="15.875" style="1468" customWidth="1"/>
    <col min="8972" max="8972" width="20.5" style="1468" customWidth="1"/>
    <col min="8973" max="8973" width="9.5" style="1468" customWidth="1"/>
    <col min="8974" max="8974" width="11.375" style="1468" bestFit="1" customWidth="1"/>
    <col min="8975" max="9216" width="9.125" style="1468"/>
    <col min="9217" max="9217" width="11.625" style="1468" customWidth="1"/>
    <col min="9218" max="9218" width="16.625" style="1468" customWidth="1"/>
    <col min="9219" max="9219" width="13" style="1468" customWidth="1"/>
    <col min="9220" max="9220" width="12.625" style="1468" customWidth="1"/>
    <col min="9221" max="9221" width="10.375" style="1468" customWidth="1"/>
    <col min="9222" max="9222" width="11.625" style="1468" customWidth="1"/>
    <col min="9223" max="9223" width="12.875" style="1468" customWidth="1"/>
    <col min="9224" max="9224" width="10.125" style="1468" customWidth="1"/>
    <col min="9225" max="9225" width="8.5" style="1468" customWidth="1"/>
    <col min="9226" max="9226" width="12" style="1468" customWidth="1"/>
    <col min="9227" max="9227" width="15.875" style="1468" customWidth="1"/>
    <col min="9228" max="9228" width="20.5" style="1468" customWidth="1"/>
    <col min="9229" max="9229" width="9.5" style="1468" customWidth="1"/>
    <col min="9230" max="9230" width="11.375" style="1468" bestFit="1" customWidth="1"/>
    <col min="9231" max="9472" width="9.125" style="1468"/>
    <col min="9473" max="9473" width="11.625" style="1468" customWidth="1"/>
    <col min="9474" max="9474" width="16.625" style="1468" customWidth="1"/>
    <col min="9475" max="9475" width="13" style="1468" customWidth="1"/>
    <col min="9476" max="9476" width="12.625" style="1468" customWidth="1"/>
    <col min="9477" max="9477" width="10.375" style="1468" customWidth="1"/>
    <col min="9478" max="9478" width="11.625" style="1468" customWidth="1"/>
    <col min="9479" max="9479" width="12.875" style="1468" customWidth="1"/>
    <col min="9480" max="9480" width="10.125" style="1468" customWidth="1"/>
    <col min="9481" max="9481" width="8.5" style="1468" customWidth="1"/>
    <col min="9482" max="9482" width="12" style="1468" customWidth="1"/>
    <col min="9483" max="9483" width="15.875" style="1468" customWidth="1"/>
    <col min="9484" max="9484" width="20.5" style="1468" customWidth="1"/>
    <col min="9485" max="9485" width="9.5" style="1468" customWidth="1"/>
    <col min="9486" max="9486" width="11.375" style="1468" bestFit="1" customWidth="1"/>
    <col min="9487" max="9728" width="9.125" style="1468"/>
    <col min="9729" max="9729" width="11.625" style="1468" customWidth="1"/>
    <col min="9730" max="9730" width="16.625" style="1468" customWidth="1"/>
    <col min="9731" max="9731" width="13" style="1468" customWidth="1"/>
    <col min="9732" max="9732" width="12.625" style="1468" customWidth="1"/>
    <col min="9733" max="9733" width="10.375" style="1468" customWidth="1"/>
    <col min="9734" max="9734" width="11.625" style="1468" customWidth="1"/>
    <col min="9735" max="9735" width="12.875" style="1468" customWidth="1"/>
    <col min="9736" max="9736" width="10.125" style="1468" customWidth="1"/>
    <col min="9737" max="9737" width="8.5" style="1468" customWidth="1"/>
    <col min="9738" max="9738" width="12" style="1468" customWidth="1"/>
    <col min="9739" max="9739" width="15.875" style="1468" customWidth="1"/>
    <col min="9740" max="9740" width="20.5" style="1468" customWidth="1"/>
    <col min="9741" max="9741" width="9.5" style="1468" customWidth="1"/>
    <col min="9742" max="9742" width="11.375" style="1468" bestFit="1" customWidth="1"/>
    <col min="9743" max="9984" width="9.125" style="1468"/>
    <col min="9985" max="9985" width="11.625" style="1468" customWidth="1"/>
    <col min="9986" max="9986" width="16.625" style="1468" customWidth="1"/>
    <col min="9987" max="9987" width="13" style="1468" customWidth="1"/>
    <col min="9988" max="9988" width="12.625" style="1468" customWidth="1"/>
    <col min="9989" max="9989" width="10.375" style="1468" customWidth="1"/>
    <col min="9990" max="9990" width="11.625" style="1468" customWidth="1"/>
    <col min="9991" max="9991" width="12.875" style="1468" customWidth="1"/>
    <col min="9992" max="9992" width="10.125" style="1468" customWidth="1"/>
    <col min="9993" max="9993" width="8.5" style="1468" customWidth="1"/>
    <col min="9994" max="9994" width="12" style="1468" customWidth="1"/>
    <col min="9995" max="9995" width="15.875" style="1468" customWidth="1"/>
    <col min="9996" max="9996" width="20.5" style="1468" customWidth="1"/>
    <col min="9997" max="9997" width="9.5" style="1468" customWidth="1"/>
    <col min="9998" max="9998" width="11.375" style="1468" bestFit="1" customWidth="1"/>
    <col min="9999" max="10240" width="9.125" style="1468"/>
    <col min="10241" max="10241" width="11.625" style="1468" customWidth="1"/>
    <col min="10242" max="10242" width="16.625" style="1468" customWidth="1"/>
    <col min="10243" max="10243" width="13" style="1468" customWidth="1"/>
    <col min="10244" max="10244" width="12.625" style="1468" customWidth="1"/>
    <col min="10245" max="10245" width="10.375" style="1468" customWidth="1"/>
    <col min="10246" max="10246" width="11.625" style="1468" customWidth="1"/>
    <col min="10247" max="10247" width="12.875" style="1468" customWidth="1"/>
    <col min="10248" max="10248" width="10.125" style="1468" customWidth="1"/>
    <col min="10249" max="10249" width="8.5" style="1468" customWidth="1"/>
    <col min="10250" max="10250" width="12" style="1468" customWidth="1"/>
    <col min="10251" max="10251" width="15.875" style="1468" customWidth="1"/>
    <col min="10252" max="10252" width="20.5" style="1468" customWidth="1"/>
    <col min="10253" max="10253" width="9.5" style="1468" customWidth="1"/>
    <col min="10254" max="10254" width="11.375" style="1468" bestFit="1" customWidth="1"/>
    <col min="10255" max="10496" width="9.125" style="1468"/>
    <col min="10497" max="10497" width="11.625" style="1468" customWidth="1"/>
    <col min="10498" max="10498" width="16.625" style="1468" customWidth="1"/>
    <col min="10499" max="10499" width="13" style="1468" customWidth="1"/>
    <col min="10500" max="10500" width="12.625" style="1468" customWidth="1"/>
    <col min="10501" max="10501" width="10.375" style="1468" customWidth="1"/>
    <col min="10502" max="10502" width="11.625" style="1468" customWidth="1"/>
    <col min="10503" max="10503" width="12.875" style="1468" customWidth="1"/>
    <col min="10504" max="10504" width="10.125" style="1468" customWidth="1"/>
    <col min="10505" max="10505" width="8.5" style="1468" customWidth="1"/>
    <col min="10506" max="10506" width="12" style="1468" customWidth="1"/>
    <col min="10507" max="10507" width="15.875" style="1468" customWidth="1"/>
    <col min="10508" max="10508" width="20.5" style="1468" customWidth="1"/>
    <col min="10509" max="10509" width="9.5" style="1468" customWidth="1"/>
    <col min="10510" max="10510" width="11.375" style="1468" bestFit="1" customWidth="1"/>
    <col min="10511" max="10752" width="9.125" style="1468"/>
    <col min="10753" max="10753" width="11.625" style="1468" customWidth="1"/>
    <col min="10754" max="10754" width="16.625" style="1468" customWidth="1"/>
    <col min="10755" max="10755" width="13" style="1468" customWidth="1"/>
    <col min="10756" max="10756" width="12.625" style="1468" customWidth="1"/>
    <col min="10757" max="10757" width="10.375" style="1468" customWidth="1"/>
    <col min="10758" max="10758" width="11.625" style="1468" customWidth="1"/>
    <col min="10759" max="10759" width="12.875" style="1468" customWidth="1"/>
    <col min="10760" max="10760" width="10.125" style="1468" customWidth="1"/>
    <col min="10761" max="10761" width="8.5" style="1468" customWidth="1"/>
    <col min="10762" max="10762" width="12" style="1468" customWidth="1"/>
    <col min="10763" max="10763" width="15.875" style="1468" customWidth="1"/>
    <col min="10764" max="10764" width="20.5" style="1468" customWidth="1"/>
    <col min="10765" max="10765" width="9.5" style="1468" customWidth="1"/>
    <col min="10766" max="10766" width="11.375" style="1468" bestFit="1" customWidth="1"/>
    <col min="10767" max="11008" width="9.125" style="1468"/>
    <col min="11009" max="11009" width="11.625" style="1468" customWidth="1"/>
    <col min="11010" max="11010" width="16.625" style="1468" customWidth="1"/>
    <col min="11011" max="11011" width="13" style="1468" customWidth="1"/>
    <col min="11012" max="11012" width="12.625" style="1468" customWidth="1"/>
    <col min="11013" max="11013" width="10.375" style="1468" customWidth="1"/>
    <col min="11014" max="11014" width="11.625" style="1468" customWidth="1"/>
    <col min="11015" max="11015" width="12.875" style="1468" customWidth="1"/>
    <col min="11016" max="11016" width="10.125" style="1468" customWidth="1"/>
    <col min="11017" max="11017" width="8.5" style="1468" customWidth="1"/>
    <col min="11018" max="11018" width="12" style="1468" customWidth="1"/>
    <col min="11019" max="11019" width="15.875" style="1468" customWidth="1"/>
    <col min="11020" max="11020" width="20.5" style="1468" customWidth="1"/>
    <col min="11021" max="11021" width="9.5" style="1468" customWidth="1"/>
    <col min="11022" max="11022" width="11.375" style="1468" bestFit="1" customWidth="1"/>
    <col min="11023" max="11264" width="9.125" style="1468"/>
    <col min="11265" max="11265" width="11.625" style="1468" customWidth="1"/>
    <col min="11266" max="11266" width="16.625" style="1468" customWidth="1"/>
    <col min="11267" max="11267" width="13" style="1468" customWidth="1"/>
    <col min="11268" max="11268" width="12.625" style="1468" customWidth="1"/>
    <col min="11269" max="11269" width="10.375" style="1468" customWidth="1"/>
    <col min="11270" max="11270" width="11.625" style="1468" customWidth="1"/>
    <col min="11271" max="11271" width="12.875" style="1468" customWidth="1"/>
    <col min="11272" max="11272" width="10.125" style="1468" customWidth="1"/>
    <col min="11273" max="11273" width="8.5" style="1468" customWidth="1"/>
    <col min="11274" max="11274" width="12" style="1468" customWidth="1"/>
    <col min="11275" max="11275" width="15.875" style="1468" customWidth="1"/>
    <col min="11276" max="11276" width="20.5" style="1468" customWidth="1"/>
    <col min="11277" max="11277" width="9.5" style="1468" customWidth="1"/>
    <col min="11278" max="11278" width="11.375" style="1468" bestFit="1" customWidth="1"/>
    <col min="11279" max="11520" width="9.125" style="1468"/>
    <col min="11521" max="11521" width="11.625" style="1468" customWidth="1"/>
    <col min="11522" max="11522" width="16.625" style="1468" customWidth="1"/>
    <col min="11523" max="11523" width="13" style="1468" customWidth="1"/>
    <col min="11524" max="11524" width="12.625" style="1468" customWidth="1"/>
    <col min="11525" max="11525" width="10.375" style="1468" customWidth="1"/>
    <col min="11526" max="11526" width="11.625" style="1468" customWidth="1"/>
    <col min="11527" max="11527" width="12.875" style="1468" customWidth="1"/>
    <col min="11528" max="11528" width="10.125" style="1468" customWidth="1"/>
    <col min="11529" max="11529" width="8.5" style="1468" customWidth="1"/>
    <col min="11530" max="11530" width="12" style="1468" customWidth="1"/>
    <col min="11531" max="11531" width="15.875" style="1468" customWidth="1"/>
    <col min="11532" max="11532" width="20.5" style="1468" customWidth="1"/>
    <col min="11533" max="11533" width="9.5" style="1468" customWidth="1"/>
    <col min="11534" max="11534" width="11.375" style="1468" bestFit="1" customWidth="1"/>
    <col min="11535" max="11776" width="9.125" style="1468"/>
    <col min="11777" max="11777" width="11.625" style="1468" customWidth="1"/>
    <col min="11778" max="11778" width="16.625" style="1468" customWidth="1"/>
    <col min="11779" max="11779" width="13" style="1468" customWidth="1"/>
    <col min="11780" max="11780" width="12.625" style="1468" customWidth="1"/>
    <col min="11781" max="11781" width="10.375" style="1468" customWidth="1"/>
    <col min="11782" max="11782" width="11.625" style="1468" customWidth="1"/>
    <col min="11783" max="11783" width="12.875" style="1468" customWidth="1"/>
    <col min="11784" max="11784" width="10.125" style="1468" customWidth="1"/>
    <col min="11785" max="11785" width="8.5" style="1468" customWidth="1"/>
    <col min="11786" max="11786" width="12" style="1468" customWidth="1"/>
    <col min="11787" max="11787" width="15.875" style="1468" customWidth="1"/>
    <col min="11788" max="11788" width="20.5" style="1468" customWidth="1"/>
    <col min="11789" max="11789" width="9.5" style="1468" customWidth="1"/>
    <col min="11790" max="11790" width="11.375" style="1468" bestFit="1" customWidth="1"/>
    <col min="11791" max="12032" width="9.125" style="1468"/>
    <col min="12033" max="12033" width="11.625" style="1468" customWidth="1"/>
    <col min="12034" max="12034" width="16.625" style="1468" customWidth="1"/>
    <col min="12035" max="12035" width="13" style="1468" customWidth="1"/>
    <col min="12036" max="12036" width="12.625" style="1468" customWidth="1"/>
    <col min="12037" max="12037" width="10.375" style="1468" customWidth="1"/>
    <col min="12038" max="12038" width="11.625" style="1468" customWidth="1"/>
    <col min="12039" max="12039" width="12.875" style="1468" customWidth="1"/>
    <col min="12040" max="12040" width="10.125" style="1468" customWidth="1"/>
    <col min="12041" max="12041" width="8.5" style="1468" customWidth="1"/>
    <col min="12042" max="12042" width="12" style="1468" customWidth="1"/>
    <col min="12043" max="12043" width="15.875" style="1468" customWidth="1"/>
    <col min="12044" max="12044" width="20.5" style="1468" customWidth="1"/>
    <col min="12045" max="12045" width="9.5" style="1468" customWidth="1"/>
    <col min="12046" max="12046" width="11.375" style="1468" bestFit="1" customWidth="1"/>
    <col min="12047" max="12288" width="9.125" style="1468"/>
    <col min="12289" max="12289" width="11.625" style="1468" customWidth="1"/>
    <col min="12290" max="12290" width="16.625" style="1468" customWidth="1"/>
    <col min="12291" max="12291" width="13" style="1468" customWidth="1"/>
    <col min="12292" max="12292" width="12.625" style="1468" customWidth="1"/>
    <col min="12293" max="12293" width="10.375" style="1468" customWidth="1"/>
    <col min="12294" max="12294" width="11.625" style="1468" customWidth="1"/>
    <col min="12295" max="12295" width="12.875" style="1468" customWidth="1"/>
    <col min="12296" max="12296" width="10.125" style="1468" customWidth="1"/>
    <col min="12297" max="12297" width="8.5" style="1468" customWidth="1"/>
    <col min="12298" max="12298" width="12" style="1468" customWidth="1"/>
    <col min="12299" max="12299" width="15.875" style="1468" customWidth="1"/>
    <col min="12300" max="12300" width="20.5" style="1468" customWidth="1"/>
    <col min="12301" max="12301" width="9.5" style="1468" customWidth="1"/>
    <col min="12302" max="12302" width="11.375" style="1468" bestFit="1" customWidth="1"/>
    <col min="12303" max="12544" width="9.125" style="1468"/>
    <col min="12545" max="12545" width="11.625" style="1468" customWidth="1"/>
    <col min="12546" max="12546" width="16.625" style="1468" customWidth="1"/>
    <col min="12547" max="12547" width="13" style="1468" customWidth="1"/>
    <col min="12548" max="12548" width="12.625" style="1468" customWidth="1"/>
    <col min="12549" max="12549" width="10.375" style="1468" customWidth="1"/>
    <col min="12550" max="12550" width="11.625" style="1468" customWidth="1"/>
    <col min="12551" max="12551" width="12.875" style="1468" customWidth="1"/>
    <col min="12552" max="12552" width="10.125" style="1468" customWidth="1"/>
    <col min="12553" max="12553" width="8.5" style="1468" customWidth="1"/>
    <col min="12554" max="12554" width="12" style="1468" customWidth="1"/>
    <col min="12555" max="12555" width="15.875" style="1468" customWidth="1"/>
    <col min="12556" max="12556" width="20.5" style="1468" customWidth="1"/>
    <col min="12557" max="12557" width="9.5" style="1468" customWidth="1"/>
    <col min="12558" max="12558" width="11.375" style="1468" bestFit="1" customWidth="1"/>
    <col min="12559" max="12800" width="9.125" style="1468"/>
    <col min="12801" max="12801" width="11.625" style="1468" customWidth="1"/>
    <col min="12802" max="12802" width="16.625" style="1468" customWidth="1"/>
    <col min="12803" max="12803" width="13" style="1468" customWidth="1"/>
    <col min="12804" max="12804" width="12.625" style="1468" customWidth="1"/>
    <col min="12805" max="12805" width="10.375" style="1468" customWidth="1"/>
    <col min="12806" max="12806" width="11.625" style="1468" customWidth="1"/>
    <col min="12807" max="12807" width="12.875" style="1468" customWidth="1"/>
    <col min="12808" max="12808" width="10.125" style="1468" customWidth="1"/>
    <col min="12809" max="12809" width="8.5" style="1468" customWidth="1"/>
    <col min="12810" max="12810" width="12" style="1468" customWidth="1"/>
    <col min="12811" max="12811" width="15.875" style="1468" customWidth="1"/>
    <col min="12812" max="12812" width="20.5" style="1468" customWidth="1"/>
    <col min="12813" max="12813" width="9.5" style="1468" customWidth="1"/>
    <col min="12814" max="12814" width="11.375" style="1468" bestFit="1" customWidth="1"/>
    <col min="12815" max="13056" width="9.125" style="1468"/>
    <col min="13057" max="13057" width="11.625" style="1468" customWidth="1"/>
    <col min="13058" max="13058" width="16.625" style="1468" customWidth="1"/>
    <col min="13059" max="13059" width="13" style="1468" customWidth="1"/>
    <col min="13060" max="13060" width="12.625" style="1468" customWidth="1"/>
    <col min="13061" max="13061" width="10.375" style="1468" customWidth="1"/>
    <col min="13062" max="13062" width="11.625" style="1468" customWidth="1"/>
    <col min="13063" max="13063" width="12.875" style="1468" customWidth="1"/>
    <col min="13064" max="13064" width="10.125" style="1468" customWidth="1"/>
    <col min="13065" max="13065" width="8.5" style="1468" customWidth="1"/>
    <col min="13066" max="13066" width="12" style="1468" customWidth="1"/>
    <col min="13067" max="13067" width="15.875" style="1468" customWidth="1"/>
    <col min="13068" max="13068" width="20.5" style="1468" customWidth="1"/>
    <col min="13069" max="13069" width="9.5" style="1468" customWidth="1"/>
    <col min="13070" max="13070" width="11.375" style="1468" bestFit="1" customWidth="1"/>
    <col min="13071" max="13312" width="9.125" style="1468"/>
    <col min="13313" max="13313" width="11.625" style="1468" customWidth="1"/>
    <col min="13314" max="13314" width="16.625" style="1468" customWidth="1"/>
    <col min="13315" max="13315" width="13" style="1468" customWidth="1"/>
    <col min="13316" max="13316" width="12.625" style="1468" customWidth="1"/>
    <col min="13317" max="13317" width="10.375" style="1468" customWidth="1"/>
    <col min="13318" max="13318" width="11.625" style="1468" customWidth="1"/>
    <col min="13319" max="13319" width="12.875" style="1468" customWidth="1"/>
    <col min="13320" max="13320" width="10.125" style="1468" customWidth="1"/>
    <col min="13321" max="13321" width="8.5" style="1468" customWidth="1"/>
    <col min="13322" max="13322" width="12" style="1468" customWidth="1"/>
    <col min="13323" max="13323" width="15.875" style="1468" customWidth="1"/>
    <col min="13324" max="13324" width="20.5" style="1468" customWidth="1"/>
    <col min="13325" max="13325" width="9.5" style="1468" customWidth="1"/>
    <col min="13326" max="13326" width="11.375" style="1468" bestFit="1" customWidth="1"/>
    <col min="13327" max="13568" width="9.125" style="1468"/>
    <col min="13569" max="13569" width="11.625" style="1468" customWidth="1"/>
    <col min="13570" max="13570" width="16.625" style="1468" customWidth="1"/>
    <col min="13571" max="13571" width="13" style="1468" customWidth="1"/>
    <col min="13572" max="13572" width="12.625" style="1468" customWidth="1"/>
    <col min="13573" max="13573" width="10.375" style="1468" customWidth="1"/>
    <col min="13574" max="13574" width="11.625" style="1468" customWidth="1"/>
    <col min="13575" max="13575" width="12.875" style="1468" customWidth="1"/>
    <col min="13576" max="13576" width="10.125" style="1468" customWidth="1"/>
    <col min="13577" max="13577" width="8.5" style="1468" customWidth="1"/>
    <col min="13578" max="13578" width="12" style="1468" customWidth="1"/>
    <col min="13579" max="13579" width="15.875" style="1468" customWidth="1"/>
    <col min="13580" max="13580" width="20.5" style="1468" customWidth="1"/>
    <col min="13581" max="13581" width="9.5" style="1468" customWidth="1"/>
    <col min="13582" max="13582" width="11.375" style="1468" bestFit="1" customWidth="1"/>
    <col min="13583" max="13824" width="9.125" style="1468"/>
    <col min="13825" max="13825" width="11.625" style="1468" customWidth="1"/>
    <col min="13826" max="13826" width="16.625" style="1468" customWidth="1"/>
    <col min="13827" max="13827" width="13" style="1468" customWidth="1"/>
    <col min="13828" max="13828" width="12.625" style="1468" customWidth="1"/>
    <col min="13829" max="13829" width="10.375" style="1468" customWidth="1"/>
    <col min="13830" max="13830" width="11.625" style="1468" customWidth="1"/>
    <col min="13831" max="13831" width="12.875" style="1468" customWidth="1"/>
    <col min="13832" max="13832" width="10.125" style="1468" customWidth="1"/>
    <col min="13833" max="13833" width="8.5" style="1468" customWidth="1"/>
    <col min="13834" max="13834" width="12" style="1468" customWidth="1"/>
    <col min="13835" max="13835" width="15.875" style="1468" customWidth="1"/>
    <col min="13836" max="13836" width="20.5" style="1468" customWidth="1"/>
    <col min="13837" max="13837" width="9.5" style="1468" customWidth="1"/>
    <col min="13838" max="13838" width="11.375" style="1468" bestFit="1" customWidth="1"/>
    <col min="13839" max="14080" width="9.125" style="1468"/>
    <col min="14081" max="14081" width="11.625" style="1468" customWidth="1"/>
    <col min="14082" max="14082" width="16.625" style="1468" customWidth="1"/>
    <col min="14083" max="14083" width="13" style="1468" customWidth="1"/>
    <col min="14084" max="14084" width="12.625" style="1468" customWidth="1"/>
    <col min="14085" max="14085" width="10.375" style="1468" customWidth="1"/>
    <col min="14086" max="14086" width="11.625" style="1468" customWidth="1"/>
    <col min="14087" max="14087" width="12.875" style="1468" customWidth="1"/>
    <col min="14088" max="14088" width="10.125" style="1468" customWidth="1"/>
    <col min="14089" max="14089" width="8.5" style="1468" customWidth="1"/>
    <col min="14090" max="14090" width="12" style="1468" customWidth="1"/>
    <col min="14091" max="14091" width="15.875" style="1468" customWidth="1"/>
    <col min="14092" max="14092" width="20.5" style="1468" customWidth="1"/>
    <col min="14093" max="14093" width="9.5" style="1468" customWidth="1"/>
    <col min="14094" max="14094" width="11.375" style="1468" bestFit="1" customWidth="1"/>
    <col min="14095" max="14336" width="9.125" style="1468"/>
    <col min="14337" max="14337" width="11.625" style="1468" customWidth="1"/>
    <col min="14338" max="14338" width="16.625" style="1468" customWidth="1"/>
    <col min="14339" max="14339" width="13" style="1468" customWidth="1"/>
    <col min="14340" max="14340" width="12.625" style="1468" customWidth="1"/>
    <col min="14341" max="14341" width="10.375" style="1468" customWidth="1"/>
    <col min="14342" max="14342" width="11.625" style="1468" customWidth="1"/>
    <col min="14343" max="14343" width="12.875" style="1468" customWidth="1"/>
    <col min="14344" max="14344" width="10.125" style="1468" customWidth="1"/>
    <col min="14345" max="14345" width="8.5" style="1468" customWidth="1"/>
    <col min="14346" max="14346" width="12" style="1468" customWidth="1"/>
    <col min="14347" max="14347" width="15.875" style="1468" customWidth="1"/>
    <col min="14348" max="14348" width="20.5" style="1468" customWidth="1"/>
    <col min="14349" max="14349" width="9.5" style="1468" customWidth="1"/>
    <col min="14350" max="14350" width="11.375" style="1468" bestFit="1" customWidth="1"/>
    <col min="14351" max="14592" width="9.125" style="1468"/>
    <col min="14593" max="14593" width="11.625" style="1468" customWidth="1"/>
    <col min="14594" max="14594" width="16.625" style="1468" customWidth="1"/>
    <col min="14595" max="14595" width="13" style="1468" customWidth="1"/>
    <col min="14596" max="14596" width="12.625" style="1468" customWidth="1"/>
    <col min="14597" max="14597" width="10.375" style="1468" customWidth="1"/>
    <col min="14598" max="14598" width="11.625" style="1468" customWidth="1"/>
    <col min="14599" max="14599" width="12.875" style="1468" customWidth="1"/>
    <col min="14600" max="14600" width="10.125" style="1468" customWidth="1"/>
    <col min="14601" max="14601" width="8.5" style="1468" customWidth="1"/>
    <col min="14602" max="14602" width="12" style="1468" customWidth="1"/>
    <col min="14603" max="14603" width="15.875" style="1468" customWidth="1"/>
    <col min="14604" max="14604" width="20.5" style="1468" customWidth="1"/>
    <col min="14605" max="14605" width="9.5" style="1468" customWidth="1"/>
    <col min="14606" max="14606" width="11.375" style="1468" bestFit="1" customWidth="1"/>
    <col min="14607" max="14848" width="9.125" style="1468"/>
    <col min="14849" max="14849" width="11.625" style="1468" customWidth="1"/>
    <col min="14850" max="14850" width="16.625" style="1468" customWidth="1"/>
    <col min="14851" max="14851" width="13" style="1468" customWidth="1"/>
    <col min="14852" max="14852" width="12.625" style="1468" customWidth="1"/>
    <col min="14853" max="14853" width="10.375" style="1468" customWidth="1"/>
    <col min="14854" max="14854" width="11.625" style="1468" customWidth="1"/>
    <col min="14855" max="14855" width="12.875" style="1468" customWidth="1"/>
    <col min="14856" max="14856" width="10.125" style="1468" customWidth="1"/>
    <col min="14857" max="14857" width="8.5" style="1468" customWidth="1"/>
    <col min="14858" max="14858" width="12" style="1468" customWidth="1"/>
    <col min="14859" max="14859" width="15.875" style="1468" customWidth="1"/>
    <col min="14860" max="14860" width="20.5" style="1468" customWidth="1"/>
    <col min="14861" max="14861" width="9.5" style="1468" customWidth="1"/>
    <col min="14862" max="14862" width="11.375" style="1468" bestFit="1" customWidth="1"/>
    <col min="14863" max="15104" width="9.125" style="1468"/>
    <col min="15105" max="15105" width="11.625" style="1468" customWidth="1"/>
    <col min="15106" max="15106" width="16.625" style="1468" customWidth="1"/>
    <col min="15107" max="15107" width="13" style="1468" customWidth="1"/>
    <col min="15108" max="15108" width="12.625" style="1468" customWidth="1"/>
    <col min="15109" max="15109" width="10.375" style="1468" customWidth="1"/>
    <col min="15110" max="15110" width="11.625" style="1468" customWidth="1"/>
    <col min="15111" max="15111" width="12.875" style="1468" customWidth="1"/>
    <col min="15112" max="15112" width="10.125" style="1468" customWidth="1"/>
    <col min="15113" max="15113" width="8.5" style="1468" customWidth="1"/>
    <col min="15114" max="15114" width="12" style="1468" customWidth="1"/>
    <col min="15115" max="15115" width="15.875" style="1468" customWidth="1"/>
    <col min="15116" max="15116" width="20.5" style="1468" customWidth="1"/>
    <col min="15117" max="15117" width="9.5" style="1468" customWidth="1"/>
    <col min="15118" max="15118" width="11.375" style="1468" bestFit="1" customWidth="1"/>
    <col min="15119" max="15360" width="9.125" style="1468"/>
    <col min="15361" max="15361" width="11.625" style="1468" customWidth="1"/>
    <col min="15362" max="15362" width="16.625" style="1468" customWidth="1"/>
    <col min="15363" max="15363" width="13" style="1468" customWidth="1"/>
    <col min="15364" max="15364" width="12.625" style="1468" customWidth="1"/>
    <col min="15365" max="15365" width="10.375" style="1468" customWidth="1"/>
    <col min="15366" max="15366" width="11.625" style="1468" customWidth="1"/>
    <col min="15367" max="15367" width="12.875" style="1468" customWidth="1"/>
    <col min="15368" max="15368" width="10.125" style="1468" customWidth="1"/>
    <col min="15369" max="15369" width="8.5" style="1468" customWidth="1"/>
    <col min="15370" max="15370" width="12" style="1468" customWidth="1"/>
    <col min="15371" max="15371" width="15.875" style="1468" customWidth="1"/>
    <col min="15372" max="15372" width="20.5" style="1468" customWidth="1"/>
    <col min="15373" max="15373" width="9.5" style="1468" customWidth="1"/>
    <col min="15374" max="15374" width="11.375" style="1468" bestFit="1" customWidth="1"/>
    <col min="15375" max="15616" width="9.125" style="1468"/>
    <col min="15617" max="15617" width="11.625" style="1468" customWidth="1"/>
    <col min="15618" max="15618" width="16.625" style="1468" customWidth="1"/>
    <col min="15619" max="15619" width="13" style="1468" customWidth="1"/>
    <col min="15620" max="15620" width="12.625" style="1468" customWidth="1"/>
    <col min="15621" max="15621" width="10.375" style="1468" customWidth="1"/>
    <col min="15622" max="15622" width="11.625" style="1468" customWidth="1"/>
    <col min="15623" max="15623" width="12.875" style="1468" customWidth="1"/>
    <col min="15624" max="15624" width="10.125" style="1468" customWidth="1"/>
    <col min="15625" max="15625" width="8.5" style="1468" customWidth="1"/>
    <col min="15626" max="15626" width="12" style="1468" customWidth="1"/>
    <col min="15627" max="15627" width="15.875" style="1468" customWidth="1"/>
    <col min="15628" max="15628" width="20.5" style="1468" customWidth="1"/>
    <col min="15629" max="15629" width="9.5" style="1468" customWidth="1"/>
    <col min="15630" max="15630" width="11.375" style="1468" bestFit="1" customWidth="1"/>
    <col min="15631" max="15872" width="9.125" style="1468"/>
    <col min="15873" max="15873" width="11.625" style="1468" customWidth="1"/>
    <col min="15874" max="15874" width="16.625" style="1468" customWidth="1"/>
    <col min="15875" max="15875" width="13" style="1468" customWidth="1"/>
    <col min="15876" max="15876" width="12.625" style="1468" customWidth="1"/>
    <col min="15877" max="15877" width="10.375" style="1468" customWidth="1"/>
    <col min="15878" max="15878" width="11.625" style="1468" customWidth="1"/>
    <col min="15879" max="15879" width="12.875" style="1468" customWidth="1"/>
    <col min="15880" max="15880" width="10.125" style="1468" customWidth="1"/>
    <col min="15881" max="15881" width="8.5" style="1468" customWidth="1"/>
    <col min="15882" max="15882" width="12" style="1468" customWidth="1"/>
    <col min="15883" max="15883" width="15.875" style="1468" customWidth="1"/>
    <col min="15884" max="15884" width="20.5" style="1468" customWidth="1"/>
    <col min="15885" max="15885" width="9.5" style="1468" customWidth="1"/>
    <col min="15886" max="15886" width="11.375" style="1468" bestFit="1" customWidth="1"/>
    <col min="15887" max="16128" width="9.125" style="1468"/>
    <col min="16129" max="16129" width="11.625" style="1468" customWidth="1"/>
    <col min="16130" max="16130" width="16.625" style="1468" customWidth="1"/>
    <col min="16131" max="16131" width="13" style="1468" customWidth="1"/>
    <col min="16132" max="16132" width="12.625" style="1468" customWidth="1"/>
    <col min="16133" max="16133" width="10.375" style="1468" customWidth="1"/>
    <col min="16134" max="16134" width="11.625" style="1468" customWidth="1"/>
    <col min="16135" max="16135" width="12.875" style="1468" customWidth="1"/>
    <col min="16136" max="16136" width="10.125" style="1468" customWidth="1"/>
    <col min="16137" max="16137" width="8.5" style="1468" customWidth="1"/>
    <col min="16138" max="16138" width="12" style="1468" customWidth="1"/>
    <col min="16139" max="16139" width="15.875" style="1468" customWidth="1"/>
    <col min="16140" max="16140" width="20.5" style="1468" customWidth="1"/>
    <col min="16141" max="16141" width="9.5" style="1468" customWidth="1"/>
    <col min="16142" max="16142" width="11.375" style="1468" bestFit="1" customWidth="1"/>
    <col min="16143" max="16384" width="9.125" style="1468"/>
  </cols>
  <sheetData>
    <row r="1" spans="1:12" x14ac:dyDescent="0.2">
      <c r="A1" s="1797" t="s">
        <v>1053</v>
      </c>
      <c r="B1" s="1797"/>
      <c r="C1" s="1797"/>
      <c r="D1" s="1797"/>
      <c r="E1" s="1797"/>
      <c r="F1" s="1797"/>
      <c r="G1" s="1797"/>
      <c r="H1" s="1797"/>
      <c r="I1" s="1797"/>
      <c r="J1" s="1797"/>
      <c r="K1" s="1797"/>
      <c r="L1" s="1797"/>
    </row>
    <row r="2" spans="1:12" x14ac:dyDescent="0.2">
      <c r="A2" s="1797" t="s">
        <v>926</v>
      </c>
      <c r="B2" s="1797"/>
      <c r="C2" s="1797"/>
      <c r="D2" s="1797"/>
      <c r="E2" s="1797"/>
      <c r="F2" s="1797"/>
      <c r="G2" s="1797"/>
      <c r="H2" s="1797"/>
      <c r="I2" s="1797"/>
      <c r="J2" s="1797"/>
      <c r="K2" s="1797"/>
      <c r="L2" s="1797"/>
    </row>
    <row r="3" spans="1:12" x14ac:dyDescent="0.2">
      <c r="A3" s="1798" t="s">
        <v>1054</v>
      </c>
      <c r="B3" s="1798"/>
      <c r="C3" s="1798"/>
      <c r="D3" s="1798"/>
      <c r="E3" s="1798"/>
      <c r="F3" s="1798"/>
      <c r="G3" s="1798"/>
      <c r="H3" s="1798"/>
      <c r="I3" s="1798"/>
      <c r="J3" s="1798"/>
      <c r="K3" s="1798"/>
      <c r="L3" s="1798"/>
    </row>
    <row r="4" spans="1:12" x14ac:dyDescent="0.2">
      <c r="A4" s="1797" t="s">
        <v>1055</v>
      </c>
      <c r="B4" s="1797"/>
      <c r="C4" s="1797"/>
      <c r="D4" s="1797"/>
      <c r="E4" s="1797"/>
      <c r="F4" s="1797"/>
      <c r="G4" s="1797"/>
      <c r="H4" s="1797"/>
      <c r="I4" s="1797"/>
      <c r="J4" s="1797"/>
      <c r="K4" s="1797"/>
      <c r="L4" s="1797"/>
    </row>
    <row r="5" spans="1:12" x14ac:dyDescent="0.2">
      <c r="A5" s="1797" t="s">
        <v>1056</v>
      </c>
      <c r="B5" s="1797"/>
      <c r="C5" s="1797"/>
      <c r="D5" s="1797"/>
      <c r="E5" s="1797"/>
      <c r="F5" s="1797"/>
      <c r="G5" s="1797"/>
      <c r="H5" s="1797"/>
      <c r="I5" s="1797"/>
      <c r="J5" s="1797"/>
      <c r="K5" s="1797"/>
      <c r="L5" s="1797"/>
    </row>
    <row r="6" spans="1:12" x14ac:dyDescent="0.2">
      <c r="A6" s="1469" t="s">
        <v>1057</v>
      </c>
    </row>
    <row r="7" spans="1:12" x14ac:dyDescent="0.2">
      <c r="A7" s="1471" t="s">
        <v>1058</v>
      </c>
      <c r="B7" s="1471" t="s">
        <v>1059</v>
      </c>
      <c r="C7" s="1471" t="s">
        <v>1060</v>
      </c>
      <c r="D7" s="1471" t="s">
        <v>1061</v>
      </c>
      <c r="E7" s="1792" t="s">
        <v>1062</v>
      </c>
      <c r="F7" s="1793"/>
      <c r="G7" s="1794"/>
      <c r="H7" s="1471" t="s">
        <v>1063</v>
      </c>
      <c r="I7" s="1471" t="s">
        <v>1064</v>
      </c>
      <c r="J7" s="1795" t="s">
        <v>1065</v>
      </c>
      <c r="K7" s="1796"/>
      <c r="L7" s="1472"/>
    </row>
    <row r="8" spans="1:12" x14ac:dyDescent="0.2">
      <c r="A8" s="1473" t="s">
        <v>1066</v>
      </c>
      <c r="B8" s="1473" t="s">
        <v>1067</v>
      </c>
      <c r="C8" s="1473" t="s">
        <v>1068</v>
      </c>
      <c r="D8" s="1473" t="s">
        <v>1066</v>
      </c>
      <c r="E8" s="1471" t="s">
        <v>1069</v>
      </c>
      <c r="F8" s="1471" t="s">
        <v>1070</v>
      </c>
      <c r="G8" s="1471" t="s">
        <v>771</v>
      </c>
      <c r="H8" s="1473" t="s">
        <v>1071</v>
      </c>
      <c r="I8" s="1473" t="s">
        <v>1072</v>
      </c>
      <c r="J8" s="1471" t="s">
        <v>1073</v>
      </c>
      <c r="K8" s="1471" t="s">
        <v>1074</v>
      </c>
      <c r="L8" s="1474" t="s">
        <v>1075</v>
      </c>
    </row>
    <row r="9" spans="1:12" x14ac:dyDescent="0.2">
      <c r="A9" s="1473"/>
      <c r="B9" s="1473" t="s">
        <v>1076</v>
      </c>
      <c r="C9" s="1473" t="s">
        <v>1066</v>
      </c>
      <c r="D9" s="1473" t="s">
        <v>1077</v>
      </c>
      <c r="E9" s="1473" t="s">
        <v>1078</v>
      </c>
      <c r="F9" s="1473" t="s">
        <v>1078</v>
      </c>
      <c r="G9" s="1473"/>
      <c r="H9" s="1473" t="s">
        <v>1079</v>
      </c>
      <c r="I9" s="1473" t="s">
        <v>1080</v>
      </c>
      <c r="J9" s="1473" t="s">
        <v>1081</v>
      </c>
      <c r="K9" s="1473" t="s">
        <v>1082</v>
      </c>
      <c r="L9" s="1474"/>
    </row>
    <row r="10" spans="1:12" x14ac:dyDescent="0.2">
      <c r="A10" s="1475"/>
      <c r="B10" s="1475"/>
      <c r="C10" s="1475" t="s">
        <v>1083</v>
      </c>
      <c r="D10" s="1475"/>
      <c r="E10" s="1475" t="s">
        <v>1084</v>
      </c>
      <c r="F10" s="1475" t="s">
        <v>1084</v>
      </c>
      <c r="G10" s="1475"/>
      <c r="H10" s="1475"/>
      <c r="I10" s="1475"/>
      <c r="J10" s="1475"/>
      <c r="K10" s="1475"/>
      <c r="L10" s="1476"/>
    </row>
    <row r="11" spans="1:12" x14ac:dyDescent="0.2">
      <c r="A11" s="1477" t="s">
        <v>1085</v>
      </c>
      <c r="B11" s="1477">
        <v>1</v>
      </c>
      <c r="C11" s="1477">
        <v>2</v>
      </c>
      <c r="D11" s="1477">
        <v>3</v>
      </c>
      <c r="E11" s="1477">
        <v>4</v>
      </c>
      <c r="F11" s="1477">
        <v>5</v>
      </c>
      <c r="G11" s="1477">
        <v>6</v>
      </c>
      <c r="H11" s="1477">
        <v>7</v>
      </c>
      <c r="I11" s="1477">
        <v>8</v>
      </c>
      <c r="J11" s="1477">
        <v>9</v>
      </c>
      <c r="K11" s="1477">
        <v>10</v>
      </c>
      <c r="L11" s="1478" t="s">
        <v>1086</v>
      </c>
    </row>
    <row r="12" spans="1:12" s="1484" customFormat="1" ht="15" x14ac:dyDescent="0.25">
      <c r="A12" s="1479" t="s">
        <v>1087</v>
      </c>
      <c r="B12" s="1480" t="s">
        <v>1088</v>
      </c>
      <c r="C12" s="1481"/>
      <c r="D12" s="1482"/>
      <c r="E12" s="1481">
        <f t="shared" ref="E12:J12" si="0">SUM(E14)+E41</f>
        <v>0</v>
      </c>
      <c r="F12" s="1481">
        <f t="shared" si="0"/>
        <v>12485.55</v>
      </c>
      <c r="G12" s="1481">
        <f>SUM(G14)+G41</f>
        <v>12485.55</v>
      </c>
      <c r="H12" s="1481">
        <f t="shared" si="0"/>
        <v>0</v>
      </c>
      <c r="I12" s="1481">
        <f t="shared" si="0"/>
        <v>0</v>
      </c>
      <c r="J12" s="1481">
        <f t="shared" si="0"/>
        <v>9137.6246250000022</v>
      </c>
      <c r="K12" s="1481">
        <f>SUM(K14)+K41</f>
        <v>27747324.564999998</v>
      </c>
      <c r="L12" s="1483"/>
    </row>
    <row r="13" spans="1:12" s="1484" customFormat="1" ht="15" x14ac:dyDescent="0.25">
      <c r="A13" s="1479"/>
      <c r="B13" s="1480"/>
      <c r="C13" s="1481"/>
      <c r="D13" s="1482"/>
      <c r="E13" s="1481"/>
      <c r="F13" s="1481"/>
      <c r="G13" s="1481"/>
      <c r="H13" s="1481"/>
      <c r="I13" s="1481"/>
      <c r="J13" s="1481"/>
      <c r="K13" s="1481"/>
      <c r="L13" s="1483"/>
    </row>
    <row r="14" spans="1:12" s="1484" customFormat="1" x14ac:dyDescent="0.2">
      <c r="A14" s="1485"/>
      <c r="B14" s="1486" t="s">
        <v>271</v>
      </c>
      <c r="C14" s="1487"/>
      <c r="D14" s="1488"/>
      <c r="E14" s="1487">
        <f>SUM(E15)+E34+E24+E32</f>
        <v>0</v>
      </c>
      <c r="F14" s="1487">
        <f>SUM(F15)+F34+F24+F32+F38</f>
        <v>12325.55</v>
      </c>
      <c r="G14" s="1487">
        <f>SUM(G15)+G34+G24+G32+G38</f>
        <v>12325.55</v>
      </c>
      <c r="H14" s="1487"/>
      <c r="I14" s="1487"/>
      <c r="J14" s="1487">
        <f>SUM(J15)+J34+J24+J32+J38</f>
        <v>9032.0246250000018</v>
      </c>
      <c r="K14" s="1487">
        <f>SUM(K15)+K34+K24+K32+K38</f>
        <v>27468724.564999998</v>
      </c>
      <c r="L14" s="1483"/>
    </row>
    <row r="15" spans="1:12" s="1484" customFormat="1" x14ac:dyDescent="0.2">
      <c r="A15" s="1485"/>
      <c r="B15" s="1486" t="s">
        <v>777</v>
      </c>
      <c r="C15" s="1487"/>
      <c r="D15" s="1487">
        <f>SUM(D16:D17)</f>
        <v>0</v>
      </c>
      <c r="E15" s="1487">
        <f>SUM(E16:E23)</f>
        <v>0</v>
      </c>
      <c r="F15" s="1487">
        <f>SUM(F16:F23)</f>
        <v>4650.55</v>
      </c>
      <c r="G15" s="1487">
        <f>SUM(G16:G23)</f>
        <v>4650.55</v>
      </c>
      <c r="H15" s="1487"/>
      <c r="I15" s="1487"/>
      <c r="J15" s="1487">
        <f>SUM(J16:J23)</f>
        <v>4263.5546249999998</v>
      </c>
      <c r="K15" s="1487">
        <f>SUM(K16:K23)</f>
        <v>13002006.465</v>
      </c>
      <c r="L15" s="1483"/>
    </row>
    <row r="16" spans="1:12" s="1484" customFormat="1" x14ac:dyDescent="0.2">
      <c r="A16" s="1485"/>
      <c r="B16" s="1489" t="s">
        <v>618</v>
      </c>
      <c r="C16" s="1489"/>
      <c r="D16" s="1490" t="s">
        <v>586</v>
      </c>
      <c r="E16" s="1489"/>
      <c r="F16" s="1489">
        <v>100</v>
      </c>
      <c r="G16" s="1489">
        <f t="shared" ref="G16:G23" si="1">E16+F16</f>
        <v>100</v>
      </c>
      <c r="H16" s="1489">
        <v>0.1</v>
      </c>
      <c r="I16" s="1489">
        <v>4.3499999999999996</v>
      </c>
      <c r="J16" s="1489">
        <f t="shared" ref="J16:J23" si="2">G16*H16*I16</f>
        <v>43.5</v>
      </c>
      <c r="K16" s="1489">
        <f>G16*H16*12145</f>
        <v>121450</v>
      </c>
      <c r="L16" s="1483"/>
    </row>
    <row r="17" spans="1:12" s="1484" customFormat="1" x14ac:dyDescent="0.2">
      <c r="A17" s="1485"/>
      <c r="B17" s="1489" t="s">
        <v>613</v>
      </c>
      <c r="C17" s="1489"/>
      <c r="D17" s="1490" t="s">
        <v>586</v>
      </c>
      <c r="E17" s="1489"/>
      <c r="F17" s="1489">
        <v>75</v>
      </c>
      <c r="G17" s="1489">
        <f t="shared" si="1"/>
        <v>75</v>
      </c>
      <c r="H17" s="1489">
        <v>0.1</v>
      </c>
      <c r="I17" s="1489">
        <v>4.3499999999999996</v>
      </c>
      <c r="J17" s="1489">
        <f t="shared" si="2"/>
        <v>32.625</v>
      </c>
      <c r="K17" s="1489">
        <f>G17*H17*12145</f>
        <v>91087.5</v>
      </c>
      <c r="L17" s="1483"/>
    </row>
    <row r="18" spans="1:12" s="1495" customFormat="1" x14ac:dyDescent="0.2">
      <c r="A18" s="1491"/>
      <c r="B18" s="1489" t="s">
        <v>614</v>
      </c>
      <c r="C18" s="1492"/>
      <c r="D18" s="1493"/>
      <c r="E18" s="1492"/>
      <c r="F18" s="1492">
        <f>SUM(F19:F20)</f>
        <v>1320</v>
      </c>
      <c r="G18" s="1492">
        <f t="shared" ref="G18:K18" si="3">SUM(G19:G20)</f>
        <v>1320</v>
      </c>
      <c r="H18" s="1492">
        <f t="shared" si="3"/>
        <v>0.5</v>
      </c>
      <c r="I18" s="1492">
        <f t="shared" si="3"/>
        <v>8.6999999999999993</v>
      </c>
      <c r="J18" s="1492">
        <f t="shared" si="3"/>
        <v>1435.5</v>
      </c>
      <c r="K18" s="1492">
        <f t="shared" si="3"/>
        <v>4384380</v>
      </c>
      <c r="L18" s="1494"/>
    </row>
    <row r="19" spans="1:12" s="1484" customFormat="1" x14ac:dyDescent="0.2">
      <c r="A19" s="1485"/>
      <c r="C19" s="1489"/>
      <c r="D19" s="1490" t="s">
        <v>474</v>
      </c>
      <c r="E19" s="1489"/>
      <c r="F19" s="1489">
        <v>270</v>
      </c>
      <c r="G19" s="1489">
        <f t="shared" si="1"/>
        <v>270</v>
      </c>
      <c r="H19" s="1489">
        <v>0.25</v>
      </c>
      <c r="I19" s="1489">
        <v>4.3499999999999996</v>
      </c>
      <c r="J19" s="1489">
        <f t="shared" si="2"/>
        <v>293.625</v>
      </c>
      <c r="K19" s="1489">
        <f>G19*H19*13286</f>
        <v>896805</v>
      </c>
      <c r="L19" s="1483"/>
    </row>
    <row r="20" spans="1:12" s="1484" customFormat="1" x14ac:dyDescent="0.2">
      <c r="A20" s="1485"/>
      <c r="B20" s="1489"/>
      <c r="C20" s="1489"/>
      <c r="D20" s="1490" t="s">
        <v>586</v>
      </c>
      <c r="E20" s="1489"/>
      <c r="F20" s="1489">
        <v>1050</v>
      </c>
      <c r="G20" s="1489">
        <f t="shared" si="1"/>
        <v>1050</v>
      </c>
      <c r="H20" s="1489">
        <v>0.25</v>
      </c>
      <c r="I20" s="1489">
        <v>4.3499999999999996</v>
      </c>
      <c r="J20" s="1489">
        <f t="shared" si="2"/>
        <v>1141.875</v>
      </c>
      <c r="K20" s="1489">
        <f>G20*H20*13286</f>
        <v>3487575</v>
      </c>
      <c r="L20" s="1483"/>
    </row>
    <row r="21" spans="1:12" s="1484" customFormat="1" x14ac:dyDescent="0.2">
      <c r="A21" s="1485"/>
      <c r="B21" s="1489" t="s">
        <v>610</v>
      </c>
      <c r="C21" s="1489"/>
      <c r="D21" s="1490" t="s">
        <v>474</v>
      </c>
      <c r="E21" s="1489"/>
      <c r="F21" s="1489">
        <v>50</v>
      </c>
      <c r="G21" s="1489">
        <f t="shared" si="1"/>
        <v>50</v>
      </c>
      <c r="H21" s="1489">
        <v>0.25</v>
      </c>
      <c r="I21" s="1489">
        <v>4.3499999999999996</v>
      </c>
      <c r="J21" s="1489">
        <f t="shared" si="2"/>
        <v>54.374999999999993</v>
      </c>
      <c r="K21" s="1489">
        <f>G21*H21*13286</f>
        <v>166075</v>
      </c>
      <c r="L21" s="1483"/>
    </row>
    <row r="22" spans="1:12" s="1484" customFormat="1" x14ac:dyDescent="0.2">
      <c r="A22" s="1485"/>
      <c r="B22" s="1489" t="s">
        <v>617</v>
      </c>
      <c r="C22" s="1489"/>
      <c r="D22" s="1490" t="s">
        <v>474</v>
      </c>
      <c r="E22" s="1489"/>
      <c r="F22" s="1489">
        <v>1202</v>
      </c>
      <c r="G22" s="1489">
        <f t="shared" si="1"/>
        <v>1202</v>
      </c>
      <c r="H22" s="1489">
        <v>0.12</v>
      </c>
      <c r="I22" s="1489">
        <v>4.3499999999999996</v>
      </c>
      <c r="J22" s="1489">
        <f t="shared" si="2"/>
        <v>627.44399999999985</v>
      </c>
      <c r="K22" s="1489">
        <f>G22*H22*13286</f>
        <v>1916372.6399999997</v>
      </c>
      <c r="L22" s="1483"/>
    </row>
    <row r="23" spans="1:12" s="1484" customFormat="1" x14ac:dyDescent="0.2">
      <c r="A23" s="1485"/>
      <c r="B23" s="1489" t="s">
        <v>570</v>
      </c>
      <c r="C23" s="1489">
        <v>1875</v>
      </c>
      <c r="D23" s="1490" t="s">
        <v>474</v>
      </c>
      <c r="E23" s="1489"/>
      <c r="F23" s="1489">
        <v>583.54999999999995</v>
      </c>
      <c r="G23" s="1489">
        <f t="shared" si="1"/>
        <v>583.54999999999995</v>
      </c>
      <c r="H23" s="1489">
        <v>0.25</v>
      </c>
      <c r="I23" s="1489">
        <v>4.3499999999999996</v>
      </c>
      <c r="J23" s="1489">
        <f t="shared" si="2"/>
        <v>634.61062499999991</v>
      </c>
      <c r="K23" s="1489">
        <f>G23*H23*13286</f>
        <v>1938261.325</v>
      </c>
      <c r="L23" s="1483"/>
    </row>
    <row r="24" spans="1:12" s="1484" customFormat="1" x14ac:dyDescent="0.2">
      <c r="A24" s="1485"/>
      <c r="B24" s="1486" t="s">
        <v>622</v>
      </c>
      <c r="C24" s="1487"/>
      <c r="D24" s="1487">
        <f>SUM(D26:D27)</f>
        <v>0</v>
      </c>
      <c r="E24" s="1487">
        <f>SUM(E26:E31)</f>
        <v>0</v>
      </c>
      <c r="F24" s="1487">
        <f>SUM(F26:F31)</f>
        <v>5990</v>
      </c>
      <c r="G24" s="1487">
        <f>SUM(G26:G31)</f>
        <v>5990</v>
      </c>
      <c r="H24" s="1487"/>
      <c r="I24" s="1487"/>
      <c r="J24" s="1487">
        <f>SUM(J26:J31)</f>
        <v>3677.9250000000002</v>
      </c>
      <c r="K24" s="1487">
        <f>SUM(K26:K31)</f>
        <v>11344835</v>
      </c>
      <c r="L24" s="1483"/>
    </row>
    <row r="25" spans="1:12" s="1495" customFormat="1" x14ac:dyDescent="0.2">
      <c r="A25" s="1491"/>
      <c r="B25" s="1489" t="s">
        <v>624</v>
      </c>
      <c r="C25" s="1496"/>
      <c r="D25" s="1496"/>
      <c r="E25" s="1496"/>
      <c r="F25" s="1496">
        <f>SUM(F26:F29)</f>
        <v>5650</v>
      </c>
      <c r="G25" s="1496">
        <f t="shared" ref="G25:K25" si="4">SUM(G26:G29)</f>
        <v>5650</v>
      </c>
      <c r="H25" s="1496">
        <f t="shared" si="4"/>
        <v>0.39999999999999997</v>
      </c>
      <c r="I25" s="1496">
        <f t="shared" si="4"/>
        <v>13.049999999999999</v>
      </c>
      <c r="J25" s="1496">
        <f t="shared" si="4"/>
        <v>3338.625</v>
      </c>
      <c r="K25" s="1496">
        <f t="shared" si="4"/>
        <v>10397525</v>
      </c>
      <c r="L25" s="1494"/>
    </row>
    <row r="26" spans="1:12" s="1484" customFormat="1" x14ac:dyDescent="0.2">
      <c r="A26" s="1485"/>
      <c r="C26" s="1489"/>
      <c r="D26" s="1490" t="s">
        <v>474</v>
      </c>
      <c r="E26" s="1489"/>
      <c r="F26" s="1489">
        <v>1950</v>
      </c>
      <c r="G26" s="1489">
        <f>E26+F26</f>
        <v>1950</v>
      </c>
      <c r="H26" s="1489">
        <v>0.25</v>
      </c>
      <c r="I26" s="1489">
        <v>4.3499999999999996</v>
      </c>
      <c r="J26" s="1489">
        <f>G26*H26*I26</f>
        <v>2120.625</v>
      </c>
      <c r="K26" s="1489">
        <f>G26*H26*13286</f>
        <v>6476925</v>
      </c>
      <c r="L26" s="1483"/>
    </row>
    <row r="27" spans="1:12" s="1484" customFormat="1" x14ac:dyDescent="0.2">
      <c r="A27" s="1485"/>
      <c r="B27" s="1489"/>
      <c r="C27" s="1489"/>
      <c r="D27" s="1490" t="s">
        <v>586</v>
      </c>
      <c r="E27" s="1489"/>
      <c r="F27" s="1489">
        <v>1900</v>
      </c>
      <c r="G27" s="1489">
        <f>E27+F27</f>
        <v>1900</v>
      </c>
      <c r="H27" s="1489">
        <v>0.1</v>
      </c>
      <c r="I27" s="1489">
        <v>4.3499999999999996</v>
      </c>
      <c r="J27" s="1489">
        <f>G27*H27*I27</f>
        <v>826.49999999999989</v>
      </c>
      <c r="K27" s="1489">
        <f>G27*H27*12145</f>
        <v>2307550</v>
      </c>
      <c r="L27" s="1483"/>
    </row>
    <row r="28" spans="1:12" s="1484" customFormat="1" x14ac:dyDescent="0.2">
      <c r="A28" s="1485"/>
      <c r="B28" s="1489"/>
      <c r="C28" s="1489"/>
      <c r="D28" s="1490" t="s">
        <v>539</v>
      </c>
      <c r="E28" s="1489"/>
      <c r="F28" s="1489">
        <v>1800</v>
      </c>
      <c r="G28" s="1489">
        <f>E28+F28</f>
        <v>1800</v>
      </c>
      <c r="H28" s="1489">
        <v>0.05</v>
      </c>
      <c r="I28" s="1489">
        <v>4.3499999999999996</v>
      </c>
      <c r="J28" s="1489">
        <f>G28*H28*I28</f>
        <v>391.49999999999994</v>
      </c>
      <c r="K28" s="1489">
        <f>G28*H28*12145</f>
        <v>1093050</v>
      </c>
      <c r="L28" s="1483"/>
    </row>
    <row r="29" spans="1:12" s="1484" customFormat="1" x14ac:dyDescent="0.2">
      <c r="A29" s="1485"/>
      <c r="B29" s="1489"/>
      <c r="C29" s="1489"/>
      <c r="D29" s="1490" t="s">
        <v>482</v>
      </c>
      <c r="E29" s="1497" t="s">
        <v>1089</v>
      </c>
      <c r="F29" s="1498"/>
      <c r="G29" s="1499"/>
      <c r="H29" s="1489"/>
      <c r="I29" s="1489"/>
      <c r="J29" s="1489"/>
      <c r="K29" s="1489">
        <f>650*800</f>
        <v>520000</v>
      </c>
      <c r="L29" s="1483"/>
    </row>
    <row r="30" spans="1:12" s="1484" customFormat="1" x14ac:dyDescent="0.2">
      <c r="A30" s="1485"/>
      <c r="B30" s="1489" t="s">
        <v>483</v>
      </c>
      <c r="C30" s="1489"/>
      <c r="D30" s="1490" t="s">
        <v>586</v>
      </c>
      <c r="E30" s="1489"/>
      <c r="F30" s="1489">
        <v>200</v>
      </c>
      <c r="G30" s="1489">
        <f>E30+F30</f>
        <v>200</v>
      </c>
      <c r="H30" s="1489">
        <v>0.25</v>
      </c>
      <c r="I30" s="1489">
        <v>4.3499999999999996</v>
      </c>
      <c r="J30" s="1489">
        <f>G30*H30*I30</f>
        <v>217.49999999999997</v>
      </c>
      <c r="K30" s="1489">
        <f>G30*H30*12145</f>
        <v>607250</v>
      </c>
      <c r="L30" s="1483"/>
    </row>
    <row r="31" spans="1:12" s="1484" customFormat="1" x14ac:dyDescent="0.2">
      <c r="A31" s="1485"/>
      <c r="B31" s="1489" t="s">
        <v>623</v>
      </c>
      <c r="C31" s="1489"/>
      <c r="D31" s="1490" t="s">
        <v>474</v>
      </c>
      <c r="E31" s="1489"/>
      <c r="F31" s="1489">
        <v>140</v>
      </c>
      <c r="G31" s="1489">
        <f>E31+F31</f>
        <v>140</v>
      </c>
      <c r="H31" s="1489">
        <v>0.2</v>
      </c>
      <c r="I31" s="1489">
        <v>4.3499999999999996</v>
      </c>
      <c r="J31" s="1489">
        <f>G31*H31*I31</f>
        <v>121.79999999999998</v>
      </c>
      <c r="K31" s="1489">
        <f>G31*H31*12145</f>
        <v>340060</v>
      </c>
      <c r="L31" s="1483"/>
    </row>
    <row r="32" spans="1:12" s="1484" customFormat="1" x14ac:dyDescent="0.2">
      <c r="A32" s="1485"/>
      <c r="B32" s="1486" t="s">
        <v>626</v>
      </c>
      <c r="C32" s="1487"/>
      <c r="D32" s="1487">
        <f>SUM(D33:D41)</f>
        <v>0</v>
      </c>
      <c r="E32" s="1487">
        <f>SUM(E33)</f>
        <v>0</v>
      </c>
      <c r="F32" s="1487">
        <f>SUM(F33)</f>
        <v>228</v>
      </c>
      <c r="G32" s="1487">
        <f>SUM(G33)</f>
        <v>228</v>
      </c>
      <c r="H32" s="1487"/>
      <c r="I32" s="1487"/>
      <c r="J32" s="1487">
        <f>SUM(J33)</f>
        <v>247.95</v>
      </c>
      <c r="K32" s="1487">
        <f>SUM(K33)</f>
        <v>692265</v>
      </c>
      <c r="L32" s="1483"/>
    </row>
    <row r="33" spans="1:12" s="1484" customFormat="1" x14ac:dyDescent="0.2">
      <c r="A33" s="1485"/>
      <c r="B33" s="1489" t="s">
        <v>629</v>
      </c>
      <c r="C33" s="1489">
        <v>0</v>
      </c>
      <c r="D33" s="1490" t="s">
        <v>586</v>
      </c>
      <c r="E33" s="1489">
        <v>0</v>
      </c>
      <c r="F33" s="1489">
        <v>228</v>
      </c>
      <c r="G33" s="1489">
        <f>E33+F33</f>
        <v>228</v>
      </c>
      <c r="H33" s="1489">
        <v>0.25</v>
      </c>
      <c r="I33" s="1489">
        <v>4.3499999999999996</v>
      </c>
      <c r="J33" s="1489">
        <f>G33*H33*I33</f>
        <v>247.95</v>
      </c>
      <c r="K33" s="1489">
        <f>G33*H33*12145</f>
        <v>692265</v>
      </c>
      <c r="L33" s="1483"/>
    </row>
    <row r="34" spans="1:12" s="1484" customFormat="1" x14ac:dyDescent="0.2">
      <c r="A34" s="1485"/>
      <c r="B34" s="1486" t="s">
        <v>641</v>
      </c>
      <c r="C34" s="1487"/>
      <c r="D34" s="1487">
        <f>SUM(D36:D45)</f>
        <v>0</v>
      </c>
      <c r="E34" s="1487">
        <f>SUM(E36:E37)</f>
        <v>0</v>
      </c>
      <c r="F34" s="1487">
        <f>SUM(F36:F37)</f>
        <v>1332</v>
      </c>
      <c r="G34" s="1487">
        <f>SUM(G36:G37)</f>
        <v>1332</v>
      </c>
      <c r="H34" s="1487"/>
      <c r="I34" s="1487"/>
      <c r="J34" s="1487">
        <f>SUM(J36:J37)</f>
        <v>733.84500000000003</v>
      </c>
      <c r="K34" s="1487">
        <f>SUM(K36:K37)</f>
        <v>2097468.1</v>
      </c>
      <c r="L34" s="1483"/>
    </row>
    <row r="35" spans="1:12" s="1495" customFormat="1" x14ac:dyDescent="0.2">
      <c r="A35" s="1491"/>
      <c r="B35" s="1512"/>
      <c r="C35" s="1496"/>
      <c r="D35" s="1496"/>
      <c r="E35" s="1496"/>
      <c r="F35" s="1496">
        <f>SUM(F36:F37)</f>
        <v>1332</v>
      </c>
      <c r="G35" s="1496">
        <f t="shared" ref="G35:K35" si="5">SUM(G36:G37)</f>
        <v>1332</v>
      </c>
      <c r="H35" s="1496">
        <f t="shared" si="5"/>
        <v>0.7</v>
      </c>
      <c r="I35" s="1496">
        <f t="shared" si="5"/>
        <v>8.6999999999999993</v>
      </c>
      <c r="J35" s="1496">
        <f t="shared" si="5"/>
        <v>733.84500000000003</v>
      </c>
      <c r="K35" s="1496">
        <f t="shared" si="5"/>
        <v>2097468.1</v>
      </c>
      <c r="L35" s="1494"/>
    </row>
    <row r="36" spans="1:12" s="1484" customFormat="1" x14ac:dyDescent="0.2">
      <c r="A36" s="1485"/>
      <c r="B36" s="1489" t="s">
        <v>494</v>
      </c>
      <c r="C36" s="1489">
        <v>1327</v>
      </c>
      <c r="D36" s="1490" t="s">
        <v>474</v>
      </c>
      <c r="E36" s="1489">
        <v>0</v>
      </c>
      <c r="F36" s="1489">
        <v>71</v>
      </c>
      <c r="G36" s="1489">
        <f>E36+F36</f>
        <v>71</v>
      </c>
      <c r="H36" s="1489">
        <v>0.6</v>
      </c>
      <c r="I36" s="1489">
        <v>4.3499999999999996</v>
      </c>
      <c r="J36" s="1489">
        <f>G36*H36*I36</f>
        <v>185.31</v>
      </c>
      <c r="K36" s="1489">
        <f>G36*H36*13286</f>
        <v>565983.6</v>
      </c>
      <c r="L36" s="1483"/>
    </row>
    <row r="37" spans="1:12" s="1484" customFormat="1" x14ac:dyDescent="0.2">
      <c r="A37" s="1485"/>
      <c r="B37" s="1489"/>
      <c r="C37" s="1489"/>
      <c r="D37" s="1490" t="s">
        <v>586</v>
      </c>
      <c r="E37" s="1489">
        <v>0</v>
      </c>
      <c r="F37" s="1489">
        <v>1261</v>
      </c>
      <c r="G37" s="1489">
        <f>E37+F37</f>
        <v>1261</v>
      </c>
      <c r="H37" s="1489">
        <v>0.1</v>
      </c>
      <c r="I37" s="1489">
        <v>4.3499999999999996</v>
      </c>
      <c r="J37" s="1489">
        <f>G37*H37*I37</f>
        <v>548.53499999999997</v>
      </c>
      <c r="K37" s="1489">
        <f>G37*H37*12145</f>
        <v>1531484.5</v>
      </c>
      <c r="L37" s="1483"/>
    </row>
    <row r="38" spans="1:12" s="1484" customFormat="1" x14ac:dyDescent="0.2">
      <c r="A38" s="1485"/>
      <c r="B38" s="1486" t="s">
        <v>646</v>
      </c>
      <c r="C38" s="1487"/>
      <c r="D38" s="1487">
        <f>SUM(D39:D48)</f>
        <v>0</v>
      </c>
      <c r="E38" s="1487">
        <f>SUM(E39:E39)</f>
        <v>0</v>
      </c>
      <c r="F38" s="1487">
        <f>SUM(F39:F39)</f>
        <v>125</v>
      </c>
      <c r="G38" s="1487">
        <f>SUM(G39:G39)</f>
        <v>125</v>
      </c>
      <c r="H38" s="1487"/>
      <c r="I38" s="1487"/>
      <c r="J38" s="1487">
        <f>SUM(J39:J39)</f>
        <v>108.74999999999999</v>
      </c>
      <c r="K38" s="1487">
        <f>SUM(K39:K39)</f>
        <v>332150</v>
      </c>
      <c r="L38" s="1483"/>
    </row>
    <row r="39" spans="1:12" s="1484" customFormat="1" x14ac:dyDescent="0.2">
      <c r="A39" s="1485"/>
      <c r="B39" s="1489" t="s">
        <v>514</v>
      </c>
      <c r="C39" s="1489">
        <v>0</v>
      </c>
      <c r="D39" s="1490" t="s">
        <v>586</v>
      </c>
      <c r="E39" s="1489">
        <v>0</v>
      </c>
      <c r="F39" s="1489">
        <v>125</v>
      </c>
      <c r="G39" s="1489">
        <f>E39+F39</f>
        <v>125</v>
      </c>
      <c r="H39" s="1489">
        <v>0.2</v>
      </c>
      <c r="I39" s="1489">
        <v>4.3499999999999996</v>
      </c>
      <c r="J39" s="1489">
        <f>G39*H39*I39</f>
        <v>108.74999999999999</v>
      </c>
      <c r="K39" s="1489">
        <f>G39*H39*13286</f>
        <v>332150</v>
      </c>
      <c r="L39" s="1483"/>
    </row>
    <row r="40" spans="1:12" s="1484" customFormat="1" x14ac:dyDescent="0.2">
      <c r="A40" s="1485"/>
      <c r="B40" s="1489"/>
      <c r="C40" s="1489"/>
      <c r="D40" s="1490"/>
      <c r="E40" s="1489"/>
      <c r="F40" s="1489"/>
      <c r="G40" s="1489"/>
      <c r="H40" s="1489"/>
      <c r="I40" s="1489"/>
      <c r="J40" s="1489"/>
      <c r="K40" s="1489"/>
      <c r="L40" s="1483"/>
    </row>
    <row r="41" spans="1:12" s="1484" customFormat="1" x14ac:dyDescent="0.2">
      <c r="A41" s="1485"/>
      <c r="B41" s="1486" t="s">
        <v>210</v>
      </c>
      <c r="C41" s="1487"/>
      <c r="D41" s="1488"/>
      <c r="E41" s="1487">
        <f>SUM(E42)+E53</f>
        <v>0</v>
      </c>
      <c r="F41" s="1487">
        <f>SUM(F42)+F53</f>
        <v>160</v>
      </c>
      <c r="G41" s="1487">
        <f>SUM(G42)+G53</f>
        <v>160</v>
      </c>
      <c r="H41" s="1487"/>
      <c r="I41" s="1487"/>
      <c r="J41" s="1487">
        <f>SUM(J42)+J53</f>
        <v>105.6</v>
      </c>
      <c r="K41" s="1487">
        <f>SUM(K42)+K53</f>
        <v>278600</v>
      </c>
      <c r="L41" s="1483"/>
    </row>
    <row r="42" spans="1:12" s="1484" customFormat="1" x14ac:dyDescent="0.2">
      <c r="A42" s="1485"/>
      <c r="B42" s="1486" t="s">
        <v>622</v>
      </c>
      <c r="C42" s="1487"/>
      <c r="D42" s="1487">
        <f>SUM(D44:D45)</f>
        <v>0</v>
      </c>
      <c r="E42" s="1487">
        <f>SUM(E44:E45)</f>
        <v>0</v>
      </c>
      <c r="F42" s="1487">
        <f>SUM(F44:F45)</f>
        <v>160</v>
      </c>
      <c r="G42" s="1487">
        <f>SUM(G44:G45)</f>
        <v>160</v>
      </c>
      <c r="H42" s="1487"/>
      <c r="I42" s="1487"/>
      <c r="J42" s="1487">
        <f>SUM(J44:J45)</f>
        <v>105.6</v>
      </c>
      <c r="K42" s="1487">
        <f>SUM(K44:K46)</f>
        <v>278600</v>
      </c>
      <c r="L42" s="1483"/>
    </row>
    <row r="43" spans="1:12" s="1484" customFormat="1" x14ac:dyDescent="0.2">
      <c r="A43" s="1485"/>
      <c r="B43" s="1489" t="s">
        <v>250</v>
      </c>
      <c r="C43" s="1487"/>
      <c r="D43" s="1487"/>
      <c r="E43" s="1487"/>
      <c r="F43" s="1496">
        <f>SUM(F44:F45)</f>
        <v>160</v>
      </c>
      <c r="G43" s="1496">
        <f t="shared" ref="G43" si="6">SUM(G44:G45)</f>
        <v>160</v>
      </c>
      <c r="H43" s="1496">
        <f t="shared" ref="H43" si="7">SUM(H44:H45)</f>
        <v>0.30000000000000004</v>
      </c>
      <c r="I43" s="1496">
        <f t="shared" ref="I43" si="8">SUM(I44:I45)</f>
        <v>9.6</v>
      </c>
      <c r="J43" s="1496">
        <f t="shared" ref="J43" si="9">SUM(J44:J45)</f>
        <v>105.6</v>
      </c>
      <c r="K43" s="1496">
        <f t="shared" ref="K43" si="10">SUM(K44:K45)</f>
        <v>278600</v>
      </c>
      <c r="L43" s="1483"/>
    </row>
    <row r="44" spans="1:12" s="1484" customFormat="1" x14ac:dyDescent="0.2">
      <c r="A44" s="1485"/>
      <c r="C44" s="1489">
        <v>1842</v>
      </c>
      <c r="D44" s="1490" t="s">
        <v>586</v>
      </c>
      <c r="E44" s="1489">
        <v>0</v>
      </c>
      <c r="F44" s="1489">
        <v>60</v>
      </c>
      <c r="G44" s="1489">
        <f>E44+F44</f>
        <v>60</v>
      </c>
      <c r="H44" s="1489">
        <v>0.2</v>
      </c>
      <c r="I44" s="1489">
        <v>4.8</v>
      </c>
      <c r="J44" s="1489">
        <f>G44*H44*I44</f>
        <v>57.599999999999994</v>
      </c>
      <c r="K44" s="1489">
        <f>G44*H44*12145</f>
        <v>145740</v>
      </c>
      <c r="L44" s="1483"/>
    </row>
    <row r="45" spans="1:12" s="1484" customFormat="1" x14ac:dyDescent="0.2">
      <c r="A45" s="1485"/>
      <c r="B45" s="1489"/>
      <c r="C45" s="1489"/>
      <c r="D45" s="1490" t="s">
        <v>474</v>
      </c>
      <c r="E45" s="1489">
        <v>0</v>
      </c>
      <c r="F45" s="1489">
        <v>100</v>
      </c>
      <c r="G45" s="1489">
        <f>E45+F45</f>
        <v>100</v>
      </c>
      <c r="H45" s="1489">
        <v>0.1</v>
      </c>
      <c r="I45" s="1489">
        <v>4.8</v>
      </c>
      <c r="J45" s="1489">
        <f>G45*H45*I45</f>
        <v>48</v>
      </c>
      <c r="K45" s="1489">
        <f>G45*H45*13286</f>
        <v>132860</v>
      </c>
      <c r="L45" s="1483"/>
    </row>
    <row r="46" spans="1:12" x14ac:dyDescent="0.2">
      <c r="A46" s="1485"/>
      <c r="B46" s="1500"/>
      <c r="C46" s="1501"/>
      <c r="D46" s="1502"/>
      <c r="E46" s="1501"/>
      <c r="F46" s="1501"/>
      <c r="G46" s="1501"/>
      <c r="H46" s="1501"/>
      <c r="I46" s="1501"/>
      <c r="J46" s="1501"/>
      <c r="K46" s="1501"/>
      <c r="L46" s="1483"/>
    </row>
    <row r="47" spans="1:12" x14ac:dyDescent="0.2">
      <c r="A47" s="1484"/>
      <c r="B47" s="1503"/>
      <c r="C47" s="1504"/>
      <c r="D47" s="1505"/>
      <c r="E47" s="1504"/>
      <c r="F47" s="1504"/>
      <c r="G47" s="1504"/>
      <c r="H47" s="1504"/>
      <c r="I47" s="1504"/>
      <c r="J47" s="1504"/>
      <c r="K47" s="1504"/>
      <c r="L47" s="1506"/>
    </row>
    <row r="48" spans="1:12" x14ac:dyDescent="0.2">
      <c r="A48" s="1507" t="s">
        <v>522</v>
      </c>
      <c r="C48" s="1468" t="s">
        <v>815</v>
      </c>
      <c r="G48" s="1468" t="s">
        <v>691</v>
      </c>
      <c r="K48" s="1468" t="s">
        <v>940</v>
      </c>
    </row>
    <row r="51" spans="1:11" s="1470" customFormat="1" x14ac:dyDescent="0.2">
      <c r="A51" s="1469" t="s">
        <v>524</v>
      </c>
      <c r="B51" s="1469"/>
      <c r="C51" s="1508" t="s">
        <v>1050</v>
      </c>
      <c r="D51" s="1468"/>
      <c r="E51" s="1469"/>
      <c r="F51" s="1469"/>
      <c r="G51" s="1469" t="s">
        <v>1090</v>
      </c>
      <c r="H51" s="1509"/>
      <c r="I51" s="1509"/>
      <c r="J51" s="1468"/>
      <c r="K51" s="1469" t="s">
        <v>1091</v>
      </c>
    </row>
    <row r="52" spans="1:11" s="1470" customFormat="1" x14ac:dyDescent="0.2">
      <c r="A52" s="1510" t="s">
        <v>1092</v>
      </c>
      <c r="B52" s="1468"/>
      <c r="C52" s="1510" t="s">
        <v>1093</v>
      </c>
      <c r="D52" s="1468"/>
      <c r="E52" s="1468"/>
      <c r="F52" s="1511"/>
      <c r="G52" s="1511" t="s">
        <v>530</v>
      </c>
      <c r="H52" s="1511"/>
      <c r="I52" s="1511"/>
      <c r="J52" s="1468"/>
      <c r="K52" s="1468" t="s">
        <v>995</v>
      </c>
    </row>
  </sheetData>
  <mergeCells count="7">
    <mergeCell ref="E7:G7"/>
    <mergeCell ref="J7:K7"/>
    <mergeCell ref="A1:L1"/>
    <mergeCell ref="A2:L2"/>
    <mergeCell ref="A3:L3"/>
    <mergeCell ref="A4:L4"/>
    <mergeCell ref="A5:L5"/>
  </mergeCells>
  <printOptions horizontalCentered="1"/>
  <pageMargins left="0.25" right="0.25" top="0.75" bottom="0.5" header="0.56000000000000005" footer="0.26"/>
  <pageSetup scale="85" orientation="landscape" horizontalDpi="4294967295" r:id="rId1"/>
  <headerFooter alignWithMargins="0"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8895-0698-2C43-85F6-DC2077C73474}">
  <sheetPr>
    <tabColor theme="9" tint="0.39997558519241921"/>
  </sheetPr>
  <dimension ref="A1:Z71"/>
  <sheetViews>
    <sheetView view="pageBreakPreview" topLeftCell="A10" zoomScale="80" zoomScaleNormal="73" zoomScaleSheetLayoutView="80" workbookViewId="0">
      <selection activeCell="B22" sqref="B22:Y53"/>
    </sheetView>
  </sheetViews>
  <sheetFormatPr defaultColWidth="9.125" defaultRowHeight="12.75" x14ac:dyDescent="0.2"/>
  <cols>
    <col min="1" max="1" width="5.875" style="6" customWidth="1"/>
    <col min="2" max="2" width="12.375" style="6" customWidth="1"/>
    <col min="3" max="3" width="14.5" style="6" customWidth="1"/>
    <col min="4" max="4" width="11" style="6" hidden="1" customWidth="1"/>
    <col min="5" max="5" width="11" style="9" customWidth="1"/>
    <col min="6" max="6" width="13.375" style="8" customWidth="1"/>
    <col min="7" max="7" width="13" style="6" customWidth="1"/>
    <col min="8" max="8" width="10.625" style="6" customWidth="1"/>
    <col min="9" max="10" width="13.375" style="6" customWidth="1"/>
    <col min="11" max="11" width="9.5" style="6" customWidth="1"/>
    <col min="12" max="12" width="8.5" style="6" customWidth="1"/>
    <col min="13" max="13" width="11.125" style="6" customWidth="1"/>
    <col min="14" max="14" width="14.375" style="7" customWidth="1"/>
    <col min="15" max="15" width="15.125" style="6" customWidth="1"/>
    <col min="16" max="16" width="15.5" style="6" customWidth="1"/>
    <col min="17" max="17" width="16.625" style="6" customWidth="1"/>
    <col min="18" max="18" width="11.625" style="6" customWidth="1"/>
    <col min="19" max="20" width="10" style="6" customWidth="1"/>
    <col min="21" max="22" width="12" style="6" customWidth="1"/>
    <col min="23" max="24" width="15.5" style="6" customWidth="1"/>
    <col min="25" max="25" width="15.625" style="6" customWidth="1"/>
    <col min="26" max="26" width="17.5" style="6" customWidth="1"/>
    <col min="27" max="16384" width="9.125" style="6"/>
  </cols>
  <sheetData>
    <row r="1" spans="1:26" x14ac:dyDescent="0.2">
      <c r="A1" s="1799" t="s">
        <v>411</v>
      </c>
      <c r="B1" s="1799"/>
      <c r="C1" s="1799"/>
      <c r="D1" s="1799"/>
      <c r="E1" s="1799"/>
      <c r="F1" s="1799"/>
      <c r="G1" s="1799"/>
      <c r="H1" s="1799"/>
      <c r="I1" s="1799"/>
      <c r="J1" s="1799"/>
      <c r="K1" s="1799"/>
      <c r="L1" s="1799"/>
      <c r="M1" s="1799"/>
      <c r="N1" s="1799"/>
      <c r="O1" s="1799"/>
      <c r="P1" s="1799"/>
      <c r="Q1" s="1799"/>
      <c r="R1" s="1799"/>
      <c r="S1" s="1799"/>
      <c r="T1" s="1799"/>
      <c r="U1" s="1799"/>
      <c r="V1" s="1799"/>
      <c r="W1" s="1799"/>
      <c r="X1" s="1799"/>
      <c r="Y1" s="1553"/>
    </row>
    <row r="2" spans="1:26" x14ac:dyDescent="0.2">
      <c r="A2" s="1799" t="s">
        <v>412</v>
      </c>
      <c r="B2" s="1799"/>
      <c r="C2" s="1799"/>
      <c r="D2" s="1799"/>
      <c r="E2" s="1799"/>
      <c r="F2" s="1799"/>
      <c r="G2" s="1799"/>
      <c r="H2" s="1799"/>
      <c r="I2" s="1799"/>
      <c r="J2" s="1799"/>
      <c r="K2" s="1799"/>
      <c r="L2" s="1799"/>
      <c r="M2" s="1799"/>
      <c r="N2" s="1799"/>
      <c r="O2" s="1799"/>
      <c r="P2" s="1799"/>
      <c r="Q2" s="1799"/>
      <c r="R2" s="1799"/>
      <c r="S2" s="1799"/>
      <c r="T2" s="1799"/>
      <c r="U2" s="1799"/>
      <c r="V2" s="1799"/>
      <c r="W2" s="1799"/>
      <c r="X2" s="1799"/>
      <c r="Y2" s="1553"/>
    </row>
    <row r="3" spans="1:26" x14ac:dyDescent="0.2">
      <c r="A3" s="1800" t="s">
        <v>413</v>
      </c>
      <c r="B3" s="1800"/>
      <c r="C3" s="1800"/>
      <c r="D3" s="1800"/>
      <c r="E3" s="1800"/>
      <c r="F3" s="1800"/>
      <c r="G3" s="1800"/>
      <c r="H3" s="1800"/>
      <c r="I3" s="1800"/>
      <c r="J3" s="1800"/>
      <c r="K3" s="1800"/>
      <c r="L3" s="1800"/>
      <c r="M3" s="1800"/>
      <c r="N3" s="1800"/>
      <c r="O3" s="1800"/>
      <c r="P3" s="1800"/>
      <c r="Q3" s="1800"/>
      <c r="R3" s="1800"/>
      <c r="S3" s="1800"/>
      <c r="T3" s="1800"/>
      <c r="U3" s="1800"/>
      <c r="V3" s="1800"/>
      <c r="W3" s="1800"/>
      <c r="X3" s="1800"/>
      <c r="Y3" s="1554"/>
    </row>
    <row r="4" spans="1:26" x14ac:dyDescent="0.2">
      <c r="A4" s="1799" t="s">
        <v>1094</v>
      </c>
      <c r="B4" s="1799"/>
      <c r="C4" s="1799"/>
      <c r="D4" s="1799"/>
      <c r="E4" s="1799"/>
      <c r="F4" s="1799"/>
      <c r="G4" s="1799"/>
      <c r="H4" s="1799"/>
      <c r="I4" s="1799"/>
      <c r="J4" s="1799"/>
      <c r="K4" s="1799"/>
      <c r="L4" s="1799"/>
      <c r="M4" s="1799"/>
      <c r="N4" s="1799"/>
      <c r="O4" s="1799"/>
      <c r="P4" s="1799"/>
      <c r="Q4" s="1799"/>
      <c r="R4" s="1799"/>
      <c r="S4" s="1799"/>
      <c r="T4" s="1799"/>
      <c r="U4" s="1799"/>
      <c r="V4" s="1799"/>
      <c r="W4" s="1799"/>
      <c r="X4" s="1799"/>
      <c r="Y4" s="1553"/>
    </row>
    <row r="5" spans="1:26" x14ac:dyDescent="0.2">
      <c r="A5" s="1799" t="s">
        <v>1095</v>
      </c>
      <c r="B5" s="1799"/>
      <c r="C5" s="1799"/>
      <c r="D5" s="1799"/>
      <c r="E5" s="1799"/>
      <c r="F5" s="1799"/>
      <c r="G5" s="1799"/>
      <c r="H5" s="1799"/>
      <c r="I5" s="1799"/>
      <c r="J5" s="1799"/>
      <c r="K5" s="1799"/>
      <c r="L5" s="1799"/>
      <c r="M5" s="1799"/>
      <c r="N5" s="1799"/>
      <c r="O5" s="1799"/>
      <c r="P5" s="1799"/>
      <c r="Q5" s="1799"/>
      <c r="R5" s="1799"/>
      <c r="S5" s="1799"/>
      <c r="T5" s="1799"/>
      <c r="U5" s="1799"/>
      <c r="V5" s="1799"/>
      <c r="W5" s="1799"/>
      <c r="X5" s="1799"/>
      <c r="Y5" s="1553"/>
      <c r="Z5" s="184"/>
    </row>
    <row r="6" spans="1:26" x14ac:dyDescent="0.2">
      <c r="A6" s="1799" t="s">
        <v>1096</v>
      </c>
      <c r="B6" s="1799"/>
      <c r="C6" s="1799"/>
      <c r="D6" s="1799"/>
      <c r="E6" s="1799"/>
      <c r="F6" s="1799"/>
      <c r="G6" s="1799"/>
      <c r="H6" s="1799"/>
      <c r="I6" s="1799"/>
      <c r="J6" s="1799"/>
      <c r="K6" s="1799"/>
      <c r="L6" s="1799"/>
      <c r="M6" s="1799"/>
      <c r="N6" s="1799"/>
      <c r="O6" s="1799"/>
      <c r="P6" s="1799"/>
      <c r="Q6" s="1799"/>
      <c r="R6" s="1799"/>
      <c r="S6" s="1799"/>
      <c r="T6" s="1799"/>
      <c r="U6" s="1799"/>
      <c r="V6" s="1799"/>
      <c r="W6" s="1799"/>
      <c r="X6" s="1799"/>
      <c r="Y6" s="1553"/>
      <c r="Z6" s="184"/>
    </row>
    <row r="7" spans="1:26" hidden="1" x14ac:dyDescent="0.2">
      <c r="A7" s="1799"/>
      <c r="B7" s="1799"/>
      <c r="C7" s="1799"/>
      <c r="D7" s="1799"/>
      <c r="E7" s="1799"/>
      <c r="F7" s="1799"/>
      <c r="G7" s="1799"/>
      <c r="H7" s="1799"/>
      <c r="I7" s="1799"/>
      <c r="J7" s="1799"/>
      <c r="K7" s="1799"/>
      <c r="L7" s="1799"/>
      <c r="M7" s="1799"/>
      <c r="N7" s="1799"/>
      <c r="O7" s="1799"/>
      <c r="P7" s="1799"/>
      <c r="Q7" s="1799"/>
      <c r="R7" s="1799"/>
      <c r="S7" s="1799"/>
      <c r="T7" s="1799"/>
      <c r="U7" s="1799"/>
      <c r="V7" s="1799"/>
      <c r="W7" s="1799"/>
      <c r="X7" s="184"/>
      <c r="Y7" s="184"/>
    </row>
    <row r="8" spans="1:26" x14ac:dyDescent="0.2">
      <c r="A8" s="1799"/>
      <c r="B8" s="1799"/>
      <c r="C8" s="1799"/>
      <c r="D8" s="1799"/>
      <c r="E8" s="1799"/>
      <c r="F8" s="1799"/>
      <c r="G8" s="1799"/>
      <c r="H8" s="1799"/>
      <c r="I8" s="1799"/>
      <c r="J8" s="1799"/>
      <c r="K8" s="1799"/>
      <c r="L8" s="1799"/>
      <c r="M8" s="1799"/>
      <c r="N8" s="1799"/>
      <c r="O8" s="1799"/>
      <c r="P8" s="1799"/>
      <c r="Q8" s="1799"/>
      <c r="R8" s="1799"/>
      <c r="S8" s="1799"/>
      <c r="T8" s="1799"/>
      <c r="U8" s="1799"/>
      <c r="V8" s="1799"/>
      <c r="W8" s="1799"/>
    </row>
    <row r="9" spans="1:26" ht="14.25" customHeight="1" x14ac:dyDescent="0.2">
      <c r="A9" s="183" t="s">
        <v>417</v>
      </c>
      <c r="B9" s="175"/>
      <c r="C9" s="175"/>
      <c r="D9" s="175"/>
      <c r="E9" s="182"/>
      <c r="F9" s="181"/>
      <c r="G9" s="175"/>
      <c r="H9" s="175"/>
      <c r="I9" s="175"/>
      <c r="J9" s="175"/>
      <c r="K9" s="175"/>
      <c r="L9" s="174"/>
      <c r="M9" s="180" t="s">
        <v>418</v>
      </c>
      <c r="N9" s="179"/>
      <c r="O9" s="178"/>
      <c r="P9" s="178"/>
      <c r="Q9" s="178"/>
      <c r="R9" s="178"/>
      <c r="S9" s="178"/>
      <c r="T9" s="178"/>
      <c r="U9" s="178"/>
      <c r="V9" s="178"/>
      <c r="W9" s="178"/>
      <c r="X9" s="156"/>
      <c r="Y9" s="178"/>
    </row>
    <row r="10" spans="1:26" ht="14.25" customHeight="1" x14ac:dyDescent="0.2">
      <c r="A10" s="173" t="s">
        <v>1097</v>
      </c>
      <c r="B10" s="34"/>
      <c r="C10" s="34"/>
      <c r="D10" s="34"/>
      <c r="E10" s="172"/>
      <c r="F10" s="38"/>
      <c r="G10" s="34"/>
      <c r="H10" s="34"/>
      <c r="I10" s="34"/>
      <c r="J10" s="34"/>
      <c r="K10" s="34"/>
      <c r="L10" s="34"/>
      <c r="M10" s="177" t="s">
        <v>421</v>
      </c>
      <c r="N10" s="176"/>
      <c r="O10" s="175"/>
      <c r="P10" s="175" t="s">
        <v>422</v>
      </c>
      <c r="Q10" s="175"/>
      <c r="R10" s="175"/>
      <c r="S10" s="175"/>
      <c r="T10" s="175"/>
      <c r="U10" s="175"/>
      <c r="V10" s="175"/>
      <c r="W10" s="174"/>
      <c r="X10" s="174"/>
      <c r="Y10" s="161"/>
    </row>
    <row r="11" spans="1:26" ht="14.25" customHeight="1" x14ac:dyDescent="0.2">
      <c r="A11" s="173"/>
      <c r="B11" s="34"/>
      <c r="C11" s="34"/>
      <c r="D11" s="34"/>
      <c r="E11" s="172"/>
      <c r="F11" s="38"/>
      <c r="G11" s="34"/>
      <c r="H11" s="34"/>
      <c r="I11" s="34"/>
      <c r="J11" s="34"/>
      <c r="K11" s="34"/>
      <c r="L11" s="34"/>
      <c r="M11" s="166"/>
      <c r="N11" s="171" t="s">
        <v>423</v>
      </c>
      <c r="O11" s="171"/>
      <c r="P11" s="34" t="s">
        <v>535</v>
      </c>
      <c r="Q11" s="171" t="s">
        <v>424</v>
      </c>
      <c r="R11" s="171"/>
      <c r="S11" s="34"/>
      <c r="T11" s="34"/>
      <c r="U11" s="34"/>
      <c r="V11" s="34"/>
      <c r="W11" s="170"/>
      <c r="X11" s="170"/>
      <c r="Y11" s="161"/>
    </row>
    <row r="12" spans="1:26" ht="14.25" customHeight="1" x14ac:dyDescent="0.2">
      <c r="A12" s="173"/>
      <c r="B12" s="34"/>
      <c r="C12" s="34"/>
      <c r="D12" s="34"/>
      <c r="E12" s="172"/>
      <c r="F12" s="38"/>
      <c r="G12" s="34"/>
      <c r="H12" s="34"/>
      <c r="I12" s="34"/>
      <c r="J12" s="34"/>
      <c r="K12" s="34"/>
      <c r="L12" s="34"/>
      <c r="M12" s="166"/>
      <c r="N12" s="171" t="s">
        <v>426</v>
      </c>
      <c r="O12" s="171"/>
      <c r="P12" s="171"/>
      <c r="Q12" s="171" t="s">
        <v>427</v>
      </c>
      <c r="R12" s="171"/>
      <c r="S12" s="34"/>
      <c r="T12" s="34"/>
      <c r="U12" s="34"/>
      <c r="V12" s="34"/>
      <c r="W12" s="170"/>
      <c r="X12" s="170"/>
      <c r="Y12" s="161"/>
    </row>
    <row r="13" spans="1:26" ht="14.25" customHeight="1" x14ac:dyDescent="0.2">
      <c r="A13" s="169"/>
      <c r="B13" s="163"/>
      <c r="C13" s="163"/>
      <c r="D13" s="163"/>
      <c r="E13" s="168"/>
      <c r="F13" s="167"/>
      <c r="G13" s="163"/>
      <c r="H13" s="163"/>
      <c r="I13" s="163"/>
      <c r="J13" s="163"/>
      <c r="K13" s="163"/>
      <c r="L13" s="163"/>
      <c r="M13" s="166" t="s">
        <v>425</v>
      </c>
      <c r="N13" s="164" t="s">
        <v>428</v>
      </c>
      <c r="O13" s="164"/>
      <c r="P13" s="165" t="s">
        <v>425</v>
      </c>
      <c r="Q13" s="164" t="s">
        <v>429</v>
      </c>
      <c r="R13" s="164"/>
      <c r="S13" s="163"/>
      <c r="T13" s="163"/>
      <c r="U13" s="163"/>
      <c r="V13" s="163"/>
      <c r="W13" s="162"/>
      <c r="X13" s="162"/>
      <c r="Y13" s="161"/>
    </row>
    <row r="14" spans="1:26" ht="15.75" customHeight="1" x14ac:dyDescent="0.2">
      <c r="A14" s="160" t="s">
        <v>430</v>
      </c>
      <c r="B14" s="156"/>
      <c r="C14" s="156"/>
      <c r="D14" s="156"/>
      <c r="E14" s="159"/>
      <c r="F14" s="158"/>
      <c r="G14" s="156"/>
      <c r="H14" s="156"/>
      <c r="I14" s="156"/>
      <c r="J14" s="156"/>
      <c r="K14" s="156"/>
      <c r="L14" s="156"/>
      <c r="M14" s="156"/>
      <c r="N14" s="157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</row>
    <row r="15" spans="1:26" ht="15.75" customHeight="1" x14ac:dyDescent="0.2">
      <c r="A15" s="1812" t="s">
        <v>431</v>
      </c>
      <c r="B15" s="1813" t="s">
        <v>432</v>
      </c>
      <c r="C15" s="1814" t="s">
        <v>1098</v>
      </c>
      <c r="D15" s="1814" t="s">
        <v>1099</v>
      </c>
      <c r="E15" s="1815" t="s">
        <v>434</v>
      </c>
      <c r="F15" s="1816" t="s">
        <v>435</v>
      </c>
      <c r="G15" s="1819" t="s">
        <v>436</v>
      </c>
      <c r="H15" s="1812" t="s">
        <v>1100</v>
      </c>
      <c r="I15" s="1812"/>
      <c r="J15" s="1812"/>
      <c r="K15" s="1813" t="s">
        <v>438</v>
      </c>
      <c r="L15" s="1813"/>
      <c r="M15" s="1812" t="s">
        <v>439</v>
      </c>
      <c r="N15" s="155"/>
      <c r="O15" s="1813" t="s">
        <v>440</v>
      </c>
      <c r="P15" s="1813"/>
      <c r="Q15" s="1813"/>
      <c r="R15" s="1813"/>
      <c r="S15" s="1813"/>
      <c r="T15" s="1813"/>
      <c r="U15" s="1813"/>
      <c r="V15" s="1813"/>
      <c r="W15" s="1813"/>
      <c r="X15" s="1813"/>
      <c r="Y15" s="1559"/>
    </row>
    <row r="16" spans="1:26" ht="14.25" customHeight="1" x14ac:dyDescent="0.2">
      <c r="A16" s="1812"/>
      <c r="B16" s="1813"/>
      <c r="C16" s="1814"/>
      <c r="D16" s="1814"/>
      <c r="E16" s="1815"/>
      <c r="F16" s="1816"/>
      <c r="G16" s="1819"/>
      <c r="H16" s="1812"/>
      <c r="I16" s="1812"/>
      <c r="J16" s="1812"/>
      <c r="K16" s="1812" t="s">
        <v>441</v>
      </c>
      <c r="L16" s="1812" t="s">
        <v>442</v>
      </c>
      <c r="M16" s="1812"/>
      <c r="N16" s="155"/>
      <c r="O16" s="1817" t="s">
        <v>443</v>
      </c>
      <c r="P16" s="1817"/>
      <c r="Q16" s="1817"/>
      <c r="R16" s="154"/>
      <c r="S16" s="1817" t="s">
        <v>444</v>
      </c>
      <c r="T16" s="1817"/>
      <c r="U16" s="1817"/>
      <c r="V16" s="1817"/>
      <c r="W16" s="1817"/>
      <c r="X16" s="153"/>
      <c r="Y16" s="1559"/>
    </row>
    <row r="17" spans="1:26" ht="14.25" customHeight="1" x14ac:dyDescent="0.2">
      <c r="A17" s="1812"/>
      <c r="B17" s="1813"/>
      <c r="C17" s="1814"/>
      <c r="D17" s="1814"/>
      <c r="E17" s="1815"/>
      <c r="F17" s="1816"/>
      <c r="G17" s="1819"/>
      <c r="H17" s="1812"/>
      <c r="I17" s="1812"/>
      <c r="J17" s="1812"/>
      <c r="K17" s="1812"/>
      <c r="L17" s="1812"/>
      <c r="M17" s="1812"/>
      <c r="N17" s="1818" t="s">
        <v>1101</v>
      </c>
      <c r="O17" s="1817" t="s">
        <v>1102</v>
      </c>
      <c r="P17" s="1817"/>
      <c r="Q17" s="1817"/>
      <c r="R17" s="1817" t="s">
        <v>1103</v>
      </c>
      <c r="S17" s="1817"/>
      <c r="T17" s="1817"/>
      <c r="U17" s="152"/>
      <c r="V17" s="1817" t="s">
        <v>1102</v>
      </c>
      <c r="W17" s="1817"/>
      <c r="X17" s="1817"/>
      <c r="Y17" s="1559"/>
    </row>
    <row r="18" spans="1:26" ht="56.25" customHeight="1" x14ac:dyDescent="0.2">
      <c r="A18" s="1812"/>
      <c r="B18" s="1813"/>
      <c r="C18" s="1814"/>
      <c r="D18" s="1814"/>
      <c r="E18" s="1815"/>
      <c r="F18" s="1816"/>
      <c r="G18" s="1819"/>
      <c r="H18" s="1560" t="s">
        <v>448</v>
      </c>
      <c r="I18" s="1560" t="s">
        <v>449</v>
      </c>
      <c r="J18" s="1558" t="s">
        <v>447</v>
      </c>
      <c r="K18" s="1812"/>
      <c r="L18" s="1812"/>
      <c r="M18" s="1812"/>
      <c r="N18" s="1818"/>
      <c r="O18" s="1560" t="s">
        <v>868</v>
      </c>
      <c r="P18" s="1560" t="s">
        <v>1104</v>
      </c>
      <c r="Q18" s="1562" t="s">
        <v>447</v>
      </c>
      <c r="R18" s="1562" t="s">
        <v>1105</v>
      </c>
      <c r="S18" s="1562" t="s">
        <v>449</v>
      </c>
      <c r="T18" s="1560" t="s">
        <v>447</v>
      </c>
      <c r="U18" s="1560" t="s">
        <v>453</v>
      </c>
      <c r="V18" s="1560" t="s">
        <v>868</v>
      </c>
      <c r="W18" s="1560" t="s">
        <v>449</v>
      </c>
      <c r="X18" s="1559" t="s">
        <v>447</v>
      </c>
      <c r="Y18" s="1559" t="s">
        <v>937</v>
      </c>
    </row>
    <row r="19" spans="1:26" x14ac:dyDescent="0.2">
      <c r="A19" s="150" t="s">
        <v>1106</v>
      </c>
      <c r="B19" s="150" t="s">
        <v>1107</v>
      </c>
      <c r="C19" s="150" t="s">
        <v>1108</v>
      </c>
      <c r="D19" s="150" t="s">
        <v>1109</v>
      </c>
      <c r="E19" s="150" t="s">
        <v>1110</v>
      </c>
      <c r="F19" s="150" t="s">
        <v>1111</v>
      </c>
      <c r="G19" s="150" t="s">
        <v>1112</v>
      </c>
      <c r="H19" s="150" t="s">
        <v>1113</v>
      </c>
      <c r="I19" s="150" t="s">
        <v>1114</v>
      </c>
      <c r="J19" s="150" t="s">
        <v>1115</v>
      </c>
      <c r="K19" s="150" t="s">
        <v>1116</v>
      </c>
      <c r="L19" s="150" t="s">
        <v>1086</v>
      </c>
      <c r="M19" s="150" t="s">
        <v>1117</v>
      </c>
      <c r="N19" s="151" t="s">
        <v>1118</v>
      </c>
      <c r="O19" s="150" t="s">
        <v>1119</v>
      </c>
      <c r="P19" s="150" t="s">
        <v>1082</v>
      </c>
      <c r="Q19" s="150" t="s">
        <v>1120</v>
      </c>
      <c r="R19" s="150" t="s">
        <v>1121</v>
      </c>
      <c r="S19" s="150" t="s">
        <v>1122</v>
      </c>
      <c r="T19" s="150" t="s">
        <v>1123</v>
      </c>
      <c r="U19" s="150" t="s">
        <v>1124</v>
      </c>
      <c r="V19" s="150" t="s">
        <v>1125</v>
      </c>
      <c r="W19" s="150" t="s">
        <v>1126</v>
      </c>
      <c r="X19" s="150" t="s">
        <v>1127</v>
      </c>
      <c r="Y19" s="150" t="s">
        <v>1128</v>
      </c>
    </row>
    <row r="20" spans="1:26" s="111" customFormat="1" ht="26.25" customHeight="1" x14ac:dyDescent="0.25">
      <c r="A20" s="147"/>
      <c r="B20" s="149" t="s">
        <v>470</v>
      </c>
      <c r="C20" s="147"/>
      <c r="D20" s="147"/>
      <c r="E20" s="148">
        <f>E21</f>
        <v>176</v>
      </c>
      <c r="F20" s="144">
        <f>F21</f>
        <v>0</v>
      </c>
      <c r="G20" s="147"/>
      <c r="H20" s="146">
        <f>H21</f>
        <v>15.5</v>
      </c>
      <c r="I20" s="146">
        <f>I21</f>
        <v>866.04000000000008</v>
      </c>
      <c r="J20" s="146"/>
      <c r="K20" s="146">
        <f>K21</f>
        <v>0</v>
      </c>
      <c r="L20" s="144">
        <f>L21</f>
        <v>0</v>
      </c>
      <c r="M20" s="144"/>
      <c r="N20" s="145"/>
      <c r="O20" s="144"/>
      <c r="P20" s="144"/>
      <c r="Q20" s="144"/>
      <c r="R20" s="144"/>
      <c r="S20" s="143">
        <f>S21</f>
        <v>538.1925</v>
      </c>
      <c r="T20" s="143"/>
      <c r="U20" s="143"/>
      <c r="V20" s="143"/>
      <c r="W20" s="143">
        <f>W21</f>
        <v>8683020</v>
      </c>
      <c r="X20" s="143">
        <f>X21</f>
        <v>8683020</v>
      </c>
      <c r="Y20" s="143">
        <f>Y21</f>
        <v>9962550</v>
      </c>
    </row>
    <row r="21" spans="1:26" s="111" customFormat="1" ht="26.25" customHeight="1" x14ac:dyDescent="0.25">
      <c r="A21" s="142"/>
      <c r="B21" s="141" t="s">
        <v>478</v>
      </c>
      <c r="C21" s="140"/>
      <c r="D21" s="140"/>
      <c r="E21" s="139">
        <f>SUM(E22+E26+E52)</f>
        <v>176</v>
      </c>
      <c r="F21" s="137"/>
      <c r="G21" s="138"/>
      <c r="H21" s="133">
        <f>H22+H24+H26+H28+H32+H34+H36+H38+H41+H45+H49+H52</f>
        <v>15.5</v>
      </c>
      <c r="I21" s="133">
        <f>I22+I24+I26+I28+I32+I34+I36+I38+I41+I45+I49+I52</f>
        <v>866.04000000000008</v>
      </c>
      <c r="J21" s="133">
        <f>J22+J24+J26+J28+J32+J34+J36+J38+J41+J45+J49+J52</f>
        <v>881.54</v>
      </c>
      <c r="K21" s="133"/>
      <c r="L21" s="137"/>
      <c r="M21" s="136"/>
      <c r="N21" s="135"/>
      <c r="O21" s="133">
        <f t="shared" ref="O21:T21" si="0">O22+O24+O26+O28+O32+O34+O36+O38+O41+O45+O49+O52</f>
        <v>418500</v>
      </c>
      <c r="P21" s="133">
        <f t="shared" si="0"/>
        <v>861030</v>
      </c>
      <c r="Q21" s="133">
        <f t="shared" si="0"/>
        <v>1279530</v>
      </c>
      <c r="R21" s="133">
        <f t="shared" si="0"/>
        <v>0</v>
      </c>
      <c r="S21" s="133">
        <f t="shared" si="0"/>
        <v>538.1925</v>
      </c>
      <c r="T21" s="133">
        <f t="shared" si="0"/>
        <v>538.1925</v>
      </c>
      <c r="U21" s="134"/>
      <c r="V21" s="133"/>
      <c r="W21" s="133">
        <f>W22+W24+W26+W28+W32+W34+W36+W38+W41+W45+W49+W52</f>
        <v>8683020</v>
      </c>
      <c r="X21" s="133">
        <f>X22+X24+X26+X28+X32+X34+X36+X38+X41+X45+X49+X52</f>
        <v>8683020</v>
      </c>
      <c r="Y21" s="133">
        <f>Y22+Y24+Y26+Y28+Y32+Y34+Y36+Y38+Y41+Y45+Y49+Y52</f>
        <v>9962550</v>
      </c>
    </row>
    <row r="22" spans="1:26" s="77" customFormat="1" ht="32.25" customHeight="1" x14ac:dyDescent="0.25">
      <c r="A22" s="82"/>
      <c r="B22" s="86" t="s">
        <v>616</v>
      </c>
      <c r="C22" s="85"/>
      <c r="D22" s="85"/>
      <c r="E22" s="84">
        <f>SUM(E23)</f>
        <v>15</v>
      </c>
      <c r="F22" s="83"/>
      <c r="G22" s="82"/>
      <c r="H22" s="78">
        <f>SUM(H23)</f>
        <v>0</v>
      </c>
      <c r="I22" s="78">
        <f>SUM(I23)</f>
        <v>15</v>
      </c>
      <c r="J22" s="78">
        <f>SUM(H22+I22)</f>
        <v>15</v>
      </c>
      <c r="K22" s="81"/>
      <c r="L22" s="78"/>
      <c r="M22" s="80"/>
      <c r="N22" s="69"/>
      <c r="O22" s="79"/>
      <c r="P22" s="79"/>
      <c r="Q22" s="78"/>
      <c r="R22" s="78"/>
      <c r="S22" s="78">
        <f>SUM(S23)</f>
        <v>11.25</v>
      </c>
      <c r="T22" s="78">
        <f>SUM(T23)</f>
        <v>11.25</v>
      </c>
      <c r="U22" s="47"/>
      <c r="V22" s="47"/>
      <c r="W22" s="78">
        <f>SUM(W23)</f>
        <v>185625</v>
      </c>
      <c r="X22" s="78">
        <f>SUM(X23)</f>
        <v>185625</v>
      </c>
      <c r="Y22" s="78">
        <f>SUM(Y23)</f>
        <v>185625</v>
      </c>
    </row>
    <row r="23" spans="1:26" s="58" customFormat="1" ht="32.25" customHeight="1" x14ac:dyDescent="0.25">
      <c r="A23" s="76"/>
      <c r="B23" s="76"/>
      <c r="C23" s="56" t="s">
        <v>713</v>
      </c>
      <c r="D23" s="1556"/>
      <c r="E23" s="1557">
        <v>15</v>
      </c>
      <c r="F23" s="1555">
        <v>2115</v>
      </c>
      <c r="G23" s="76" t="s">
        <v>474</v>
      </c>
      <c r="H23" s="75"/>
      <c r="I23" s="74">
        <v>15</v>
      </c>
      <c r="J23" s="54">
        <f>SUM(H23+I23)</f>
        <v>15</v>
      </c>
      <c r="K23" s="121">
        <v>5</v>
      </c>
      <c r="L23" s="52">
        <f>K23-(K23*M23)</f>
        <v>4.25</v>
      </c>
      <c r="M23" s="73">
        <v>0.15</v>
      </c>
      <c r="N23" s="71"/>
      <c r="O23" s="72"/>
      <c r="P23" s="1561"/>
      <c r="Q23" s="70"/>
      <c r="R23" s="70"/>
      <c r="S23" s="45">
        <f>I23*K23*M23</f>
        <v>11.25</v>
      </c>
      <c r="T23" s="69">
        <f>SUM(R23+S23)</f>
        <v>11.25</v>
      </c>
      <c r="U23" s="68">
        <v>16.5</v>
      </c>
      <c r="V23" s="68"/>
      <c r="W23" s="67">
        <f>S23*1000*U23</f>
        <v>185625</v>
      </c>
      <c r="X23" s="44">
        <f>SUM(W23+V23)</f>
        <v>185625</v>
      </c>
      <c r="Y23" s="44">
        <f>SUM(X23+Q23)</f>
        <v>185625</v>
      </c>
      <c r="Z23" s="59"/>
    </row>
    <row r="24" spans="1:26" s="58" customFormat="1" ht="32.25" customHeight="1" x14ac:dyDescent="0.25">
      <c r="A24" s="76"/>
      <c r="B24" s="86" t="s">
        <v>613</v>
      </c>
      <c r="C24" s="56"/>
      <c r="D24" s="1556"/>
      <c r="E24" s="132">
        <f>SUM(E25)</f>
        <v>45</v>
      </c>
      <c r="F24" s="131"/>
      <c r="G24" s="76"/>
      <c r="H24" s="130">
        <f>SUM(H25)</f>
        <v>0</v>
      </c>
      <c r="I24" s="130">
        <f>SUM(I25)</f>
        <v>46</v>
      </c>
      <c r="J24" s="130">
        <f>SUM(J25)</f>
        <v>46</v>
      </c>
      <c r="K24" s="121"/>
      <c r="L24" s="52"/>
      <c r="M24" s="73"/>
      <c r="N24" s="71"/>
      <c r="O24" s="72"/>
      <c r="P24" s="1561"/>
      <c r="Q24" s="70"/>
      <c r="R24" s="130">
        <f>SUM(R25)</f>
        <v>0</v>
      </c>
      <c r="S24" s="130">
        <f>SUM(S25)</f>
        <v>34.5</v>
      </c>
      <c r="T24" s="130">
        <f>SUM(T25)</f>
        <v>34.5</v>
      </c>
      <c r="U24" s="68"/>
      <c r="V24" s="68"/>
      <c r="W24" s="130">
        <f>SUM(W25)</f>
        <v>569250</v>
      </c>
      <c r="X24" s="130">
        <f>SUM(X25)</f>
        <v>569250</v>
      </c>
      <c r="Y24" s="130">
        <f>SUM(Y25)</f>
        <v>569250</v>
      </c>
      <c r="Z24" s="59"/>
    </row>
    <row r="25" spans="1:26" s="58" customFormat="1" ht="32.25" customHeight="1" x14ac:dyDescent="0.25">
      <c r="A25" s="76"/>
      <c r="B25" s="56"/>
      <c r="C25" s="56" t="s">
        <v>713</v>
      </c>
      <c r="D25" s="56"/>
      <c r="E25" s="56">
        <v>45</v>
      </c>
      <c r="F25" s="1561">
        <v>1698</v>
      </c>
      <c r="G25" s="56" t="s">
        <v>474</v>
      </c>
      <c r="H25" s="53"/>
      <c r="I25" s="46">
        <v>46</v>
      </c>
      <c r="J25" s="54">
        <f>SUM(H25+I25)</f>
        <v>46</v>
      </c>
      <c r="K25" s="53">
        <v>5</v>
      </c>
      <c r="L25" s="52">
        <f>K25-(K25*M25)</f>
        <v>4.25</v>
      </c>
      <c r="M25" s="51">
        <v>0.15</v>
      </c>
      <c r="N25" s="50"/>
      <c r="O25" s="48"/>
      <c r="P25" s="49"/>
      <c r="Q25" s="48"/>
      <c r="R25" s="48"/>
      <c r="S25" s="45">
        <f>I25*K25*M25</f>
        <v>34.5</v>
      </c>
      <c r="T25" s="69">
        <f>SUM(R25+S25)</f>
        <v>34.5</v>
      </c>
      <c r="U25" s="46">
        <v>16.5</v>
      </c>
      <c r="V25" s="46"/>
      <c r="W25" s="45">
        <f>S25*1000*U25</f>
        <v>569250</v>
      </c>
      <c r="X25" s="44">
        <f>SUM(W25+V25)</f>
        <v>569250</v>
      </c>
      <c r="Y25" s="44">
        <f>SUM(X25+Q25)</f>
        <v>569250</v>
      </c>
      <c r="Z25" s="59"/>
    </row>
    <row r="26" spans="1:26" s="58" customFormat="1" ht="32.25" customHeight="1" x14ac:dyDescent="0.25">
      <c r="A26" s="76"/>
      <c r="B26" s="65" t="s">
        <v>488</v>
      </c>
      <c r="C26" s="56"/>
      <c r="D26" s="1556"/>
      <c r="E26" s="123">
        <f>SUM(E27)</f>
        <v>16</v>
      </c>
      <c r="F26" s="1555"/>
      <c r="G26" s="1556"/>
      <c r="H26" s="122"/>
      <c r="I26" s="122">
        <f>SUM(I27)</f>
        <v>15</v>
      </c>
      <c r="J26" s="122">
        <f>SUM(J27)</f>
        <v>15</v>
      </c>
      <c r="K26" s="53"/>
      <c r="L26" s="129"/>
      <c r="M26" s="73"/>
      <c r="N26" s="71"/>
      <c r="O26" s="122"/>
      <c r="P26" s="122">
        <f>SUM(P27)</f>
        <v>60750</v>
      </c>
      <c r="Q26" s="122">
        <f>SUM(Q27)</f>
        <v>60750</v>
      </c>
      <c r="R26" s="128"/>
      <c r="S26" s="127"/>
      <c r="T26" s="47"/>
      <c r="U26" s="46"/>
      <c r="V26" s="68"/>
      <c r="W26" s="127"/>
      <c r="X26" s="127"/>
      <c r="Y26" s="119">
        <f>SUM(Y27)</f>
        <v>60750</v>
      </c>
      <c r="Z26" s="59"/>
    </row>
    <row r="27" spans="1:26" s="58" customFormat="1" ht="32.25" customHeight="1" x14ac:dyDescent="0.25">
      <c r="A27" s="66"/>
      <c r="B27" s="56"/>
      <c r="C27" s="56" t="s">
        <v>713</v>
      </c>
      <c r="D27" s="1556"/>
      <c r="E27" s="126">
        <v>16</v>
      </c>
      <c r="F27" s="1555">
        <v>75</v>
      </c>
      <c r="G27" s="76" t="s">
        <v>539</v>
      </c>
      <c r="H27" s="121"/>
      <c r="I27" s="125">
        <v>15</v>
      </c>
      <c r="J27" s="54">
        <f>SUM(H27+I27)</f>
        <v>15</v>
      </c>
      <c r="K27" s="121">
        <v>5</v>
      </c>
      <c r="L27" s="52">
        <f>K27-(K27*M27)</f>
        <v>4.25</v>
      </c>
      <c r="M27" s="73">
        <v>0.15</v>
      </c>
      <c r="N27" s="71">
        <v>27000</v>
      </c>
      <c r="O27" s="72"/>
      <c r="P27" s="1561">
        <f>SUM(N27*M27*I27)</f>
        <v>60750</v>
      </c>
      <c r="Q27" s="70">
        <f>SUM(O27+P27)</f>
        <v>60750</v>
      </c>
      <c r="R27" s="70"/>
      <c r="S27" s="45"/>
      <c r="T27" s="47"/>
      <c r="U27" s="120"/>
      <c r="V27" s="124"/>
      <c r="W27" s="67"/>
      <c r="X27" s="44"/>
      <c r="Y27" s="44">
        <f>SUM(X27+Q27)</f>
        <v>60750</v>
      </c>
      <c r="Z27" s="59"/>
    </row>
    <row r="28" spans="1:26" s="58" customFormat="1" ht="32.25" customHeight="1" x14ac:dyDescent="0.25">
      <c r="A28" s="66"/>
      <c r="B28" s="65" t="s">
        <v>624</v>
      </c>
      <c r="C28" s="56"/>
      <c r="D28" s="1556"/>
      <c r="E28" s="123">
        <f>SUM(E29)</f>
        <v>90</v>
      </c>
      <c r="F28" s="1555"/>
      <c r="G28" s="76"/>
      <c r="H28" s="122">
        <f>SUM(H29:H31)</f>
        <v>15.5</v>
      </c>
      <c r="I28" s="122">
        <f>SUM(I29:I31)</f>
        <v>82.05</v>
      </c>
      <c r="J28" s="122">
        <f>SUM(J29:J31)</f>
        <v>97.55</v>
      </c>
      <c r="K28" s="121"/>
      <c r="L28" s="52"/>
      <c r="M28" s="73"/>
      <c r="N28" s="119">
        <f t="shared" ref="N28:T28" si="1">SUM(N29:N31)</f>
        <v>54000</v>
      </c>
      <c r="O28" s="119">
        <f t="shared" si="1"/>
        <v>418500</v>
      </c>
      <c r="P28" s="119">
        <f t="shared" si="1"/>
        <v>327240</v>
      </c>
      <c r="Q28" s="119">
        <f t="shared" si="1"/>
        <v>745740</v>
      </c>
      <c r="R28" s="119">
        <f t="shared" si="1"/>
        <v>0</v>
      </c>
      <c r="S28" s="119">
        <f t="shared" si="1"/>
        <v>2.8125</v>
      </c>
      <c r="T28" s="119">
        <f t="shared" si="1"/>
        <v>2.8125</v>
      </c>
      <c r="U28" s="120"/>
      <c r="V28" s="119">
        <f>SUM(V29:V31)</f>
        <v>0</v>
      </c>
      <c r="W28" s="119">
        <f>SUM(W29:W31)</f>
        <v>45000</v>
      </c>
      <c r="X28" s="119">
        <f>SUM(X29:X31)</f>
        <v>45000</v>
      </c>
      <c r="Y28" s="119">
        <f>SUM(Y29:Y31)</f>
        <v>790740</v>
      </c>
      <c r="Z28" s="59"/>
    </row>
    <row r="29" spans="1:26" s="58" customFormat="1" ht="32.25" customHeight="1" x14ac:dyDescent="0.25">
      <c r="A29" s="66"/>
      <c r="B29" s="56"/>
      <c r="C29" s="56" t="s">
        <v>713</v>
      </c>
      <c r="D29" s="56"/>
      <c r="E29" s="1803">
        <v>90</v>
      </c>
      <c r="F29" s="1801">
        <v>4666</v>
      </c>
      <c r="G29" s="56" t="s">
        <v>586</v>
      </c>
      <c r="H29" s="53"/>
      <c r="I29" s="53">
        <v>1.25</v>
      </c>
      <c r="J29" s="54">
        <f>SUM(H29+I29)</f>
        <v>1.25</v>
      </c>
      <c r="K29" s="53">
        <v>5</v>
      </c>
      <c r="L29" s="52">
        <f>K29-(K29*M29)</f>
        <v>2.75</v>
      </c>
      <c r="M29" s="51">
        <v>0.45</v>
      </c>
      <c r="N29" s="50"/>
      <c r="O29" s="63"/>
      <c r="P29" s="62"/>
      <c r="Q29" s="49"/>
      <c r="R29" s="49"/>
      <c r="S29" s="45">
        <f>I29*K29*M29</f>
        <v>2.8125</v>
      </c>
      <c r="T29" s="47">
        <f>SUM(R29+S29)</f>
        <v>2.8125</v>
      </c>
      <c r="U29" s="46">
        <v>16</v>
      </c>
      <c r="V29" s="46"/>
      <c r="W29" s="45">
        <f>S29*1000*U29</f>
        <v>45000</v>
      </c>
      <c r="X29" s="44">
        <f>SUM(W29+V29)</f>
        <v>45000</v>
      </c>
      <c r="Y29" s="44">
        <f>SUM(X29+Q29)</f>
        <v>45000</v>
      </c>
      <c r="Z29" s="59"/>
    </row>
    <row r="30" spans="1:26" s="58" customFormat="1" ht="32.25" customHeight="1" x14ac:dyDescent="0.25">
      <c r="A30" s="66"/>
      <c r="B30" s="56"/>
      <c r="C30" s="56" t="s">
        <v>716</v>
      </c>
      <c r="D30" s="56"/>
      <c r="E30" s="1804"/>
      <c r="F30" s="1806"/>
      <c r="G30" s="56" t="s">
        <v>521</v>
      </c>
      <c r="H30" s="53">
        <v>15.5</v>
      </c>
      <c r="I30" s="53"/>
      <c r="J30" s="54">
        <f>SUM(H30+I30)</f>
        <v>15.5</v>
      </c>
      <c r="K30" s="53">
        <v>5</v>
      </c>
      <c r="L30" s="52"/>
      <c r="M30" s="51">
        <v>1</v>
      </c>
      <c r="N30" s="71">
        <v>27000</v>
      </c>
      <c r="O30" s="63">
        <f>SUM(N30*H30*M30)</f>
        <v>418500</v>
      </c>
      <c r="P30" s="1561"/>
      <c r="Q30" s="70">
        <f>SUM(O30+P30)</f>
        <v>418500</v>
      </c>
      <c r="R30" s="49"/>
      <c r="S30" s="45"/>
      <c r="T30" s="47"/>
      <c r="U30" s="46"/>
      <c r="V30" s="46"/>
      <c r="W30" s="45"/>
      <c r="X30" s="44"/>
      <c r="Y30" s="44">
        <f>SUM(X30+Q30)</f>
        <v>418500</v>
      </c>
      <c r="Z30" s="59"/>
    </row>
    <row r="31" spans="1:26" s="58" customFormat="1" ht="32.25" customHeight="1" x14ac:dyDescent="0.25">
      <c r="A31" s="66"/>
      <c r="B31" s="56"/>
      <c r="C31" s="56" t="s">
        <v>716</v>
      </c>
      <c r="D31" s="56"/>
      <c r="E31" s="1805"/>
      <c r="F31" s="1802"/>
      <c r="G31" s="56" t="s">
        <v>539</v>
      </c>
      <c r="H31" s="53"/>
      <c r="I31" s="53">
        <v>80.8</v>
      </c>
      <c r="J31" s="54">
        <f>SUM(H31+I31)</f>
        <v>80.8</v>
      </c>
      <c r="K31" s="53">
        <v>5</v>
      </c>
      <c r="L31" s="52">
        <f>K31-(K31*M31)</f>
        <v>4.25</v>
      </c>
      <c r="M31" s="51">
        <v>0.15</v>
      </c>
      <c r="N31" s="71">
        <v>27000</v>
      </c>
      <c r="O31" s="63"/>
      <c r="P31" s="1561">
        <f>SUM(N31*M31*I31)</f>
        <v>327240</v>
      </c>
      <c r="Q31" s="70">
        <f>SUM(O31+P31)</f>
        <v>327240</v>
      </c>
      <c r="R31" s="49"/>
      <c r="S31" s="45"/>
      <c r="T31" s="47"/>
      <c r="U31" s="46"/>
      <c r="V31" s="46"/>
      <c r="W31" s="45"/>
      <c r="X31" s="44"/>
      <c r="Y31" s="44">
        <f>SUM(X31+Q31)</f>
        <v>327240</v>
      </c>
      <c r="Z31" s="59"/>
    </row>
    <row r="32" spans="1:26" s="77" customFormat="1" ht="32.25" customHeight="1" x14ac:dyDescent="0.25">
      <c r="A32" s="82"/>
      <c r="B32" s="86" t="s">
        <v>476</v>
      </c>
      <c r="C32" s="85"/>
      <c r="D32" s="85"/>
      <c r="E32" s="84">
        <f>SUM(E33)</f>
        <v>70</v>
      </c>
      <c r="F32" s="83"/>
      <c r="G32" s="82"/>
      <c r="H32" s="78">
        <f>SUM(H33)</f>
        <v>0</v>
      </c>
      <c r="I32" s="78">
        <f>SUM(I33)</f>
        <v>76.5</v>
      </c>
      <c r="J32" s="78">
        <f>SUM(J33)</f>
        <v>76.5</v>
      </c>
      <c r="K32" s="81"/>
      <c r="L32" s="78"/>
      <c r="M32" s="80"/>
      <c r="N32" s="69"/>
      <c r="O32" s="79"/>
      <c r="P32" s="79"/>
      <c r="Q32" s="78"/>
      <c r="R32" s="78">
        <f>SUM(R33)</f>
        <v>0</v>
      </c>
      <c r="S32" s="78">
        <f>SUM(S33)</f>
        <v>57.375</v>
      </c>
      <c r="T32" s="78">
        <f>SUM(T33)</f>
        <v>57.375</v>
      </c>
      <c r="U32" s="47"/>
      <c r="V32" s="78">
        <f>SUM(V33)</f>
        <v>0</v>
      </c>
      <c r="W32" s="78">
        <f>SUM(W33)</f>
        <v>946687.5</v>
      </c>
      <c r="X32" s="78">
        <f>SUM(X33)</f>
        <v>946687.5</v>
      </c>
      <c r="Y32" s="81">
        <f>SUM(Y33)</f>
        <v>946687.5</v>
      </c>
    </row>
    <row r="33" spans="1:26" s="58" customFormat="1" ht="32.25" customHeight="1" x14ac:dyDescent="0.25">
      <c r="A33" s="76"/>
      <c r="B33" s="76"/>
      <c r="C33" s="56" t="s">
        <v>713</v>
      </c>
      <c r="D33" s="1556"/>
      <c r="E33" s="1557">
        <v>70</v>
      </c>
      <c r="F33" s="1555">
        <v>163</v>
      </c>
      <c r="G33" s="76" t="s">
        <v>474</v>
      </c>
      <c r="H33" s="75"/>
      <c r="I33" s="74">
        <v>76.5</v>
      </c>
      <c r="J33" s="54">
        <f>SUM(H33+I33)</f>
        <v>76.5</v>
      </c>
      <c r="K33" s="53">
        <v>5</v>
      </c>
      <c r="L33" s="52">
        <f>K33-(K33*M33)</f>
        <v>4.25</v>
      </c>
      <c r="M33" s="73">
        <v>0.15</v>
      </c>
      <c r="N33" s="71"/>
      <c r="O33" s="72"/>
      <c r="P33" s="1561"/>
      <c r="Q33" s="70"/>
      <c r="R33" s="70"/>
      <c r="S33" s="45">
        <f>I33*K33*M33</f>
        <v>57.375</v>
      </c>
      <c r="T33" s="69">
        <f>SUM(R33+S33)</f>
        <v>57.375</v>
      </c>
      <c r="U33" s="68">
        <v>16.5</v>
      </c>
      <c r="V33" s="68"/>
      <c r="W33" s="67">
        <f>S33*1000*U33</f>
        <v>946687.5</v>
      </c>
      <c r="X33" s="44">
        <f>SUM(W33+V33)</f>
        <v>946687.5</v>
      </c>
      <c r="Y33" s="44">
        <f>SUM(X33+Q33)</f>
        <v>946687.5</v>
      </c>
      <c r="Z33" s="59"/>
    </row>
    <row r="34" spans="1:26" s="77" customFormat="1" ht="32.25" customHeight="1" x14ac:dyDescent="0.25">
      <c r="A34" s="82"/>
      <c r="B34" s="86" t="s">
        <v>500</v>
      </c>
      <c r="C34" s="85"/>
      <c r="D34" s="85"/>
      <c r="E34" s="84">
        <f>SUM(E35)</f>
        <v>20</v>
      </c>
      <c r="F34" s="83"/>
      <c r="G34" s="82"/>
      <c r="H34" s="78">
        <f>SUM(H35)</f>
        <v>0</v>
      </c>
      <c r="I34" s="78">
        <f>SUM(I35)</f>
        <v>23.85</v>
      </c>
      <c r="J34" s="78">
        <f>SUM(J35)</f>
        <v>23.85</v>
      </c>
      <c r="K34" s="81"/>
      <c r="L34" s="78"/>
      <c r="M34" s="80"/>
      <c r="N34" s="69"/>
      <c r="O34" s="79"/>
      <c r="P34" s="79"/>
      <c r="Q34" s="78"/>
      <c r="R34" s="78">
        <f>SUM(R35)</f>
        <v>0</v>
      </c>
      <c r="S34" s="78">
        <f>SUM(S35)</f>
        <v>17.887499999999999</v>
      </c>
      <c r="T34" s="78">
        <f>SUM(T35)</f>
        <v>17.887499999999999</v>
      </c>
      <c r="U34" s="47"/>
      <c r="V34" s="78">
        <f>SUM(V35)</f>
        <v>0</v>
      </c>
      <c r="W34" s="78">
        <f>SUM(W35)</f>
        <v>295143.75</v>
      </c>
      <c r="X34" s="78">
        <f>SUM(X35)</f>
        <v>295143.75</v>
      </c>
      <c r="Y34" s="78">
        <f>SUM(Y35)</f>
        <v>295143.75</v>
      </c>
    </row>
    <row r="35" spans="1:26" s="58" customFormat="1" ht="32.25" customHeight="1" x14ac:dyDescent="0.25">
      <c r="A35" s="76"/>
      <c r="B35" s="76"/>
      <c r="C35" s="56" t="s">
        <v>713</v>
      </c>
      <c r="D35" s="1556"/>
      <c r="E35" s="1557">
        <v>20</v>
      </c>
      <c r="F35" s="1555">
        <v>1959</v>
      </c>
      <c r="G35" s="76" t="s">
        <v>474</v>
      </c>
      <c r="H35" s="75"/>
      <c r="I35" s="74">
        <v>23.85</v>
      </c>
      <c r="J35" s="54">
        <f>SUM(H35+I35)</f>
        <v>23.85</v>
      </c>
      <c r="K35" s="53">
        <v>5</v>
      </c>
      <c r="L35" s="52">
        <f>K35-(K35*M35)</f>
        <v>4.25</v>
      </c>
      <c r="M35" s="73">
        <v>0.15</v>
      </c>
      <c r="N35" s="71"/>
      <c r="O35" s="72"/>
      <c r="P35" s="1561"/>
      <c r="Q35" s="70"/>
      <c r="R35" s="70"/>
      <c r="S35" s="45">
        <f>I35*K35*M35</f>
        <v>17.887499999999999</v>
      </c>
      <c r="T35" s="69">
        <f>SUM(R35+S35)</f>
        <v>17.887499999999999</v>
      </c>
      <c r="U35" s="68">
        <v>16.5</v>
      </c>
      <c r="V35" s="68"/>
      <c r="W35" s="67">
        <f>S35*1000*U35</f>
        <v>295143.75</v>
      </c>
      <c r="X35" s="44">
        <f>SUM(W35+V35)</f>
        <v>295143.75</v>
      </c>
      <c r="Y35" s="44">
        <f>SUM(X35+Q35)</f>
        <v>295143.75</v>
      </c>
      <c r="Z35" s="59"/>
    </row>
    <row r="36" spans="1:26" s="77" customFormat="1" ht="32.25" customHeight="1" x14ac:dyDescent="0.25">
      <c r="A36" s="82"/>
      <c r="B36" s="86" t="s">
        <v>1129</v>
      </c>
      <c r="C36" s="85"/>
      <c r="D36" s="85"/>
      <c r="E36" s="84">
        <f>SUM(E37)</f>
        <v>13</v>
      </c>
      <c r="F36" s="83"/>
      <c r="G36" s="82"/>
      <c r="H36" s="78">
        <f>SUM(H37)</f>
        <v>0</v>
      </c>
      <c r="I36" s="78">
        <f>SUM(I37)</f>
        <v>13.98</v>
      </c>
      <c r="J36" s="78">
        <f>SUM(J37)</f>
        <v>13.98</v>
      </c>
      <c r="K36" s="81"/>
      <c r="L36" s="78"/>
      <c r="M36" s="80"/>
      <c r="N36" s="69"/>
      <c r="O36" s="79"/>
      <c r="P36" s="79"/>
      <c r="Q36" s="78"/>
      <c r="R36" s="78">
        <f>SUM(R37)</f>
        <v>0</v>
      </c>
      <c r="S36" s="78">
        <f>SUM(S37)</f>
        <v>10.485000000000001</v>
      </c>
      <c r="T36" s="78">
        <f>SUM(T37)</f>
        <v>10.485000000000001</v>
      </c>
      <c r="U36" s="47"/>
      <c r="V36" s="78">
        <f>SUM(V37)</f>
        <v>0</v>
      </c>
      <c r="W36" s="78">
        <f>SUM(W37)</f>
        <v>173002.50000000003</v>
      </c>
      <c r="X36" s="78">
        <f>SUM(X37)</f>
        <v>173002.50000000003</v>
      </c>
      <c r="Y36" s="78">
        <f>SUM(Y37)</f>
        <v>173002.50000000003</v>
      </c>
    </row>
    <row r="37" spans="1:26" s="58" customFormat="1" ht="32.25" customHeight="1" x14ac:dyDescent="0.25">
      <c r="A37" s="76"/>
      <c r="B37" s="76"/>
      <c r="C37" s="56" t="s">
        <v>713</v>
      </c>
      <c r="D37" s="1556"/>
      <c r="E37" s="1557">
        <v>13</v>
      </c>
      <c r="F37" s="1555">
        <v>515</v>
      </c>
      <c r="G37" s="76" t="s">
        <v>474</v>
      </c>
      <c r="H37" s="75"/>
      <c r="I37" s="74">
        <v>13.98</v>
      </c>
      <c r="J37" s="54">
        <f>SUM(H37+I37)</f>
        <v>13.98</v>
      </c>
      <c r="K37" s="53">
        <v>5</v>
      </c>
      <c r="L37" s="52">
        <f>K37-(K37*M37)</f>
        <v>4.25</v>
      </c>
      <c r="M37" s="73">
        <v>0.15</v>
      </c>
      <c r="N37" s="71"/>
      <c r="O37" s="72"/>
      <c r="P37" s="1561"/>
      <c r="Q37" s="70"/>
      <c r="R37" s="70"/>
      <c r="S37" s="45">
        <f>I37*K37*M37</f>
        <v>10.485000000000001</v>
      </c>
      <c r="T37" s="69">
        <f>SUM(R37+S37)</f>
        <v>10.485000000000001</v>
      </c>
      <c r="U37" s="68">
        <v>16.5</v>
      </c>
      <c r="V37" s="68"/>
      <c r="W37" s="67">
        <f>S37*1000*U37</f>
        <v>173002.50000000003</v>
      </c>
      <c r="X37" s="44">
        <f>SUM(W37+V37)</f>
        <v>173002.50000000003</v>
      </c>
      <c r="Y37" s="44">
        <f>SUM(X37+Q37)</f>
        <v>173002.50000000003</v>
      </c>
      <c r="Z37" s="59"/>
    </row>
    <row r="38" spans="1:26" s="77" customFormat="1" ht="32.25" customHeight="1" x14ac:dyDescent="0.25">
      <c r="A38" s="82"/>
      <c r="B38" s="86" t="s">
        <v>649</v>
      </c>
      <c r="C38" s="85"/>
      <c r="D38" s="85"/>
      <c r="E38" s="84">
        <f>SUM(E39)</f>
        <v>90</v>
      </c>
      <c r="F38" s="83"/>
      <c r="G38" s="82"/>
      <c r="H38" s="47"/>
      <c r="I38" s="78">
        <f>SUM(I39:I40)</f>
        <v>98.5</v>
      </c>
      <c r="J38" s="78">
        <f>SUM(J39:J40)</f>
        <v>98.5</v>
      </c>
      <c r="K38" s="81"/>
      <c r="L38" s="78"/>
      <c r="M38" s="80"/>
      <c r="N38" s="69"/>
      <c r="O38" s="79"/>
      <c r="P38" s="79"/>
      <c r="Q38" s="78"/>
      <c r="R38" s="78"/>
      <c r="S38" s="78">
        <f>SUM(S39:S40)</f>
        <v>124.875</v>
      </c>
      <c r="T38" s="78">
        <f>SUM(T39:T40)</f>
        <v>124.875</v>
      </c>
      <c r="U38" s="47"/>
      <c r="V38" s="47"/>
      <c r="W38" s="78">
        <f>SUM(W39:W40)</f>
        <v>2060437.5</v>
      </c>
      <c r="X38" s="78">
        <f>SUM(X39:X40)</f>
        <v>2060437.5</v>
      </c>
      <c r="Y38" s="78">
        <f>SUM(Y39:Y40)</f>
        <v>2060437.5</v>
      </c>
    </row>
    <row r="39" spans="1:26" s="58" customFormat="1" ht="32.25" customHeight="1" x14ac:dyDescent="0.25">
      <c r="A39" s="76"/>
      <c r="B39" s="76"/>
      <c r="C39" s="56" t="s">
        <v>713</v>
      </c>
      <c r="D39" s="1556"/>
      <c r="E39" s="1808">
        <v>90</v>
      </c>
      <c r="F39" s="1801">
        <v>711</v>
      </c>
      <c r="G39" s="76" t="s">
        <v>586</v>
      </c>
      <c r="H39" s="75"/>
      <c r="I39" s="74">
        <v>34</v>
      </c>
      <c r="J39" s="54">
        <f>SUM(H39+I39)</f>
        <v>34</v>
      </c>
      <c r="K39" s="53">
        <v>5</v>
      </c>
      <c r="L39" s="52">
        <f>K39-(K39*M39)</f>
        <v>2.75</v>
      </c>
      <c r="M39" s="73">
        <v>0.45</v>
      </c>
      <c r="N39" s="71"/>
      <c r="O39" s="72"/>
      <c r="P39" s="1561"/>
      <c r="Q39" s="70"/>
      <c r="R39" s="70"/>
      <c r="S39" s="45">
        <f>I39*K39*M39</f>
        <v>76.5</v>
      </c>
      <c r="T39" s="69">
        <f>SUM(R39+S39)</f>
        <v>76.5</v>
      </c>
      <c r="U39" s="68">
        <v>16.5</v>
      </c>
      <c r="V39" s="68"/>
      <c r="W39" s="67">
        <f>S39*1000*U39</f>
        <v>1262250</v>
      </c>
      <c r="X39" s="44">
        <f>SUM(W39+V39)</f>
        <v>1262250</v>
      </c>
      <c r="Y39" s="44">
        <f>SUM(X39+Q39)</f>
        <v>1262250</v>
      </c>
      <c r="Z39" s="59"/>
    </row>
    <row r="40" spans="1:26" s="58" customFormat="1" ht="32.25" customHeight="1" x14ac:dyDescent="0.25">
      <c r="A40" s="66"/>
      <c r="B40" s="56"/>
      <c r="C40" s="56" t="s">
        <v>713</v>
      </c>
      <c r="D40" s="56"/>
      <c r="E40" s="1809"/>
      <c r="F40" s="1802"/>
      <c r="G40" s="56" t="s">
        <v>474</v>
      </c>
      <c r="H40" s="53"/>
      <c r="I40" s="53">
        <v>64.5</v>
      </c>
      <c r="J40" s="54">
        <f>SUM(H40+I40)</f>
        <v>64.5</v>
      </c>
      <c r="K40" s="53">
        <v>5</v>
      </c>
      <c r="L40" s="52">
        <f>K40-(K40*M40)</f>
        <v>4.25</v>
      </c>
      <c r="M40" s="51">
        <v>0.15</v>
      </c>
      <c r="N40" s="71"/>
      <c r="O40" s="63"/>
      <c r="P40" s="1561"/>
      <c r="Q40" s="70"/>
      <c r="R40" s="49"/>
      <c r="S40" s="45">
        <f>I40*K40*M40</f>
        <v>48.375</v>
      </c>
      <c r="T40" s="69">
        <f>SUM(R40+S40)</f>
        <v>48.375</v>
      </c>
      <c r="U40" s="68">
        <v>16.5</v>
      </c>
      <c r="V40" s="46"/>
      <c r="W40" s="67">
        <f>S40*1000*U40</f>
        <v>798187.5</v>
      </c>
      <c r="X40" s="44">
        <f>SUM(W40+V40)</f>
        <v>798187.5</v>
      </c>
      <c r="Y40" s="44">
        <f>SUM(X40+Q40)</f>
        <v>798187.5</v>
      </c>
      <c r="Z40" s="59"/>
    </row>
    <row r="41" spans="1:26" s="111" customFormat="1" ht="26.25" customHeight="1" x14ac:dyDescent="0.25">
      <c r="A41" s="116"/>
      <c r="B41" s="86" t="s">
        <v>654</v>
      </c>
      <c r="C41" s="85"/>
      <c r="D41" s="118"/>
      <c r="E41" s="84">
        <f>SUM(E42:E44)</f>
        <v>41</v>
      </c>
      <c r="F41" s="117"/>
      <c r="G41" s="116"/>
      <c r="H41" s="78">
        <f>SUM(H42:H44)</f>
        <v>0</v>
      </c>
      <c r="I41" s="78">
        <f>SUM(I42:I44)</f>
        <v>41.660000000000004</v>
      </c>
      <c r="J41" s="78">
        <f>SUM(J42:J44)</f>
        <v>41.660000000000004</v>
      </c>
      <c r="K41" s="81"/>
      <c r="L41" s="115"/>
      <c r="M41" s="114"/>
      <c r="N41" s="113"/>
      <c r="O41" s="78">
        <f t="shared" ref="O41:T41" si="2">SUM(O42:O44)</f>
        <v>0</v>
      </c>
      <c r="P41" s="78">
        <f t="shared" si="2"/>
        <v>148230</v>
      </c>
      <c r="Q41" s="78">
        <f t="shared" si="2"/>
        <v>148230</v>
      </c>
      <c r="R41" s="78">
        <f t="shared" si="2"/>
        <v>0</v>
      </c>
      <c r="S41" s="78">
        <f t="shared" si="2"/>
        <v>3.7949999999999995</v>
      </c>
      <c r="T41" s="78">
        <f t="shared" si="2"/>
        <v>3.7949999999999995</v>
      </c>
      <c r="U41" s="112"/>
      <c r="V41" s="78">
        <f>SUM(V42:V44)</f>
        <v>0</v>
      </c>
      <c r="W41" s="78">
        <f>SUM(W42:W44)</f>
        <v>62617.499999999993</v>
      </c>
      <c r="X41" s="78">
        <f>SUM(X42:X44)</f>
        <v>62617.499999999993</v>
      </c>
      <c r="Y41" s="78">
        <f>SUM(Y42:Y44)</f>
        <v>210847.5</v>
      </c>
    </row>
    <row r="42" spans="1:26" s="93" customFormat="1" ht="26.25" customHeight="1" x14ac:dyDescent="0.25">
      <c r="A42" s="89"/>
      <c r="B42" s="110"/>
      <c r="C42" s="56" t="s">
        <v>713</v>
      </c>
      <c r="D42" s="105"/>
      <c r="E42" s="107">
        <v>32</v>
      </c>
      <c r="F42" s="1807">
        <v>124</v>
      </c>
      <c r="G42" s="109" t="s">
        <v>799</v>
      </c>
      <c r="H42" s="88"/>
      <c r="I42" s="55">
        <v>32.5</v>
      </c>
      <c r="J42" s="54">
        <f>SUM(H42+I42)</f>
        <v>32.5</v>
      </c>
      <c r="K42" s="53">
        <v>5</v>
      </c>
      <c r="L42" s="52">
        <f>K42-(K42*M42)</f>
        <v>4.25</v>
      </c>
      <c r="M42" s="51">
        <v>0.15</v>
      </c>
      <c r="N42" s="50">
        <v>27000</v>
      </c>
      <c r="O42" s="108"/>
      <c r="P42" s="101">
        <f>SUM(N42*M42*I42)</f>
        <v>131625</v>
      </c>
      <c r="Q42" s="100">
        <f>SUM(O42+P42)</f>
        <v>131625</v>
      </c>
      <c r="R42" s="100"/>
      <c r="S42" s="96"/>
      <c r="T42" s="98"/>
      <c r="U42" s="97"/>
      <c r="V42" s="97"/>
      <c r="W42" s="96"/>
      <c r="X42" s="95"/>
      <c r="Y42" s="95">
        <f>SUM(X42+Q42)</f>
        <v>131625</v>
      </c>
      <c r="Z42" s="94"/>
    </row>
    <row r="43" spans="1:26" s="93" customFormat="1" ht="26.25" customHeight="1" x14ac:dyDescent="0.25">
      <c r="A43" s="106"/>
      <c r="B43" s="105"/>
      <c r="C43" s="56" t="s">
        <v>713</v>
      </c>
      <c r="D43" s="105"/>
      <c r="E43" s="107">
        <v>5</v>
      </c>
      <c r="F43" s="1807"/>
      <c r="G43" s="104" t="s">
        <v>539</v>
      </c>
      <c r="H43" s="53"/>
      <c r="I43" s="53">
        <v>4.0999999999999996</v>
      </c>
      <c r="J43" s="54">
        <f>SUM(H43+I43)</f>
        <v>4.0999999999999996</v>
      </c>
      <c r="K43" s="53">
        <v>5</v>
      </c>
      <c r="L43" s="52">
        <f>K43-(K43*M43)</f>
        <v>4.25</v>
      </c>
      <c r="M43" s="103">
        <v>0.15</v>
      </c>
      <c r="N43" s="50">
        <v>27000</v>
      </c>
      <c r="O43" s="102"/>
      <c r="P43" s="101">
        <f>SUM(N43*M43*I43)</f>
        <v>16605</v>
      </c>
      <c r="Q43" s="100">
        <f>SUM(O43+P43)</f>
        <v>16605</v>
      </c>
      <c r="R43" s="99"/>
      <c r="S43" s="96"/>
      <c r="T43" s="98"/>
      <c r="U43" s="97"/>
      <c r="V43" s="97"/>
      <c r="W43" s="96"/>
      <c r="X43" s="95"/>
      <c r="Y43" s="95">
        <f>SUM(X43+Q43)</f>
        <v>16605</v>
      </c>
      <c r="Z43" s="94"/>
    </row>
    <row r="44" spans="1:26" s="93" customFormat="1" ht="26.25" customHeight="1" x14ac:dyDescent="0.25">
      <c r="A44" s="106"/>
      <c r="B44" s="105"/>
      <c r="C44" s="56" t="s">
        <v>713</v>
      </c>
      <c r="D44" s="105"/>
      <c r="E44" s="56">
        <v>4</v>
      </c>
      <c r="F44" s="101">
        <v>1990</v>
      </c>
      <c r="G44" s="104" t="s">
        <v>586</v>
      </c>
      <c r="H44" s="53"/>
      <c r="I44" s="53">
        <v>5.0599999999999996</v>
      </c>
      <c r="J44" s="54">
        <f>SUM(H44+I44)</f>
        <v>5.0599999999999996</v>
      </c>
      <c r="K44" s="53">
        <v>5</v>
      </c>
      <c r="L44" s="52">
        <f>K44-(K44*M44)</f>
        <v>4.25</v>
      </c>
      <c r="M44" s="103">
        <v>0.15</v>
      </c>
      <c r="N44" s="50"/>
      <c r="O44" s="102"/>
      <c r="P44" s="101"/>
      <c r="Q44" s="100"/>
      <c r="R44" s="99"/>
      <c r="S44" s="96">
        <f>I44*K44*M44</f>
        <v>3.7949999999999995</v>
      </c>
      <c r="T44" s="98">
        <f>SUM(R44+S44)</f>
        <v>3.7949999999999995</v>
      </c>
      <c r="U44" s="97">
        <v>16.5</v>
      </c>
      <c r="V44" s="97"/>
      <c r="W44" s="96">
        <f>S44*1000*U44</f>
        <v>62617.499999999993</v>
      </c>
      <c r="X44" s="95">
        <f>SUM(W44+V44)</f>
        <v>62617.499999999993</v>
      </c>
      <c r="Y44" s="95">
        <f>SUM(X44+Q44)</f>
        <v>62617.499999999993</v>
      </c>
      <c r="Z44" s="94"/>
    </row>
    <row r="45" spans="1:26" s="77" customFormat="1" ht="36" customHeight="1" x14ac:dyDescent="0.25">
      <c r="A45" s="91"/>
      <c r="B45" s="92" t="s">
        <v>508</v>
      </c>
      <c r="C45" s="85"/>
      <c r="D45" s="85"/>
      <c r="E45" s="78">
        <f>SUM(E46:E48)</f>
        <v>80</v>
      </c>
      <c r="F45" s="78"/>
      <c r="G45" s="91"/>
      <c r="H45" s="78">
        <f>SUM(H46)</f>
        <v>0</v>
      </c>
      <c r="I45" s="78">
        <f>SUM(I46:I48)</f>
        <v>86.55</v>
      </c>
      <c r="J45" s="78">
        <f>SUM(J46:J48)</f>
        <v>86.55</v>
      </c>
      <c r="K45" s="81"/>
      <c r="L45" s="78"/>
      <c r="M45" s="90"/>
      <c r="N45" s="54"/>
      <c r="O45" s="78">
        <f>SUM(O46)</f>
        <v>0</v>
      </c>
      <c r="P45" s="78">
        <f>SUM(P46:P48)</f>
        <v>324810</v>
      </c>
      <c r="Q45" s="78">
        <f>SUM(Q46:Q48)</f>
        <v>324810</v>
      </c>
      <c r="R45" s="78"/>
      <c r="S45" s="81"/>
      <c r="T45" s="81"/>
      <c r="U45" s="81"/>
      <c r="V45" s="81"/>
      <c r="W45" s="81"/>
      <c r="X45" s="81"/>
      <c r="Y45" s="78">
        <f>SUM(Y46:Y48)</f>
        <v>324810</v>
      </c>
    </row>
    <row r="46" spans="1:26" s="58" customFormat="1" ht="36" customHeight="1" x14ac:dyDescent="0.25">
      <c r="A46" s="89"/>
      <c r="B46" s="89"/>
      <c r="C46" s="56" t="s">
        <v>713</v>
      </c>
      <c r="D46" s="56"/>
      <c r="E46" s="1810">
        <v>80</v>
      </c>
      <c r="F46" s="1811">
        <v>895</v>
      </c>
      <c r="G46" s="89" t="s">
        <v>799</v>
      </c>
      <c r="H46" s="88"/>
      <c r="I46" s="55">
        <v>22.5</v>
      </c>
      <c r="J46" s="54">
        <f>SUM(H46+I46)</f>
        <v>22.5</v>
      </c>
      <c r="K46" s="53">
        <v>5</v>
      </c>
      <c r="L46" s="52">
        <f>K46-(K46*M46)</f>
        <v>3.75</v>
      </c>
      <c r="M46" s="51">
        <v>0.25</v>
      </c>
      <c r="N46" s="50">
        <v>27000</v>
      </c>
      <c r="O46" s="87"/>
      <c r="P46" s="1561">
        <f>SUM(N46*M46*I46)</f>
        <v>151875</v>
      </c>
      <c r="Q46" s="70">
        <f>SUM(O46+P46)</f>
        <v>151875</v>
      </c>
      <c r="R46" s="70"/>
      <c r="S46" s="45"/>
      <c r="T46" s="54"/>
      <c r="U46" s="46"/>
      <c r="V46" s="46"/>
      <c r="W46" s="45"/>
      <c r="X46" s="44"/>
      <c r="Y46" s="44">
        <f>SUM(X46+Q46)</f>
        <v>151875</v>
      </c>
      <c r="Z46" s="59"/>
    </row>
    <row r="47" spans="1:26" s="58" customFormat="1" ht="36" customHeight="1" x14ac:dyDescent="0.25">
      <c r="A47" s="66"/>
      <c r="B47" s="56"/>
      <c r="C47" s="56" t="s">
        <v>713</v>
      </c>
      <c r="D47" s="56"/>
      <c r="E47" s="1810"/>
      <c r="F47" s="1811"/>
      <c r="G47" s="56" t="s">
        <v>539</v>
      </c>
      <c r="H47" s="53"/>
      <c r="I47" s="53">
        <v>47.25</v>
      </c>
      <c r="J47" s="54">
        <f>SUM(H47+I47)</f>
        <v>47.25</v>
      </c>
      <c r="K47" s="53">
        <v>5</v>
      </c>
      <c r="L47" s="52">
        <f>K47-(K47*M47)</f>
        <v>4.5</v>
      </c>
      <c r="M47" s="51">
        <v>0.1</v>
      </c>
      <c r="N47" s="50">
        <v>27000</v>
      </c>
      <c r="O47" s="63"/>
      <c r="P47" s="1561">
        <f>SUM(N47*M47*I47)</f>
        <v>127575</v>
      </c>
      <c r="Q47" s="70">
        <f>SUM(O47+P47)</f>
        <v>127575</v>
      </c>
      <c r="R47" s="49"/>
      <c r="S47" s="45"/>
      <c r="T47" s="54"/>
      <c r="U47" s="46"/>
      <c r="V47" s="46"/>
      <c r="W47" s="45"/>
      <c r="X47" s="44"/>
      <c r="Y47" s="44">
        <f>SUM(X47+Q47)</f>
        <v>127575</v>
      </c>
      <c r="Z47" s="59"/>
    </row>
    <row r="48" spans="1:26" s="58" customFormat="1" ht="36" customHeight="1" x14ac:dyDescent="0.25">
      <c r="A48" s="66"/>
      <c r="B48" s="56"/>
      <c r="C48" s="56" t="s">
        <v>713</v>
      </c>
      <c r="D48" s="56"/>
      <c r="E48" s="1810"/>
      <c r="F48" s="1811"/>
      <c r="G48" s="56" t="s">
        <v>586</v>
      </c>
      <c r="H48" s="53"/>
      <c r="I48" s="53">
        <v>16.8</v>
      </c>
      <c r="J48" s="54">
        <f>SUM(H48+I48)</f>
        <v>16.8</v>
      </c>
      <c r="K48" s="53">
        <v>5</v>
      </c>
      <c r="L48" s="52">
        <f>K48-(K48*M48)</f>
        <v>4.5</v>
      </c>
      <c r="M48" s="51">
        <v>0.1</v>
      </c>
      <c r="N48" s="50">
        <v>27000</v>
      </c>
      <c r="O48" s="63"/>
      <c r="P48" s="1561">
        <f>SUM(N48*M48*I48)</f>
        <v>45360</v>
      </c>
      <c r="Q48" s="70">
        <f>SUM(O48+P48)</f>
        <v>45360</v>
      </c>
      <c r="R48" s="49"/>
      <c r="S48" s="45"/>
      <c r="T48" s="54"/>
      <c r="U48" s="46"/>
      <c r="V48" s="46"/>
      <c r="W48" s="45"/>
      <c r="X48" s="44"/>
      <c r="Y48" s="44">
        <f>SUM(X48+Q48)</f>
        <v>45360</v>
      </c>
      <c r="Z48" s="59"/>
    </row>
    <row r="49" spans="1:26" s="77" customFormat="1" ht="36" customHeight="1" x14ac:dyDescent="0.25">
      <c r="A49" s="82"/>
      <c r="B49" s="86" t="s">
        <v>511</v>
      </c>
      <c r="C49" s="85"/>
      <c r="D49" s="85"/>
      <c r="E49" s="84">
        <f>SUM(E50)</f>
        <v>180</v>
      </c>
      <c r="F49" s="83"/>
      <c r="G49" s="82"/>
      <c r="H49" s="78">
        <f>SUM(H50)</f>
        <v>0</v>
      </c>
      <c r="I49" s="78">
        <f>SUM(I50:I51)</f>
        <v>192.95</v>
      </c>
      <c r="J49" s="78">
        <f>SUM(J50:J51)</f>
        <v>192.95</v>
      </c>
      <c r="K49" s="81"/>
      <c r="L49" s="78"/>
      <c r="M49" s="80"/>
      <c r="N49" s="69"/>
      <c r="O49" s="79"/>
      <c r="P49" s="79"/>
      <c r="Q49" s="78"/>
      <c r="R49" s="78">
        <f>SUM(R50:R51)</f>
        <v>0</v>
      </c>
      <c r="S49" s="78">
        <f>SUM(S50:S51)</f>
        <v>144.71249999999998</v>
      </c>
      <c r="T49" s="78">
        <f>SUM(T50:T51)</f>
        <v>144.71249999999998</v>
      </c>
      <c r="U49" s="47"/>
      <c r="V49" s="47"/>
      <c r="W49" s="78">
        <f>SUM(W50:W51)</f>
        <v>2387756.25</v>
      </c>
      <c r="X49" s="78">
        <f>SUM(X50:X51)</f>
        <v>2387756.25</v>
      </c>
      <c r="Y49" s="78">
        <f>SUM(Y50:Y51)</f>
        <v>2387756.25</v>
      </c>
    </row>
    <row r="50" spans="1:26" s="58" customFormat="1" ht="36" customHeight="1" x14ac:dyDescent="0.25">
      <c r="A50" s="76"/>
      <c r="B50" s="76"/>
      <c r="C50" s="56" t="s">
        <v>713</v>
      </c>
      <c r="D50" s="1556"/>
      <c r="E50" s="1808">
        <v>180</v>
      </c>
      <c r="F50" s="1801">
        <v>3747</v>
      </c>
      <c r="G50" s="76" t="s">
        <v>586</v>
      </c>
      <c r="H50" s="75"/>
      <c r="I50" s="74">
        <v>96.25</v>
      </c>
      <c r="J50" s="54">
        <f>SUM(H50+I50)</f>
        <v>96.25</v>
      </c>
      <c r="K50" s="53">
        <v>5</v>
      </c>
      <c r="L50" s="52">
        <f>K50-(K50*M50)</f>
        <v>4.25</v>
      </c>
      <c r="M50" s="73">
        <v>0.15</v>
      </c>
      <c r="N50" s="71"/>
      <c r="O50" s="72"/>
      <c r="P50" s="1561"/>
      <c r="Q50" s="70"/>
      <c r="R50" s="70"/>
      <c r="S50" s="45">
        <f>I50*K50*M50</f>
        <v>72.1875</v>
      </c>
      <c r="T50" s="69">
        <f>SUM(R50+S50)</f>
        <v>72.1875</v>
      </c>
      <c r="U50" s="68">
        <v>16.5</v>
      </c>
      <c r="V50" s="68"/>
      <c r="W50" s="67">
        <f>S50*1000*U50</f>
        <v>1191093.75</v>
      </c>
      <c r="X50" s="44">
        <f>SUM(W50+V50)</f>
        <v>1191093.75</v>
      </c>
      <c r="Y50" s="44">
        <f>SUM(X50+Q50)</f>
        <v>1191093.75</v>
      </c>
      <c r="Z50" s="59"/>
    </row>
    <row r="51" spans="1:26" s="58" customFormat="1" ht="36" customHeight="1" x14ac:dyDescent="0.25">
      <c r="A51" s="66"/>
      <c r="B51" s="56"/>
      <c r="C51" s="56" t="s">
        <v>713</v>
      </c>
      <c r="D51" s="56"/>
      <c r="E51" s="1809"/>
      <c r="F51" s="1802"/>
      <c r="G51" s="56" t="s">
        <v>474</v>
      </c>
      <c r="H51" s="53"/>
      <c r="I51" s="53">
        <v>96.7</v>
      </c>
      <c r="J51" s="54">
        <f>SUM(H51+I51)</f>
        <v>96.7</v>
      </c>
      <c r="K51" s="53">
        <v>5</v>
      </c>
      <c r="L51" s="52">
        <f>K51-(K51*M51)</f>
        <v>4.25</v>
      </c>
      <c r="M51" s="51">
        <v>0.15</v>
      </c>
      <c r="N51" s="71"/>
      <c r="O51" s="63"/>
      <c r="P51" s="1561"/>
      <c r="Q51" s="70"/>
      <c r="R51" s="49"/>
      <c r="S51" s="45">
        <f>I51*K51*M51</f>
        <v>72.524999999999991</v>
      </c>
      <c r="T51" s="69">
        <f>SUM(R51+S51)</f>
        <v>72.524999999999991</v>
      </c>
      <c r="U51" s="68">
        <v>16.5</v>
      </c>
      <c r="V51" s="46"/>
      <c r="W51" s="67">
        <f>S51*1000*U51</f>
        <v>1196662.4999999998</v>
      </c>
      <c r="X51" s="44">
        <f>SUM(W51+V51)</f>
        <v>1196662.4999999998</v>
      </c>
      <c r="Y51" s="44">
        <f>SUM(X51+Q51)</f>
        <v>1196662.4999999998</v>
      </c>
      <c r="Z51" s="59"/>
    </row>
    <row r="52" spans="1:26" s="58" customFormat="1" ht="36" customHeight="1" x14ac:dyDescent="0.25">
      <c r="A52" s="66"/>
      <c r="B52" s="65" t="s">
        <v>519</v>
      </c>
      <c r="C52" s="56"/>
      <c r="D52" s="56"/>
      <c r="E52" s="65">
        <f>E53</f>
        <v>145</v>
      </c>
      <c r="F52" s="1561"/>
      <c r="G52" s="56"/>
      <c r="H52" s="61">
        <f>H53</f>
        <v>0</v>
      </c>
      <c r="I52" s="61">
        <f>I53</f>
        <v>174</v>
      </c>
      <c r="J52" s="61">
        <f>J53</f>
        <v>174</v>
      </c>
      <c r="K52" s="53"/>
      <c r="L52" s="64"/>
      <c r="M52" s="51"/>
      <c r="N52" s="50"/>
      <c r="O52" s="63"/>
      <c r="P52" s="62"/>
      <c r="Q52" s="49"/>
      <c r="R52" s="61">
        <f>R53</f>
        <v>0</v>
      </c>
      <c r="S52" s="61">
        <f>S53</f>
        <v>130.5</v>
      </c>
      <c r="T52" s="61">
        <f>T53</f>
        <v>130.5</v>
      </c>
      <c r="U52" s="46"/>
      <c r="V52" s="46"/>
      <c r="W52" s="60">
        <f>W53</f>
        <v>1957500</v>
      </c>
      <c r="X52" s="60">
        <f>X53</f>
        <v>1957500</v>
      </c>
      <c r="Y52" s="60">
        <f>Y53</f>
        <v>1957500</v>
      </c>
      <c r="Z52" s="59"/>
    </row>
    <row r="53" spans="1:26" s="43" customFormat="1" ht="36" customHeight="1" x14ac:dyDescent="0.25">
      <c r="A53" s="57"/>
      <c r="B53" s="56"/>
      <c r="C53" s="56" t="s">
        <v>713</v>
      </c>
      <c r="D53" s="56"/>
      <c r="E53" s="56">
        <v>145</v>
      </c>
      <c r="F53" s="1561">
        <v>5572</v>
      </c>
      <c r="G53" s="56" t="s">
        <v>474</v>
      </c>
      <c r="H53" s="55"/>
      <c r="I53" s="46">
        <v>174</v>
      </c>
      <c r="J53" s="54">
        <f>SUM(H53+I53)</f>
        <v>174</v>
      </c>
      <c r="K53" s="53">
        <v>5</v>
      </c>
      <c r="L53" s="52">
        <f>K53-(K53*M53)</f>
        <v>4.25</v>
      </c>
      <c r="M53" s="51">
        <v>0.15</v>
      </c>
      <c r="N53" s="50"/>
      <c r="O53" s="48"/>
      <c r="P53" s="49"/>
      <c r="Q53" s="48"/>
      <c r="R53" s="48"/>
      <c r="S53" s="45">
        <f>I53*K53*M53</f>
        <v>130.5</v>
      </c>
      <c r="T53" s="47">
        <f>SUM(R53+S53)</f>
        <v>130.5</v>
      </c>
      <c r="U53" s="46">
        <v>15</v>
      </c>
      <c r="V53" s="46"/>
      <c r="W53" s="45">
        <f>S53*1000*U53</f>
        <v>1957500</v>
      </c>
      <c r="X53" s="44">
        <f>SUM(W53+V53)</f>
        <v>1957500</v>
      </c>
      <c r="Y53" s="44">
        <f>SUM(X53+Q53)</f>
        <v>1957500</v>
      </c>
    </row>
    <row r="54" spans="1:26" x14ac:dyDescent="0.2">
      <c r="A54" s="42"/>
      <c r="B54" s="41"/>
      <c r="C54" s="40"/>
      <c r="D54" s="40"/>
      <c r="E54" s="39"/>
      <c r="F54" s="38"/>
      <c r="G54" s="37"/>
      <c r="H54" s="34"/>
      <c r="I54" s="34"/>
      <c r="J54" s="34"/>
      <c r="K54" s="34"/>
      <c r="L54" s="34"/>
      <c r="M54" s="34"/>
      <c r="N54" s="36"/>
      <c r="O54" s="34"/>
      <c r="P54" s="34"/>
      <c r="Q54" s="35"/>
      <c r="R54" s="35"/>
      <c r="S54" s="34"/>
      <c r="T54" s="34"/>
      <c r="U54" s="34"/>
      <c r="V54" s="34"/>
      <c r="W54" s="34"/>
      <c r="X54" s="34"/>
      <c r="Y54" s="34"/>
    </row>
    <row r="55" spans="1:26" s="26" customFormat="1" ht="15.75" x14ac:dyDescent="0.25">
      <c r="B55" s="33" t="s">
        <v>522</v>
      </c>
      <c r="C55" s="33"/>
      <c r="D55" s="33"/>
      <c r="E55" s="32"/>
      <c r="G55" s="32" t="s">
        <v>656</v>
      </c>
      <c r="I55" s="31"/>
      <c r="J55" s="31"/>
      <c r="K55" s="29"/>
      <c r="L55" s="29"/>
      <c r="M55" s="29" t="s">
        <v>657</v>
      </c>
      <c r="N55" s="30"/>
      <c r="O55" s="29"/>
      <c r="P55" s="27"/>
      <c r="Q55" s="28"/>
      <c r="R55" s="28"/>
      <c r="S55" s="28" t="s">
        <v>658</v>
      </c>
      <c r="T55" s="28"/>
      <c r="U55" s="28"/>
      <c r="V55" s="28"/>
      <c r="W55" s="28"/>
    </row>
    <row r="56" spans="1:26" s="26" customFormat="1" ht="15.75" x14ac:dyDescent="0.25">
      <c r="B56" s="33"/>
      <c r="C56" s="33"/>
      <c r="D56" s="33"/>
      <c r="E56" s="32"/>
      <c r="G56" s="32"/>
      <c r="I56" s="31"/>
      <c r="J56" s="31"/>
      <c r="K56" s="29"/>
      <c r="L56" s="29"/>
      <c r="M56" s="29"/>
      <c r="N56" s="30"/>
      <c r="O56" s="29"/>
      <c r="P56" s="27"/>
      <c r="Q56" s="28"/>
      <c r="R56" s="28"/>
      <c r="S56" s="28"/>
      <c r="T56" s="28"/>
      <c r="U56" s="28"/>
      <c r="V56" s="28"/>
      <c r="W56" s="28"/>
    </row>
    <row r="57" spans="1:26" s="26" customFormat="1" ht="15.75" x14ac:dyDescent="0.25">
      <c r="B57" s="27"/>
      <c r="C57" s="27"/>
      <c r="D57" s="27"/>
      <c r="E57" s="32"/>
      <c r="G57" s="32"/>
      <c r="H57" s="27"/>
      <c r="I57" s="31"/>
      <c r="J57" s="31"/>
      <c r="K57" s="29"/>
      <c r="L57" s="29"/>
      <c r="M57" s="29"/>
      <c r="N57" s="30"/>
      <c r="O57" s="29"/>
      <c r="P57" s="27"/>
      <c r="Q57" s="28"/>
      <c r="R57" s="28"/>
      <c r="S57" s="28"/>
      <c r="T57" s="28"/>
      <c r="U57" s="28"/>
      <c r="V57" s="28"/>
      <c r="W57" s="28"/>
      <c r="X57" s="27"/>
      <c r="Y57" s="27"/>
    </row>
    <row r="58" spans="1:26" s="11" customFormat="1" ht="18" x14ac:dyDescent="0.25">
      <c r="B58" s="25" t="s">
        <v>1130</v>
      </c>
      <c r="C58" s="25"/>
      <c r="D58" s="25"/>
      <c r="E58" s="24"/>
      <c r="G58" s="23" t="s">
        <v>524</v>
      </c>
      <c r="H58" s="22"/>
      <c r="I58" s="17"/>
      <c r="J58" s="17"/>
      <c r="K58" s="21"/>
      <c r="L58" s="21"/>
      <c r="M58" s="21" t="s">
        <v>1131</v>
      </c>
      <c r="N58" s="15"/>
      <c r="O58" s="21"/>
      <c r="P58" s="21"/>
      <c r="Q58" s="21"/>
      <c r="R58" s="21"/>
      <c r="S58" s="20" t="s">
        <v>1132</v>
      </c>
      <c r="T58" s="20"/>
      <c r="U58" s="18"/>
      <c r="V58" s="18"/>
      <c r="W58" s="18"/>
      <c r="X58" s="18"/>
      <c r="Y58" s="18"/>
      <c r="Z58" s="18"/>
    </row>
    <row r="59" spans="1:26" s="11" customFormat="1" ht="18" x14ac:dyDescent="0.25">
      <c r="B59" s="19" t="s">
        <v>750</v>
      </c>
      <c r="C59" s="19"/>
      <c r="D59" s="19"/>
      <c r="E59" s="18"/>
      <c r="G59" s="12" t="s">
        <v>1133</v>
      </c>
      <c r="I59" s="17"/>
      <c r="J59" s="17"/>
      <c r="K59" s="16"/>
      <c r="L59" s="16"/>
      <c r="M59" s="16" t="s">
        <v>1134</v>
      </c>
      <c r="N59" s="15"/>
      <c r="O59" s="14"/>
      <c r="P59" s="14"/>
      <c r="Q59" s="14"/>
      <c r="R59" s="14"/>
      <c r="S59" s="13" t="s">
        <v>994</v>
      </c>
      <c r="T59" s="13"/>
      <c r="U59" s="12"/>
      <c r="V59" s="12"/>
      <c r="W59" s="12"/>
      <c r="X59" s="12"/>
      <c r="Y59" s="12"/>
    </row>
    <row r="63" spans="1:26" x14ac:dyDescent="0.2">
      <c r="S63" s="1800"/>
      <c r="T63" s="1800"/>
      <c r="U63" s="1800"/>
      <c r="V63" s="1800"/>
      <c r="W63" s="1800"/>
    </row>
    <row r="64" spans="1:26" x14ac:dyDescent="0.2">
      <c r="S64" s="1799"/>
      <c r="T64" s="1799"/>
      <c r="U64" s="1799"/>
      <c r="V64" s="1799"/>
      <c r="W64" s="1799"/>
    </row>
    <row r="71" spans="19:20" x14ac:dyDescent="0.2">
      <c r="S71" s="10"/>
      <c r="T71" s="10"/>
    </row>
  </sheetData>
  <mergeCells count="38">
    <mergeCell ref="A7:W7"/>
    <mergeCell ref="A8:W8"/>
    <mergeCell ref="G15:G18"/>
    <mergeCell ref="H15:J17"/>
    <mergeCell ref="K15:L15"/>
    <mergeCell ref="M15:M18"/>
    <mergeCell ref="O15:X15"/>
    <mergeCell ref="L16:L18"/>
    <mergeCell ref="S64:W64"/>
    <mergeCell ref="K16:K18"/>
    <mergeCell ref="A15:A18"/>
    <mergeCell ref="B15:B18"/>
    <mergeCell ref="C15:C18"/>
    <mergeCell ref="D15:D18"/>
    <mergeCell ref="E15:E18"/>
    <mergeCell ref="F15:F18"/>
    <mergeCell ref="S63:W63"/>
    <mergeCell ref="E50:E51"/>
    <mergeCell ref="O16:Q16"/>
    <mergeCell ref="S16:W16"/>
    <mergeCell ref="N17:N18"/>
    <mergeCell ref="O17:Q17"/>
    <mergeCell ref="R17:T17"/>
    <mergeCell ref="V17:X17"/>
    <mergeCell ref="F50:F51"/>
    <mergeCell ref="E29:E31"/>
    <mergeCell ref="F29:F31"/>
    <mergeCell ref="F42:F43"/>
    <mergeCell ref="E39:E40"/>
    <mergeCell ref="F39:F40"/>
    <mergeCell ref="E46:E48"/>
    <mergeCell ref="F46:F48"/>
    <mergeCell ref="A6:X6"/>
    <mergeCell ref="A1:X1"/>
    <mergeCell ref="A2:X2"/>
    <mergeCell ref="A3:X3"/>
    <mergeCell ref="A4:X4"/>
    <mergeCell ref="A5:X5"/>
  </mergeCells>
  <printOptions horizontalCentered="1"/>
  <pageMargins left="0.45" right="0.45" top="0.5" bottom="0.5" header="0.3" footer="0.05"/>
  <pageSetup paperSize="10000" scale="51" orientation="landscape" r:id="rId1"/>
  <rowBreaks count="1" manualBreakCount="1">
    <brk id="44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6E7D-FF23-9243-98DA-F9CA69E54E50}">
  <sheetPr>
    <tabColor theme="9" tint="0.59999389629810485"/>
  </sheetPr>
  <dimension ref="A1:Y35"/>
  <sheetViews>
    <sheetView zoomScale="73" zoomScaleNormal="73" workbookViewId="0">
      <selection activeCell="T30" sqref="T30"/>
    </sheetView>
  </sheetViews>
  <sheetFormatPr defaultColWidth="8.875" defaultRowHeight="15" x14ac:dyDescent="0.25"/>
  <cols>
    <col min="1" max="2" width="8.875" style="185"/>
    <col min="3" max="3" width="14.875" style="185" customWidth="1"/>
    <col min="4" max="4" width="13.375" style="185" customWidth="1"/>
    <col min="5" max="6" width="8.875" style="185"/>
    <col min="7" max="7" width="15.125" style="185" customWidth="1"/>
    <col min="8" max="22" width="8.875" style="185"/>
    <col min="23" max="23" width="19.125" style="185" customWidth="1"/>
    <col min="24" max="24" width="18" style="185" customWidth="1"/>
    <col min="25" max="25" width="16.125" style="185" customWidth="1"/>
    <col min="26" max="16384" width="8.875" style="185"/>
  </cols>
  <sheetData>
    <row r="1" spans="1:25" ht="15.75" x14ac:dyDescent="0.25">
      <c r="A1" s="1846" t="s">
        <v>411</v>
      </c>
      <c r="B1" s="1846"/>
      <c r="C1" s="1846"/>
      <c r="D1" s="1846"/>
      <c r="E1" s="1846"/>
      <c r="F1" s="1846"/>
      <c r="G1" s="1846"/>
      <c r="H1" s="1846"/>
      <c r="I1" s="1846"/>
      <c r="J1" s="1846"/>
      <c r="K1" s="1846"/>
      <c r="L1" s="1846"/>
      <c r="M1" s="1846"/>
      <c r="N1" s="1846"/>
      <c r="O1" s="1846"/>
      <c r="P1" s="1846"/>
      <c r="Q1" s="1846"/>
      <c r="R1" s="1846"/>
      <c r="S1" s="1846"/>
      <c r="T1" s="1846"/>
      <c r="U1" s="1846"/>
      <c r="V1" s="1846"/>
      <c r="W1" s="1846"/>
      <c r="X1" s="1846"/>
      <c r="Y1" s="1566"/>
    </row>
    <row r="2" spans="1:25" ht="15.75" x14ac:dyDescent="0.25">
      <c r="A2" s="1846" t="s">
        <v>412</v>
      </c>
      <c r="B2" s="1846"/>
      <c r="C2" s="1846"/>
      <c r="D2" s="1846"/>
      <c r="E2" s="1846"/>
      <c r="F2" s="1846"/>
      <c r="G2" s="1846"/>
      <c r="H2" s="1846"/>
      <c r="I2" s="1846"/>
      <c r="J2" s="1846"/>
      <c r="K2" s="1846"/>
      <c r="L2" s="1846"/>
      <c r="M2" s="1846"/>
      <c r="N2" s="1846"/>
      <c r="O2" s="1846"/>
      <c r="P2" s="1846"/>
      <c r="Q2" s="1846"/>
      <c r="R2" s="1846"/>
      <c r="S2" s="1846"/>
      <c r="T2" s="1846"/>
      <c r="U2" s="1846"/>
      <c r="V2" s="1846"/>
      <c r="W2" s="1846"/>
      <c r="X2" s="1846"/>
      <c r="Y2" s="1566"/>
    </row>
    <row r="3" spans="1:25" ht="15.75" x14ac:dyDescent="0.25">
      <c r="A3" s="1847" t="s">
        <v>413</v>
      </c>
      <c r="B3" s="1847"/>
      <c r="C3" s="1847"/>
      <c r="D3" s="1847"/>
      <c r="E3" s="1847"/>
      <c r="F3" s="1847"/>
      <c r="G3" s="1847"/>
      <c r="H3" s="1847"/>
      <c r="I3" s="1847"/>
      <c r="J3" s="1847"/>
      <c r="K3" s="1847"/>
      <c r="L3" s="1847"/>
      <c r="M3" s="1847"/>
      <c r="N3" s="1847"/>
      <c r="O3" s="1847"/>
      <c r="P3" s="1847"/>
      <c r="Q3" s="1847"/>
      <c r="R3" s="1847"/>
      <c r="S3" s="1847"/>
      <c r="T3" s="1847"/>
      <c r="U3" s="1847"/>
      <c r="V3" s="1847"/>
      <c r="W3" s="1847"/>
      <c r="X3" s="1847"/>
      <c r="Y3" s="321"/>
    </row>
    <row r="4" spans="1:25" ht="15.75" x14ac:dyDescent="0.25">
      <c r="A4" s="1846" t="s">
        <v>1135</v>
      </c>
      <c r="B4" s="1846"/>
      <c r="C4" s="1846"/>
      <c r="D4" s="1846"/>
      <c r="E4" s="1846"/>
      <c r="F4" s="1846"/>
      <c r="G4" s="1846"/>
      <c r="H4" s="1846"/>
      <c r="I4" s="1846"/>
      <c r="J4" s="1846"/>
      <c r="K4" s="1846"/>
      <c r="L4" s="1846"/>
      <c r="M4" s="1846"/>
      <c r="N4" s="1846"/>
      <c r="O4" s="1846"/>
      <c r="P4" s="1846"/>
      <c r="Q4" s="1846"/>
      <c r="R4" s="1846"/>
      <c r="S4" s="1846"/>
      <c r="T4" s="1846"/>
      <c r="U4" s="1846"/>
      <c r="V4" s="1846"/>
      <c r="W4" s="1846"/>
      <c r="X4" s="1846"/>
      <c r="Y4" s="1566"/>
    </row>
    <row r="5" spans="1:25" ht="15.75" x14ac:dyDescent="0.25">
      <c r="A5" s="1846" t="s">
        <v>1136</v>
      </c>
      <c r="B5" s="1846"/>
      <c r="C5" s="1846"/>
      <c r="D5" s="1846"/>
      <c r="E5" s="1846"/>
      <c r="F5" s="1846"/>
      <c r="G5" s="1846"/>
      <c r="H5" s="1846"/>
      <c r="I5" s="1846"/>
      <c r="J5" s="1846"/>
      <c r="K5" s="1846"/>
      <c r="L5" s="1846"/>
      <c r="M5" s="1846"/>
      <c r="N5" s="1846"/>
      <c r="O5" s="1846"/>
      <c r="P5" s="1846"/>
      <c r="Q5" s="1846"/>
      <c r="R5" s="1846"/>
      <c r="S5" s="1846"/>
      <c r="T5" s="1846"/>
      <c r="U5" s="1846"/>
      <c r="V5" s="1846"/>
      <c r="W5" s="1846"/>
      <c r="X5" s="1846"/>
      <c r="Y5" s="1566"/>
    </row>
    <row r="6" spans="1:25" ht="15.75" x14ac:dyDescent="0.25">
      <c r="A6" s="1846" t="s">
        <v>1137</v>
      </c>
      <c r="B6" s="1846"/>
      <c r="C6" s="1846"/>
      <c r="D6" s="1846"/>
      <c r="E6" s="1846"/>
      <c r="F6" s="1846"/>
      <c r="G6" s="1846"/>
      <c r="H6" s="1846"/>
      <c r="I6" s="1846"/>
      <c r="J6" s="1846"/>
      <c r="K6" s="1846"/>
      <c r="L6" s="1846"/>
      <c r="M6" s="1846"/>
      <c r="N6" s="1846"/>
      <c r="O6" s="1846"/>
      <c r="P6" s="1846"/>
      <c r="Q6" s="1846"/>
      <c r="R6" s="1846"/>
      <c r="S6" s="1846"/>
      <c r="T6" s="1846"/>
      <c r="U6" s="1846"/>
      <c r="V6" s="1846"/>
      <c r="W6" s="1846"/>
      <c r="X6" s="1846"/>
      <c r="Y6" s="1566"/>
    </row>
    <row r="7" spans="1:25" x14ac:dyDescent="0.25">
      <c r="A7" s="1829"/>
      <c r="B7" s="1829"/>
      <c r="C7" s="1829"/>
      <c r="D7" s="1829"/>
      <c r="E7" s="1829"/>
      <c r="F7" s="1829"/>
      <c r="G7" s="1829"/>
      <c r="H7" s="1829"/>
      <c r="I7" s="1829"/>
      <c r="J7" s="1829"/>
      <c r="K7" s="1829"/>
      <c r="L7" s="1829"/>
      <c r="M7" s="1829"/>
      <c r="N7" s="1829"/>
      <c r="O7" s="1829"/>
      <c r="P7" s="1829"/>
      <c r="Q7" s="1829"/>
      <c r="R7" s="1829"/>
      <c r="S7" s="1829"/>
      <c r="T7" s="1829"/>
      <c r="U7" s="1829"/>
      <c r="V7" s="1829"/>
      <c r="W7" s="1829"/>
      <c r="X7" s="320"/>
      <c r="Y7" s="320"/>
    </row>
    <row r="8" spans="1:25" x14ac:dyDescent="0.25">
      <c r="A8" s="1829"/>
      <c r="B8" s="1829"/>
      <c r="C8" s="1829"/>
      <c r="D8" s="1829"/>
      <c r="E8" s="1829"/>
      <c r="F8" s="1829"/>
      <c r="G8" s="1829"/>
      <c r="H8" s="1829"/>
      <c r="I8" s="1829"/>
      <c r="J8" s="1829"/>
      <c r="K8" s="1829"/>
      <c r="L8" s="1829"/>
      <c r="M8" s="1829"/>
      <c r="N8" s="1829"/>
      <c r="O8" s="1829"/>
      <c r="P8" s="1829"/>
      <c r="Q8" s="1829"/>
      <c r="R8" s="1829"/>
      <c r="S8" s="1829"/>
      <c r="T8" s="1829"/>
      <c r="U8" s="1829"/>
      <c r="V8" s="1829"/>
      <c r="W8" s="1829"/>
      <c r="X8" s="319"/>
      <c r="Y8" s="319"/>
    </row>
    <row r="9" spans="1:25" x14ac:dyDescent="0.25">
      <c r="A9" s="318" t="s">
        <v>417</v>
      </c>
      <c r="B9" s="312"/>
      <c r="C9" s="312"/>
      <c r="D9" s="312"/>
      <c r="E9" s="317"/>
      <c r="F9" s="316"/>
      <c r="G9" s="312"/>
      <c r="H9" s="312"/>
      <c r="I9" s="312"/>
      <c r="J9" s="312"/>
      <c r="K9" s="312"/>
      <c r="L9" s="311"/>
      <c r="M9" s="315" t="s">
        <v>418</v>
      </c>
      <c r="N9" s="315"/>
      <c r="O9" s="314"/>
      <c r="P9" s="314"/>
      <c r="Q9" s="314"/>
      <c r="R9" s="314"/>
      <c r="S9" s="314"/>
      <c r="T9" s="314"/>
      <c r="U9" s="314"/>
      <c r="V9" s="314"/>
      <c r="W9" s="314"/>
      <c r="X9" s="291"/>
      <c r="Y9" s="314"/>
    </row>
    <row r="10" spans="1:25" x14ac:dyDescent="0.25">
      <c r="A10" s="310" t="s">
        <v>1138</v>
      </c>
      <c r="B10" s="204"/>
      <c r="C10" s="204"/>
      <c r="D10" s="204"/>
      <c r="E10" s="309"/>
      <c r="F10" s="205"/>
      <c r="G10" s="204"/>
      <c r="H10" s="204"/>
      <c r="I10" s="204"/>
      <c r="J10" s="204"/>
      <c r="K10" s="204"/>
      <c r="L10" s="204"/>
      <c r="M10" s="313" t="s">
        <v>421</v>
      </c>
      <c r="N10" s="312"/>
      <c r="O10" s="312"/>
      <c r="P10" s="312" t="s">
        <v>422</v>
      </c>
      <c r="Q10" s="312"/>
      <c r="R10" s="312"/>
      <c r="S10" s="312"/>
      <c r="T10" s="312"/>
      <c r="U10" s="312"/>
      <c r="V10" s="312"/>
      <c r="W10" s="311"/>
      <c r="X10" s="311"/>
      <c r="Y10" s="296"/>
    </row>
    <row r="11" spans="1:25" x14ac:dyDescent="0.25">
      <c r="A11" s="310"/>
      <c r="B11" s="204"/>
      <c r="C11" s="204"/>
      <c r="D11" s="204"/>
      <c r="E11" s="309"/>
      <c r="F11" s="205"/>
      <c r="G11" s="204"/>
      <c r="H11" s="204"/>
      <c r="I11" s="204"/>
      <c r="J11" s="204"/>
      <c r="K11" s="204"/>
      <c r="L11" s="204"/>
      <c r="M11" s="302"/>
      <c r="N11" s="308"/>
      <c r="O11" s="307" t="s">
        <v>423</v>
      </c>
      <c r="P11" s="204" t="s">
        <v>535</v>
      </c>
      <c r="Q11" s="307" t="s">
        <v>424</v>
      </c>
      <c r="R11" s="307"/>
      <c r="S11" s="204"/>
      <c r="T11" s="204"/>
      <c r="U11" s="204"/>
      <c r="V11" s="204"/>
      <c r="W11" s="306"/>
      <c r="X11" s="306"/>
      <c r="Y11" s="296"/>
    </row>
    <row r="12" spans="1:25" x14ac:dyDescent="0.25">
      <c r="A12" s="310"/>
      <c r="B12" s="204"/>
      <c r="C12" s="204"/>
      <c r="D12" s="204"/>
      <c r="E12" s="309"/>
      <c r="F12" s="205"/>
      <c r="G12" s="204"/>
      <c r="H12" s="204"/>
      <c r="I12" s="204"/>
      <c r="J12" s="204"/>
      <c r="K12" s="204"/>
      <c r="L12" s="204"/>
      <c r="M12" s="302"/>
      <c r="N12" s="308"/>
      <c r="O12" s="307" t="s">
        <v>426</v>
      </c>
      <c r="P12" s="307"/>
      <c r="Q12" s="307" t="s">
        <v>427</v>
      </c>
      <c r="R12" s="307"/>
      <c r="S12" s="204"/>
      <c r="T12" s="204"/>
      <c r="U12" s="204"/>
      <c r="V12" s="204"/>
      <c r="W12" s="306"/>
      <c r="X12" s="306"/>
      <c r="Y12" s="296"/>
    </row>
    <row r="13" spans="1:25" x14ac:dyDescent="0.25">
      <c r="A13" s="305"/>
      <c r="B13" s="298"/>
      <c r="C13" s="298"/>
      <c r="D13" s="298"/>
      <c r="E13" s="304"/>
      <c r="F13" s="303"/>
      <c r="G13" s="298"/>
      <c r="H13" s="298"/>
      <c r="I13" s="298"/>
      <c r="J13" s="298"/>
      <c r="K13" s="298"/>
      <c r="L13" s="298"/>
      <c r="M13" s="302" t="s">
        <v>425</v>
      </c>
      <c r="N13" s="301"/>
      <c r="O13" s="299" t="s">
        <v>428</v>
      </c>
      <c r="P13" s="300" t="s">
        <v>425</v>
      </c>
      <c r="Q13" s="299" t="s">
        <v>429</v>
      </c>
      <c r="R13" s="299"/>
      <c r="S13" s="298"/>
      <c r="T13" s="298"/>
      <c r="U13" s="298"/>
      <c r="V13" s="298"/>
      <c r="W13" s="297"/>
      <c r="X13" s="297"/>
      <c r="Y13" s="296"/>
    </row>
    <row r="14" spans="1:25" x14ac:dyDescent="0.25">
      <c r="A14" s="295" t="s">
        <v>430</v>
      </c>
      <c r="B14" s="291"/>
      <c r="C14" s="291"/>
      <c r="D14" s="291"/>
      <c r="E14" s="294"/>
      <c r="F14" s="293"/>
      <c r="G14" s="291"/>
      <c r="H14" s="291"/>
      <c r="I14" s="291"/>
      <c r="J14" s="291"/>
      <c r="K14" s="291"/>
      <c r="L14" s="291"/>
      <c r="M14" s="292"/>
      <c r="N14" s="292"/>
      <c r="O14" s="292"/>
      <c r="P14" s="292"/>
      <c r="Q14" s="292"/>
      <c r="R14" s="292"/>
      <c r="S14" s="292"/>
      <c r="T14" s="292"/>
      <c r="U14" s="292"/>
      <c r="V14" s="292"/>
      <c r="W14" s="292"/>
      <c r="X14" s="291"/>
      <c r="Y14" s="291"/>
    </row>
    <row r="15" spans="1:25" x14ac:dyDescent="0.25">
      <c r="A15" s="1820" t="s">
        <v>431</v>
      </c>
      <c r="B15" s="1830" t="s">
        <v>432</v>
      </c>
      <c r="C15" s="1820" t="s">
        <v>1098</v>
      </c>
      <c r="D15" s="1831" t="s">
        <v>1099</v>
      </c>
      <c r="E15" s="1832" t="s">
        <v>434</v>
      </c>
      <c r="F15" s="1833" t="s">
        <v>435</v>
      </c>
      <c r="G15" s="1820" t="s">
        <v>436</v>
      </c>
      <c r="H15" s="1834" t="s">
        <v>1100</v>
      </c>
      <c r="I15" s="1834"/>
      <c r="J15" s="1835"/>
      <c r="K15" s="1840" t="s">
        <v>438</v>
      </c>
      <c r="L15" s="1841"/>
      <c r="M15" s="1842" t="s">
        <v>439</v>
      </c>
      <c r="N15" s="1563"/>
      <c r="O15" s="1840" t="s">
        <v>440</v>
      </c>
      <c r="P15" s="1845"/>
      <c r="Q15" s="1845"/>
      <c r="R15" s="1845"/>
      <c r="S15" s="1845"/>
      <c r="T15" s="1845"/>
      <c r="U15" s="1845"/>
      <c r="V15" s="1845"/>
      <c r="W15" s="1845"/>
      <c r="X15" s="1841"/>
      <c r="Y15" s="1567"/>
    </row>
    <row r="16" spans="1:25" x14ac:dyDescent="0.25">
      <c r="A16" s="1820"/>
      <c r="B16" s="1830"/>
      <c r="C16" s="1820"/>
      <c r="D16" s="1827"/>
      <c r="E16" s="1832"/>
      <c r="F16" s="1833"/>
      <c r="G16" s="1820"/>
      <c r="H16" s="1836"/>
      <c r="I16" s="1836"/>
      <c r="J16" s="1837"/>
      <c r="K16" s="1820" t="s">
        <v>441</v>
      </c>
      <c r="L16" s="1820" t="s">
        <v>442</v>
      </c>
      <c r="M16" s="1843"/>
      <c r="N16" s="1564"/>
      <c r="O16" s="1821" t="s">
        <v>443</v>
      </c>
      <c r="P16" s="1822"/>
      <c r="Q16" s="1823"/>
      <c r="R16" s="290"/>
      <c r="S16" s="1824" t="s">
        <v>444</v>
      </c>
      <c r="T16" s="1825"/>
      <c r="U16" s="1825"/>
      <c r="V16" s="1825"/>
      <c r="W16" s="1826"/>
      <c r="X16" s="289"/>
      <c r="Y16" s="1567"/>
    </row>
    <row r="17" spans="1:25" x14ac:dyDescent="0.25">
      <c r="A17" s="1820"/>
      <c r="B17" s="1830"/>
      <c r="C17" s="1820"/>
      <c r="D17" s="1827"/>
      <c r="E17" s="1832"/>
      <c r="F17" s="1833"/>
      <c r="G17" s="1820"/>
      <c r="H17" s="1838"/>
      <c r="I17" s="1838"/>
      <c r="J17" s="1839"/>
      <c r="K17" s="1820"/>
      <c r="L17" s="1820"/>
      <c r="M17" s="1843"/>
      <c r="N17" s="1827" t="s">
        <v>1101</v>
      </c>
      <c r="O17" s="1821" t="s">
        <v>1102</v>
      </c>
      <c r="P17" s="1822"/>
      <c r="Q17" s="1823"/>
      <c r="R17" s="1821" t="s">
        <v>1103</v>
      </c>
      <c r="S17" s="1822"/>
      <c r="T17" s="1822"/>
      <c r="U17" s="288"/>
      <c r="V17" s="1822" t="s">
        <v>1102</v>
      </c>
      <c r="W17" s="1822"/>
      <c r="X17" s="1823"/>
      <c r="Y17" s="1567"/>
    </row>
    <row r="18" spans="1:25" ht="57" x14ac:dyDescent="0.25">
      <c r="A18" s="1820"/>
      <c r="B18" s="1830"/>
      <c r="C18" s="1820"/>
      <c r="D18" s="1828"/>
      <c r="E18" s="1832"/>
      <c r="F18" s="1833"/>
      <c r="G18" s="1820"/>
      <c r="H18" s="1568" t="s">
        <v>448</v>
      </c>
      <c r="I18" s="1568" t="s">
        <v>449</v>
      </c>
      <c r="J18" s="1568" t="s">
        <v>447</v>
      </c>
      <c r="K18" s="1820"/>
      <c r="L18" s="1820"/>
      <c r="M18" s="1844"/>
      <c r="N18" s="1828"/>
      <c r="O18" s="1565" t="s">
        <v>868</v>
      </c>
      <c r="P18" s="1565" t="s">
        <v>1104</v>
      </c>
      <c r="Q18" s="1565" t="s">
        <v>447</v>
      </c>
      <c r="R18" s="1565" t="s">
        <v>1105</v>
      </c>
      <c r="S18" s="1565" t="s">
        <v>449</v>
      </c>
      <c r="T18" s="1565" t="s">
        <v>447</v>
      </c>
      <c r="U18" s="1565" t="s">
        <v>453</v>
      </c>
      <c r="V18" s="1565" t="s">
        <v>868</v>
      </c>
      <c r="W18" s="1565" t="s">
        <v>449</v>
      </c>
      <c r="X18" s="1567" t="s">
        <v>447</v>
      </c>
      <c r="Y18" s="1567" t="s">
        <v>937</v>
      </c>
    </row>
    <row r="19" spans="1:25" x14ac:dyDescent="0.25">
      <c r="A19" s="287" t="s">
        <v>1106</v>
      </c>
      <c r="B19" s="287" t="s">
        <v>1107</v>
      </c>
      <c r="C19" s="287" t="s">
        <v>1108</v>
      </c>
      <c r="D19" s="287" t="s">
        <v>1109</v>
      </c>
      <c r="E19" s="287" t="s">
        <v>1110</v>
      </c>
      <c r="F19" s="287" t="s">
        <v>1111</v>
      </c>
      <c r="G19" s="287" t="s">
        <v>1112</v>
      </c>
      <c r="H19" s="287" t="s">
        <v>1113</v>
      </c>
      <c r="I19" s="287" t="s">
        <v>1114</v>
      </c>
      <c r="J19" s="287" t="s">
        <v>1115</v>
      </c>
      <c r="K19" s="287" t="s">
        <v>1116</v>
      </c>
      <c r="L19" s="287" t="s">
        <v>1086</v>
      </c>
      <c r="M19" s="287" t="s">
        <v>1117</v>
      </c>
      <c r="N19" s="287" t="s">
        <v>1118</v>
      </c>
      <c r="O19" s="287" t="s">
        <v>1119</v>
      </c>
      <c r="P19" s="287" t="s">
        <v>1082</v>
      </c>
      <c r="Q19" s="287" t="s">
        <v>1120</v>
      </c>
      <c r="R19" s="287" t="s">
        <v>1121</v>
      </c>
      <c r="S19" s="287" t="s">
        <v>1122</v>
      </c>
      <c r="T19" s="287" t="s">
        <v>1123</v>
      </c>
      <c r="U19" s="287" t="s">
        <v>1124</v>
      </c>
      <c r="V19" s="287" t="s">
        <v>1125</v>
      </c>
      <c r="W19" s="287" t="s">
        <v>1126</v>
      </c>
      <c r="X19" s="287" t="s">
        <v>1127</v>
      </c>
      <c r="Y19" s="287" t="s">
        <v>1128</v>
      </c>
    </row>
    <row r="20" spans="1:25" x14ac:dyDescent="0.25">
      <c r="A20" s="284"/>
      <c r="B20" s="286" t="s">
        <v>470</v>
      </c>
      <c r="C20" s="284"/>
      <c r="D20" s="284"/>
      <c r="E20" s="285">
        <f>E21</f>
        <v>93</v>
      </c>
      <c r="F20" s="282">
        <f>F21</f>
        <v>0</v>
      </c>
      <c r="G20" s="284"/>
      <c r="H20" s="283">
        <f>H21</f>
        <v>0</v>
      </c>
      <c r="I20" s="283">
        <f>I21</f>
        <v>46.75</v>
      </c>
      <c r="J20" s="283"/>
      <c r="K20" s="283">
        <f>K21</f>
        <v>0</v>
      </c>
      <c r="L20" s="282">
        <f>L21</f>
        <v>0</v>
      </c>
      <c r="M20" s="282"/>
      <c r="N20" s="282"/>
      <c r="O20" s="282"/>
      <c r="P20" s="282"/>
      <c r="Q20" s="282"/>
      <c r="R20" s="282"/>
      <c r="S20" s="281">
        <f>S21</f>
        <v>106.3125</v>
      </c>
      <c r="T20" s="281"/>
      <c r="U20" s="281"/>
      <c r="V20" s="281"/>
      <c r="W20" s="281">
        <f>W21</f>
        <v>1594687.5</v>
      </c>
      <c r="X20" s="281">
        <f>X21</f>
        <v>1594687.5</v>
      </c>
      <c r="Y20" s="281">
        <f>Y21</f>
        <v>1594687.5</v>
      </c>
    </row>
    <row r="21" spans="1:25" x14ac:dyDescent="0.25">
      <c r="A21" s="280"/>
      <c r="B21" s="279" t="s">
        <v>537</v>
      </c>
      <c r="C21" s="278"/>
      <c r="D21" s="278"/>
      <c r="E21" s="277">
        <f>SUM(E22+E25+E28)</f>
        <v>93</v>
      </c>
      <c r="F21" s="272"/>
      <c r="G21" s="276"/>
      <c r="H21" s="275"/>
      <c r="I21" s="275">
        <f>SUM(I22+I25+I28)</f>
        <v>46.75</v>
      </c>
      <c r="J21" s="275"/>
      <c r="K21" s="275"/>
      <c r="L21" s="272"/>
      <c r="M21" s="274"/>
      <c r="N21" s="274"/>
      <c r="O21" s="273"/>
      <c r="P21" s="273"/>
      <c r="Q21" s="272"/>
      <c r="R21" s="272"/>
      <c r="S21" s="271">
        <f>SUM(S22+S25+S28)</f>
        <v>106.3125</v>
      </c>
      <c r="T21" s="271"/>
      <c r="U21" s="271"/>
      <c r="V21" s="271"/>
      <c r="W21" s="271">
        <f>SUM(W22+W25+W28)</f>
        <v>1594687.5</v>
      </c>
      <c r="X21" s="271">
        <f>SUM(X22+X25+X28)</f>
        <v>1594687.5</v>
      </c>
      <c r="Y21" s="271">
        <f>SUM(Y22+Y25+Y28)</f>
        <v>1594687.5</v>
      </c>
    </row>
    <row r="22" spans="1:25" x14ac:dyDescent="0.25">
      <c r="A22" s="267"/>
      <c r="B22" s="260" t="s">
        <v>720</v>
      </c>
      <c r="C22" s="270"/>
      <c r="D22" s="270"/>
      <c r="E22" s="269">
        <f>SUM(E23:E24)</f>
        <v>30</v>
      </c>
      <c r="F22" s="268"/>
      <c r="G22" s="267"/>
      <c r="H22" s="266"/>
      <c r="I22" s="229">
        <f>SUM(I23:I24)</f>
        <v>15</v>
      </c>
      <c r="J22" s="229">
        <f t="shared" ref="J22:J29" si="0">SUM(H22+I22)</f>
        <v>15</v>
      </c>
      <c r="K22" s="229"/>
      <c r="L22" s="263"/>
      <c r="M22" s="265"/>
      <c r="N22" s="265"/>
      <c r="O22" s="264"/>
      <c r="P22" s="264"/>
      <c r="Q22" s="263"/>
      <c r="R22" s="263"/>
      <c r="S22" s="261">
        <f>SUM(S23:S24)</f>
        <v>26.25</v>
      </c>
      <c r="T22" s="261">
        <v>26.25</v>
      </c>
      <c r="U22" s="262"/>
      <c r="V22" s="262"/>
      <c r="W22" s="261">
        <f>SUM(W23:W24)</f>
        <v>393750</v>
      </c>
      <c r="X22" s="261">
        <f>SUM(X23:X24)</f>
        <v>393750</v>
      </c>
      <c r="Y22" s="261">
        <f>SUM(Y23:Y24)</f>
        <v>393750</v>
      </c>
    </row>
    <row r="23" spans="1:25" x14ac:dyDescent="0.25">
      <c r="A23" s="255"/>
      <c r="B23" s="260"/>
      <c r="C23" s="223" t="s">
        <v>1139</v>
      </c>
      <c r="D23" s="246"/>
      <c r="E23" s="259">
        <v>20</v>
      </c>
      <c r="F23" s="244"/>
      <c r="G23" s="243" t="s">
        <v>586</v>
      </c>
      <c r="H23" s="258"/>
      <c r="I23" s="257">
        <v>10</v>
      </c>
      <c r="J23" s="218">
        <f t="shared" si="0"/>
        <v>10</v>
      </c>
      <c r="K23" s="241">
        <v>5</v>
      </c>
      <c r="L23" s="240">
        <v>2.25</v>
      </c>
      <c r="M23" s="239">
        <v>0.45</v>
      </c>
      <c r="N23" s="239"/>
      <c r="O23" s="238"/>
      <c r="P23" s="222"/>
      <c r="Q23" s="237"/>
      <c r="R23" s="237"/>
      <c r="S23" s="211">
        <f>I23*K23*M23</f>
        <v>22.5</v>
      </c>
      <c r="T23" s="211">
        <v>22.5</v>
      </c>
      <c r="U23" s="248">
        <v>15</v>
      </c>
      <c r="V23" s="248"/>
      <c r="W23" s="234">
        <f>S23*1000*U23</f>
        <v>337500</v>
      </c>
      <c r="X23" s="210">
        <f>SUM(W23+V23)</f>
        <v>337500</v>
      </c>
      <c r="Y23" s="210">
        <f>SUM(X23+Q23)</f>
        <v>337500</v>
      </c>
    </row>
    <row r="24" spans="1:25" x14ac:dyDescent="0.25">
      <c r="A24" s="255"/>
      <c r="B24" s="256"/>
      <c r="C24" s="223" t="s">
        <v>1139</v>
      </c>
      <c r="D24" s="223"/>
      <c r="E24" s="233">
        <v>10</v>
      </c>
      <c r="F24" s="222"/>
      <c r="G24" s="221" t="s">
        <v>474</v>
      </c>
      <c r="H24" s="217"/>
      <c r="I24" s="219">
        <v>5</v>
      </c>
      <c r="J24" s="218">
        <f t="shared" si="0"/>
        <v>5</v>
      </c>
      <c r="K24" s="217">
        <v>5</v>
      </c>
      <c r="L24" s="216">
        <v>4.25</v>
      </c>
      <c r="M24" s="215">
        <v>0.15</v>
      </c>
      <c r="N24" s="215"/>
      <c r="O24" s="213"/>
      <c r="P24" s="214"/>
      <c r="Q24" s="213"/>
      <c r="R24" s="213"/>
      <c r="S24" s="211">
        <f>I24*K24*M24</f>
        <v>3.75</v>
      </c>
      <c r="T24" s="211">
        <v>3.75</v>
      </c>
      <c r="U24" s="212">
        <v>15</v>
      </c>
      <c r="V24" s="212"/>
      <c r="W24" s="211">
        <f>S24*1000*U24</f>
        <v>56250</v>
      </c>
      <c r="X24" s="210">
        <f>SUM(W24+V24)</f>
        <v>56250</v>
      </c>
      <c r="Y24" s="210">
        <f>SUM(X24+Q24)</f>
        <v>56250</v>
      </c>
    </row>
    <row r="25" spans="1:25" x14ac:dyDescent="0.25">
      <c r="A25" s="255"/>
      <c r="B25" s="223" t="s">
        <v>718</v>
      </c>
      <c r="C25" s="223"/>
      <c r="D25" s="246"/>
      <c r="E25" s="254">
        <f>SUM(E26:E27)</f>
        <v>60</v>
      </c>
      <c r="F25" s="253"/>
      <c r="G25" s="252"/>
      <c r="H25" s="217"/>
      <c r="I25" s="251">
        <f>SUM(I26:I27)</f>
        <v>30</v>
      </c>
      <c r="J25" s="229">
        <f t="shared" si="0"/>
        <v>30</v>
      </c>
      <c r="K25" s="217"/>
      <c r="L25" s="216"/>
      <c r="M25" s="250"/>
      <c r="N25" s="250"/>
      <c r="O25" s="249"/>
      <c r="P25" s="214"/>
      <c r="Q25" s="213"/>
      <c r="R25" s="249"/>
      <c r="S25" s="247">
        <f>SUM(S26:S27)</f>
        <v>78.75</v>
      </c>
      <c r="T25" s="247">
        <v>78.75</v>
      </c>
      <c r="U25" s="212"/>
      <c r="V25" s="248"/>
      <c r="W25" s="247">
        <f>SUM(W26:W27)</f>
        <v>1181250</v>
      </c>
      <c r="X25" s="247">
        <f>SUM(X26:X27)</f>
        <v>1181250</v>
      </c>
      <c r="Y25" s="247">
        <f>SUM(Y26:Y27)</f>
        <v>1181250</v>
      </c>
    </row>
    <row r="26" spans="1:25" x14ac:dyDescent="0.25">
      <c r="A26" s="232"/>
      <c r="B26" s="223"/>
      <c r="C26" s="223" t="s">
        <v>1139</v>
      </c>
      <c r="D26" s="246"/>
      <c r="E26" s="245">
        <v>30</v>
      </c>
      <c r="F26" s="244"/>
      <c r="G26" s="243" t="s">
        <v>586</v>
      </c>
      <c r="H26" s="241"/>
      <c r="I26" s="242">
        <v>15</v>
      </c>
      <c r="J26" s="218">
        <f t="shared" si="0"/>
        <v>15</v>
      </c>
      <c r="K26" s="241">
        <v>5</v>
      </c>
      <c r="L26" s="240">
        <v>2.25</v>
      </c>
      <c r="M26" s="239">
        <v>0.45</v>
      </c>
      <c r="N26" s="239"/>
      <c r="O26" s="238"/>
      <c r="P26" s="222"/>
      <c r="Q26" s="237"/>
      <c r="R26" s="237"/>
      <c r="S26" s="211">
        <f>I26*K26*M26</f>
        <v>33.75</v>
      </c>
      <c r="T26" s="211">
        <v>33.75</v>
      </c>
      <c r="U26" s="236">
        <v>15</v>
      </c>
      <c r="V26" s="235"/>
      <c r="W26" s="234">
        <f>S26*1000*U26</f>
        <v>506250</v>
      </c>
      <c r="X26" s="210">
        <f>SUM(W26+V26)</f>
        <v>506250</v>
      </c>
      <c r="Y26" s="210">
        <f>SUM(X26+Q26)</f>
        <v>506250</v>
      </c>
    </row>
    <row r="27" spans="1:25" x14ac:dyDescent="0.25">
      <c r="A27" s="232"/>
      <c r="B27" s="223"/>
      <c r="C27" s="223" t="s">
        <v>1139</v>
      </c>
      <c r="D27" s="223"/>
      <c r="E27" s="233">
        <v>30</v>
      </c>
      <c r="F27" s="222"/>
      <c r="G27" s="221" t="s">
        <v>474</v>
      </c>
      <c r="H27" s="217"/>
      <c r="I27" s="217">
        <v>15</v>
      </c>
      <c r="J27" s="218">
        <f t="shared" si="0"/>
        <v>15</v>
      </c>
      <c r="K27" s="217">
        <v>5</v>
      </c>
      <c r="L27" s="228">
        <v>2</v>
      </c>
      <c r="M27" s="215">
        <v>0.6</v>
      </c>
      <c r="N27" s="215"/>
      <c r="O27" s="227"/>
      <c r="P27" s="226"/>
      <c r="Q27" s="214"/>
      <c r="R27" s="214"/>
      <c r="S27" s="211">
        <f>I27*K27*M27</f>
        <v>45</v>
      </c>
      <c r="T27" s="211">
        <v>45</v>
      </c>
      <c r="U27" s="212">
        <v>15</v>
      </c>
      <c r="V27" s="212"/>
      <c r="W27" s="211">
        <f>S27*1000*U27</f>
        <v>675000</v>
      </c>
      <c r="X27" s="210">
        <f>SUM(W27+V27)</f>
        <v>675000</v>
      </c>
      <c r="Y27" s="210">
        <f>SUM(X27+Q27)</f>
        <v>675000</v>
      </c>
    </row>
    <row r="28" spans="1:25" x14ac:dyDescent="0.25">
      <c r="A28" s="232"/>
      <c r="B28" s="223" t="s">
        <v>570</v>
      </c>
      <c r="C28" s="223"/>
      <c r="D28" s="223"/>
      <c r="E28" s="231">
        <f>E29</f>
        <v>3</v>
      </c>
      <c r="F28" s="222"/>
      <c r="G28" s="221"/>
      <c r="H28" s="217"/>
      <c r="I28" s="230">
        <f>I29</f>
        <v>1.75</v>
      </c>
      <c r="J28" s="229">
        <f t="shared" si="0"/>
        <v>1.75</v>
      </c>
      <c r="K28" s="217"/>
      <c r="L28" s="228"/>
      <c r="M28" s="215"/>
      <c r="N28" s="215"/>
      <c r="O28" s="227"/>
      <c r="P28" s="226"/>
      <c r="Q28" s="214"/>
      <c r="R28" s="214"/>
      <c r="S28" s="225">
        <f>S29</f>
        <v>1.3125</v>
      </c>
      <c r="T28" s="225">
        <v>1.3125</v>
      </c>
      <c r="U28" s="212"/>
      <c r="V28" s="212"/>
      <c r="W28" s="225">
        <f>W29</f>
        <v>19687.5</v>
      </c>
      <c r="X28" s="225">
        <f>X29</f>
        <v>19687.5</v>
      </c>
      <c r="Y28" s="225">
        <f>Y29</f>
        <v>19687.5</v>
      </c>
    </row>
    <row r="29" spans="1:25" x14ac:dyDescent="0.25">
      <c r="A29" s="224"/>
      <c r="B29" s="223"/>
      <c r="C29" s="223" t="s">
        <v>1139</v>
      </c>
      <c r="D29" s="223"/>
      <c r="E29" s="223">
        <v>3</v>
      </c>
      <c r="F29" s="222"/>
      <c r="G29" s="221" t="s">
        <v>474</v>
      </c>
      <c r="H29" s="220"/>
      <c r="I29" s="219">
        <v>1.75</v>
      </c>
      <c r="J29" s="218">
        <f t="shared" si="0"/>
        <v>1.75</v>
      </c>
      <c r="K29" s="217">
        <v>5</v>
      </c>
      <c r="L29" s="216">
        <v>4.25</v>
      </c>
      <c r="M29" s="215">
        <v>0.15</v>
      </c>
      <c r="N29" s="215"/>
      <c r="O29" s="213"/>
      <c r="P29" s="214"/>
      <c r="Q29" s="213"/>
      <c r="R29" s="213"/>
      <c r="S29" s="211">
        <f>I29*K29*M29</f>
        <v>1.3125</v>
      </c>
      <c r="T29" s="211">
        <v>1.3125</v>
      </c>
      <c r="U29" s="212">
        <v>15</v>
      </c>
      <c r="V29" s="212"/>
      <c r="W29" s="211">
        <f>S29*1000*U29</f>
        <v>19687.5</v>
      </c>
      <c r="X29" s="210">
        <f>SUM(W29+V29)</f>
        <v>19687.5</v>
      </c>
      <c r="Y29" s="210">
        <f>SUM(X29+Q29)</f>
        <v>19687.5</v>
      </c>
    </row>
    <row r="30" spans="1:25" x14ac:dyDescent="0.25">
      <c r="A30" s="209"/>
      <c r="B30" s="208"/>
      <c r="C30" s="207"/>
      <c r="D30" s="207"/>
      <c r="E30" s="206">
        <v>4</v>
      </c>
      <c r="F30" s="205">
        <v>5</v>
      </c>
      <c r="G30" s="206">
        <v>6</v>
      </c>
      <c r="H30" s="205">
        <v>7</v>
      </c>
      <c r="I30" s="206">
        <v>8</v>
      </c>
      <c r="J30" s="205">
        <v>9</v>
      </c>
      <c r="K30" s="206">
        <v>10</v>
      </c>
      <c r="L30" s="205">
        <v>11</v>
      </c>
      <c r="M30" s="206">
        <v>12</v>
      </c>
      <c r="N30" s="205">
        <v>13</v>
      </c>
      <c r="O30" s="206">
        <v>14</v>
      </c>
      <c r="P30" s="205">
        <v>15</v>
      </c>
      <c r="Q30" s="206">
        <v>16</v>
      </c>
      <c r="R30" s="205">
        <v>17</v>
      </c>
      <c r="S30" s="206">
        <v>18</v>
      </c>
      <c r="T30" s="205">
        <v>19</v>
      </c>
      <c r="U30" s="206">
        <v>20</v>
      </c>
      <c r="V30" s="205">
        <v>21</v>
      </c>
      <c r="W30" s="206">
        <v>22</v>
      </c>
      <c r="X30" s="205">
        <v>23</v>
      </c>
      <c r="Y30" s="206">
        <v>24</v>
      </c>
    </row>
    <row r="31" spans="1:25" ht="20.25" x14ac:dyDescent="0.3">
      <c r="A31" s="189"/>
      <c r="B31" s="203" t="s">
        <v>522</v>
      </c>
      <c r="C31" s="203"/>
      <c r="D31" s="203"/>
      <c r="E31" s="202"/>
      <c r="F31" s="189"/>
      <c r="G31" s="202" t="s">
        <v>656</v>
      </c>
      <c r="H31" s="189"/>
      <c r="I31" s="191"/>
      <c r="J31" s="191"/>
      <c r="K31" s="201" t="s">
        <v>657</v>
      </c>
      <c r="L31" s="201"/>
      <c r="M31" s="189"/>
      <c r="N31" s="189"/>
      <c r="O31" s="201"/>
      <c r="P31" s="200"/>
      <c r="Q31" s="196"/>
      <c r="R31" s="196"/>
      <c r="S31" s="196" t="s">
        <v>658</v>
      </c>
      <c r="T31" s="196"/>
      <c r="U31" s="196"/>
      <c r="V31" s="196"/>
      <c r="W31" s="196"/>
      <c r="X31" s="189"/>
      <c r="Y31" s="189"/>
    </row>
    <row r="32" spans="1:25" ht="20.25" x14ac:dyDescent="0.3">
      <c r="A32" s="189"/>
      <c r="B32" s="203"/>
      <c r="C32" s="203"/>
      <c r="D32" s="203"/>
      <c r="E32" s="202"/>
      <c r="F32" s="189"/>
      <c r="G32" s="202"/>
      <c r="H32" s="189"/>
      <c r="I32" s="191"/>
      <c r="J32" s="191"/>
      <c r="K32" s="201"/>
      <c r="L32" s="201"/>
      <c r="M32" s="189"/>
      <c r="N32" s="189"/>
      <c r="O32" s="201"/>
      <c r="P32" s="200"/>
      <c r="Q32" s="196"/>
      <c r="R32" s="196"/>
      <c r="S32" s="196"/>
      <c r="T32" s="196"/>
      <c r="U32" s="196"/>
      <c r="V32" s="196"/>
      <c r="W32" s="196"/>
      <c r="X32" s="189"/>
      <c r="Y32" s="189"/>
    </row>
    <row r="33" spans="1:25" ht="20.25" x14ac:dyDescent="0.3">
      <c r="A33" s="189"/>
      <c r="B33" s="200"/>
      <c r="C33" s="200"/>
      <c r="D33" s="200"/>
      <c r="E33" s="202"/>
      <c r="F33" s="189"/>
      <c r="G33" s="202"/>
      <c r="H33" s="200"/>
      <c r="I33" s="191"/>
      <c r="J33" s="191"/>
      <c r="K33" s="201"/>
      <c r="L33" s="201"/>
      <c r="M33" s="189"/>
      <c r="N33" s="189"/>
      <c r="O33" s="201"/>
      <c r="P33" s="200"/>
      <c r="Q33" s="196"/>
      <c r="R33" s="196"/>
      <c r="S33" s="196"/>
      <c r="T33" s="196"/>
      <c r="U33" s="196"/>
      <c r="V33" s="196"/>
      <c r="W33" s="196"/>
      <c r="X33" s="200"/>
      <c r="Y33" s="200"/>
    </row>
    <row r="34" spans="1:25" ht="20.25" x14ac:dyDescent="0.3">
      <c r="A34" s="189"/>
      <c r="B34" s="199" t="s">
        <v>1130</v>
      </c>
      <c r="C34" s="199"/>
      <c r="D34" s="199"/>
      <c r="E34" s="198"/>
      <c r="F34" s="189"/>
      <c r="G34" s="197" t="s">
        <v>524</v>
      </c>
      <c r="H34" s="196"/>
      <c r="I34" s="191"/>
      <c r="J34" s="191"/>
      <c r="K34" s="195" t="s">
        <v>1131</v>
      </c>
      <c r="L34" s="195"/>
      <c r="M34" s="189"/>
      <c r="N34" s="189"/>
      <c r="O34" s="195"/>
      <c r="P34" s="195"/>
      <c r="Q34" s="195"/>
      <c r="R34" s="195"/>
      <c r="S34" s="194" t="s">
        <v>1132</v>
      </c>
      <c r="T34" s="194"/>
      <c r="U34" s="192"/>
      <c r="V34" s="192"/>
      <c r="W34" s="192"/>
      <c r="X34" s="192"/>
      <c r="Y34" s="192"/>
    </row>
    <row r="35" spans="1:25" ht="20.25" x14ac:dyDescent="0.3">
      <c r="A35" s="189"/>
      <c r="B35" s="193" t="s">
        <v>750</v>
      </c>
      <c r="C35" s="193"/>
      <c r="D35" s="193"/>
      <c r="E35" s="192"/>
      <c r="F35" s="189"/>
      <c r="G35" s="186" t="s">
        <v>1133</v>
      </c>
      <c r="H35" s="189"/>
      <c r="I35" s="191"/>
      <c r="J35" s="191"/>
      <c r="K35" s="190" t="s">
        <v>1134</v>
      </c>
      <c r="L35" s="190"/>
      <c r="M35" s="189"/>
      <c r="N35" s="189"/>
      <c r="O35" s="188"/>
      <c r="P35" s="188"/>
      <c r="Q35" s="188"/>
      <c r="R35" s="188"/>
      <c r="S35" s="187" t="s">
        <v>994</v>
      </c>
      <c r="T35" s="187"/>
      <c r="U35" s="186"/>
      <c r="V35" s="186"/>
      <c r="W35" s="186"/>
      <c r="X35" s="186"/>
      <c r="Y35" s="186"/>
    </row>
  </sheetData>
  <mergeCells count="27">
    <mergeCell ref="A6:X6"/>
    <mergeCell ref="A1:X1"/>
    <mergeCell ref="A2:X2"/>
    <mergeCell ref="A3:X3"/>
    <mergeCell ref="A4:X4"/>
    <mergeCell ref="A5:X5"/>
    <mergeCell ref="A7:W7"/>
    <mergeCell ref="A8:W8"/>
    <mergeCell ref="A15:A18"/>
    <mergeCell ref="B15:B18"/>
    <mergeCell ref="C15:C18"/>
    <mergeCell ref="D15:D18"/>
    <mergeCell ref="E15:E18"/>
    <mergeCell ref="F15:F18"/>
    <mergeCell ref="G15:G18"/>
    <mergeCell ref="H15:J17"/>
    <mergeCell ref="R17:T17"/>
    <mergeCell ref="V17:X17"/>
    <mergeCell ref="K15:L15"/>
    <mergeCell ref="M15:M18"/>
    <mergeCell ref="O15:X15"/>
    <mergeCell ref="K16:K18"/>
    <mergeCell ref="L16:L18"/>
    <mergeCell ref="O16:Q16"/>
    <mergeCell ref="S16:W16"/>
    <mergeCell ref="N17:N18"/>
    <mergeCell ref="O17:Q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0BC-3A60-594D-AD0E-A2EFB9D0D18C}">
  <sheetPr>
    <tabColor rgb="FFC00000"/>
  </sheetPr>
  <dimension ref="A1:T79"/>
  <sheetViews>
    <sheetView showGridLines="0" view="pageBreakPreview" zoomScale="82" zoomScaleNormal="70" zoomScaleSheetLayoutView="82" workbookViewId="0">
      <pane xSplit="2" ySplit="18" topLeftCell="C19" activePane="bottomRight" state="frozen"/>
      <selection pane="topRight" activeCell="R10" sqref="R10"/>
      <selection pane="bottomLeft" activeCell="R10" sqref="R10"/>
      <selection pane="bottomRight" activeCell="B29" sqref="B29"/>
    </sheetView>
  </sheetViews>
  <sheetFormatPr defaultColWidth="14.5" defaultRowHeight="15.75" x14ac:dyDescent="0.25"/>
  <cols>
    <col min="1" max="1" width="5.5" style="391" customWidth="1"/>
    <col min="2" max="2" width="13.625" style="391" customWidth="1"/>
    <col min="3" max="3" width="17.375" style="391" customWidth="1"/>
    <col min="4" max="4" width="11.125" style="391" customWidth="1"/>
    <col min="5" max="5" width="10.875" style="508" customWidth="1"/>
    <col min="6" max="6" width="18.5" style="506" customWidth="1"/>
    <col min="7" max="7" width="15.875" style="507" customWidth="1"/>
    <col min="8" max="8" width="13" style="391" customWidth="1"/>
    <col min="9" max="9" width="11" style="391" customWidth="1"/>
    <col min="10" max="10" width="12.125" style="391" customWidth="1"/>
    <col min="11" max="11" width="10.375" style="391" customWidth="1"/>
    <col min="12" max="12" width="9.5" style="391" customWidth="1"/>
    <col min="13" max="13" width="9.125" style="507" customWidth="1"/>
    <col min="14" max="14" width="12.875" style="391" customWidth="1"/>
    <col min="15" max="15" width="13.875" style="391" customWidth="1"/>
    <col min="16" max="16" width="10.5" style="391" customWidth="1"/>
    <col min="17" max="17" width="7.5" style="391" customWidth="1"/>
    <col min="18" max="18" width="15.375" style="391" customWidth="1"/>
    <col min="19" max="19" width="16.375" style="391" customWidth="1"/>
    <col min="20" max="20" width="58.375" style="391" hidden="1" customWidth="1"/>
    <col min="21" max="21" width="15" style="391" bestFit="1" customWidth="1"/>
    <col min="22" max="256" width="14.5" style="391"/>
    <col min="257" max="257" width="5.5" style="391" customWidth="1"/>
    <col min="258" max="258" width="13.625" style="391" customWidth="1"/>
    <col min="259" max="259" width="15.125" style="391" customWidth="1"/>
    <col min="260" max="260" width="11.125" style="391" customWidth="1"/>
    <col min="261" max="261" width="10.875" style="391" customWidth="1"/>
    <col min="262" max="262" width="23" style="391" customWidth="1"/>
    <col min="263" max="263" width="18.125" style="391" customWidth="1"/>
    <col min="264" max="264" width="13" style="391" customWidth="1"/>
    <col min="265" max="265" width="11" style="391" customWidth="1"/>
    <col min="266" max="266" width="12.125" style="391" customWidth="1"/>
    <col min="267" max="267" width="10.375" style="391" customWidth="1"/>
    <col min="268" max="268" width="13.875" style="391" customWidth="1"/>
    <col min="269" max="269" width="7.5" style="391" customWidth="1"/>
    <col min="270" max="270" width="13" style="391" customWidth="1"/>
    <col min="271" max="271" width="13.5" style="391" customWidth="1"/>
    <col min="272" max="272" width="11" style="391" customWidth="1"/>
    <col min="273" max="273" width="10.5" style="391" customWidth="1"/>
    <col min="274" max="274" width="15" style="391" customWidth="1"/>
    <col min="275" max="275" width="15.875" style="391" customWidth="1"/>
    <col min="276" max="276" width="0" style="391" hidden="1" customWidth="1"/>
    <col min="277" max="512" width="14.5" style="391"/>
    <col min="513" max="513" width="5.5" style="391" customWidth="1"/>
    <col min="514" max="514" width="13.625" style="391" customWidth="1"/>
    <col min="515" max="515" width="15.125" style="391" customWidth="1"/>
    <col min="516" max="516" width="11.125" style="391" customWidth="1"/>
    <col min="517" max="517" width="10.875" style="391" customWidth="1"/>
    <col min="518" max="518" width="23" style="391" customWidth="1"/>
    <col min="519" max="519" width="18.125" style="391" customWidth="1"/>
    <col min="520" max="520" width="13" style="391" customWidth="1"/>
    <col min="521" max="521" width="11" style="391" customWidth="1"/>
    <col min="522" max="522" width="12.125" style="391" customWidth="1"/>
    <col min="523" max="523" width="10.375" style="391" customWidth="1"/>
    <col min="524" max="524" width="13.875" style="391" customWidth="1"/>
    <col min="525" max="525" width="7.5" style="391" customWidth="1"/>
    <col min="526" max="526" width="13" style="391" customWidth="1"/>
    <col min="527" max="527" width="13.5" style="391" customWidth="1"/>
    <col min="528" max="528" width="11" style="391" customWidth="1"/>
    <col min="529" max="529" width="10.5" style="391" customWidth="1"/>
    <col min="530" max="530" width="15" style="391" customWidth="1"/>
    <col min="531" max="531" width="15.875" style="391" customWidth="1"/>
    <col min="532" max="532" width="0" style="391" hidden="1" customWidth="1"/>
    <col min="533" max="768" width="14.5" style="391"/>
    <col min="769" max="769" width="5.5" style="391" customWidth="1"/>
    <col min="770" max="770" width="13.625" style="391" customWidth="1"/>
    <col min="771" max="771" width="15.125" style="391" customWidth="1"/>
    <col min="772" max="772" width="11.125" style="391" customWidth="1"/>
    <col min="773" max="773" width="10.875" style="391" customWidth="1"/>
    <col min="774" max="774" width="23" style="391" customWidth="1"/>
    <col min="775" max="775" width="18.125" style="391" customWidth="1"/>
    <col min="776" max="776" width="13" style="391" customWidth="1"/>
    <col min="777" max="777" width="11" style="391" customWidth="1"/>
    <col min="778" max="778" width="12.125" style="391" customWidth="1"/>
    <col min="779" max="779" width="10.375" style="391" customWidth="1"/>
    <col min="780" max="780" width="13.875" style="391" customWidth="1"/>
    <col min="781" max="781" width="7.5" style="391" customWidth="1"/>
    <col min="782" max="782" width="13" style="391" customWidth="1"/>
    <col min="783" max="783" width="13.5" style="391" customWidth="1"/>
    <col min="784" max="784" width="11" style="391" customWidth="1"/>
    <col min="785" max="785" width="10.5" style="391" customWidth="1"/>
    <col min="786" max="786" width="15" style="391" customWidth="1"/>
    <col min="787" max="787" width="15.875" style="391" customWidth="1"/>
    <col min="788" max="788" width="0" style="391" hidden="1" customWidth="1"/>
    <col min="789" max="1024" width="14.5" style="391"/>
    <col min="1025" max="1025" width="5.5" style="391" customWidth="1"/>
    <col min="1026" max="1026" width="13.625" style="391" customWidth="1"/>
    <col min="1027" max="1027" width="15.125" style="391" customWidth="1"/>
    <col min="1028" max="1028" width="11.125" style="391" customWidth="1"/>
    <col min="1029" max="1029" width="10.875" style="391" customWidth="1"/>
    <col min="1030" max="1030" width="23" style="391" customWidth="1"/>
    <col min="1031" max="1031" width="18.125" style="391" customWidth="1"/>
    <col min="1032" max="1032" width="13" style="391" customWidth="1"/>
    <col min="1033" max="1033" width="11" style="391" customWidth="1"/>
    <col min="1034" max="1034" width="12.125" style="391" customWidth="1"/>
    <col min="1035" max="1035" width="10.375" style="391" customWidth="1"/>
    <col min="1036" max="1036" width="13.875" style="391" customWidth="1"/>
    <col min="1037" max="1037" width="7.5" style="391" customWidth="1"/>
    <col min="1038" max="1038" width="13" style="391" customWidth="1"/>
    <col min="1039" max="1039" width="13.5" style="391" customWidth="1"/>
    <col min="1040" max="1040" width="11" style="391" customWidth="1"/>
    <col min="1041" max="1041" width="10.5" style="391" customWidth="1"/>
    <col min="1042" max="1042" width="15" style="391" customWidth="1"/>
    <col min="1043" max="1043" width="15.875" style="391" customWidth="1"/>
    <col min="1044" max="1044" width="0" style="391" hidden="1" customWidth="1"/>
    <col min="1045" max="1280" width="14.5" style="391"/>
    <col min="1281" max="1281" width="5.5" style="391" customWidth="1"/>
    <col min="1282" max="1282" width="13.625" style="391" customWidth="1"/>
    <col min="1283" max="1283" width="15.125" style="391" customWidth="1"/>
    <col min="1284" max="1284" width="11.125" style="391" customWidth="1"/>
    <col min="1285" max="1285" width="10.875" style="391" customWidth="1"/>
    <col min="1286" max="1286" width="23" style="391" customWidth="1"/>
    <col min="1287" max="1287" width="18.125" style="391" customWidth="1"/>
    <col min="1288" max="1288" width="13" style="391" customWidth="1"/>
    <col min="1289" max="1289" width="11" style="391" customWidth="1"/>
    <col min="1290" max="1290" width="12.125" style="391" customWidth="1"/>
    <col min="1291" max="1291" width="10.375" style="391" customWidth="1"/>
    <col min="1292" max="1292" width="13.875" style="391" customWidth="1"/>
    <col min="1293" max="1293" width="7.5" style="391" customWidth="1"/>
    <col min="1294" max="1294" width="13" style="391" customWidth="1"/>
    <col min="1295" max="1295" width="13.5" style="391" customWidth="1"/>
    <col min="1296" max="1296" width="11" style="391" customWidth="1"/>
    <col min="1297" max="1297" width="10.5" style="391" customWidth="1"/>
    <col min="1298" max="1298" width="15" style="391" customWidth="1"/>
    <col min="1299" max="1299" width="15.875" style="391" customWidth="1"/>
    <col min="1300" max="1300" width="0" style="391" hidden="1" customWidth="1"/>
    <col min="1301" max="1536" width="14.5" style="391"/>
    <col min="1537" max="1537" width="5.5" style="391" customWidth="1"/>
    <col min="1538" max="1538" width="13.625" style="391" customWidth="1"/>
    <col min="1539" max="1539" width="15.125" style="391" customWidth="1"/>
    <col min="1540" max="1540" width="11.125" style="391" customWidth="1"/>
    <col min="1541" max="1541" width="10.875" style="391" customWidth="1"/>
    <col min="1542" max="1542" width="23" style="391" customWidth="1"/>
    <col min="1543" max="1543" width="18.125" style="391" customWidth="1"/>
    <col min="1544" max="1544" width="13" style="391" customWidth="1"/>
    <col min="1545" max="1545" width="11" style="391" customWidth="1"/>
    <col min="1546" max="1546" width="12.125" style="391" customWidth="1"/>
    <col min="1547" max="1547" width="10.375" style="391" customWidth="1"/>
    <col min="1548" max="1548" width="13.875" style="391" customWidth="1"/>
    <col min="1549" max="1549" width="7.5" style="391" customWidth="1"/>
    <col min="1550" max="1550" width="13" style="391" customWidth="1"/>
    <col min="1551" max="1551" width="13.5" style="391" customWidth="1"/>
    <col min="1552" max="1552" width="11" style="391" customWidth="1"/>
    <col min="1553" max="1553" width="10.5" style="391" customWidth="1"/>
    <col min="1554" max="1554" width="15" style="391" customWidth="1"/>
    <col min="1555" max="1555" width="15.875" style="391" customWidth="1"/>
    <col min="1556" max="1556" width="0" style="391" hidden="1" customWidth="1"/>
    <col min="1557" max="1792" width="14.5" style="391"/>
    <col min="1793" max="1793" width="5.5" style="391" customWidth="1"/>
    <col min="1794" max="1794" width="13.625" style="391" customWidth="1"/>
    <col min="1795" max="1795" width="15.125" style="391" customWidth="1"/>
    <col min="1796" max="1796" width="11.125" style="391" customWidth="1"/>
    <col min="1797" max="1797" width="10.875" style="391" customWidth="1"/>
    <col min="1798" max="1798" width="23" style="391" customWidth="1"/>
    <col min="1799" max="1799" width="18.125" style="391" customWidth="1"/>
    <col min="1800" max="1800" width="13" style="391" customWidth="1"/>
    <col min="1801" max="1801" width="11" style="391" customWidth="1"/>
    <col min="1802" max="1802" width="12.125" style="391" customWidth="1"/>
    <col min="1803" max="1803" width="10.375" style="391" customWidth="1"/>
    <col min="1804" max="1804" width="13.875" style="391" customWidth="1"/>
    <col min="1805" max="1805" width="7.5" style="391" customWidth="1"/>
    <col min="1806" max="1806" width="13" style="391" customWidth="1"/>
    <col min="1807" max="1807" width="13.5" style="391" customWidth="1"/>
    <col min="1808" max="1808" width="11" style="391" customWidth="1"/>
    <col min="1809" max="1809" width="10.5" style="391" customWidth="1"/>
    <col min="1810" max="1810" width="15" style="391" customWidth="1"/>
    <col min="1811" max="1811" width="15.875" style="391" customWidth="1"/>
    <col min="1812" max="1812" width="0" style="391" hidden="1" customWidth="1"/>
    <col min="1813" max="2048" width="14.5" style="391"/>
    <col min="2049" max="2049" width="5.5" style="391" customWidth="1"/>
    <col min="2050" max="2050" width="13.625" style="391" customWidth="1"/>
    <col min="2051" max="2051" width="15.125" style="391" customWidth="1"/>
    <col min="2052" max="2052" width="11.125" style="391" customWidth="1"/>
    <col min="2053" max="2053" width="10.875" style="391" customWidth="1"/>
    <col min="2054" max="2054" width="23" style="391" customWidth="1"/>
    <col min="2055" max="2055" width="18.125" style="391" customWidth="1"/>
    <col min="2056" max="2056" width="13" style="391" customWidth="1"/>
    <col min="2057" max="2057" width="11" style="391" customWidth="1"/>
    <col min="2058" max="2058" width="12.125" style="391" customWidth="1"/>
    <col min="2059" max="2059" width="10.375" style="391" customWidth="1"/>
    <col min="2060" max="2060" width="13.875" style="391" customWidth="1"/>
    <col min="2061" max="2061" width="7.5" style="391" customWidth="1"/>
    <col min="2062" max="2062" width="13" style="391" customWidth="1"/>
    <col min="2063" max="2063" width="13.5" style="391" customWidth="1"/>
    <col min="2064" max="2064" width="11" style="391" customWidth="1"/>
    <col min="2065" max="2065" width="10.5" style="391" customWidth="1"/>
    <col min="2066" max="2066" width="15" style="391" customWidth="1"/>
    <col min="2067" max="2067" width="15.875" style="391" customWidth="1"/>
    <col min="2068" max="2068" width="0" style="391" hidden="1" customWidth="1"/>
    <col min="2069" max="2304" width="14.5" style="391"/>
    <col min="2305" max="2305" width="5.5" style="391" customWidth="1"/>
    <col min="2306" max="2306" width="13.625" style="391" customWidth="1"/>
    <col min="2307" max="2307" width="15.125" style="391" customWidth="1"/>
    <col min="2308" max="2308" width="11.125" style="391" customWidth="1"/>
    <col min="2309" max="2309" width="10.875" style="391" customWidth="1"/>
    <col min="2310" max="2310" width="23" style="391" customWidth="1"/>
    <col min="2311" max="2311" width="18.125" style="391" customWidth="1"/>
    <col min="2312" max="2312" width="13" style="391" customWidth="1"/>
    <col min="2313" max="2313" width="11" style="391" customWidth="1"/>
    <col min="2314" max="2314" width="12.125" style="391" customWidth="1"/>
    <col min="2315" max="2315" width="10.375" style="391" customWidth="1"/>
    <col min="2316" max="2316" width="13.875" style="391" customWidth="1"/>
    <col min="2317" max="2317" width="7.5" style="391" customWidth="1"/>
    <col min="2318" max="2318" width="13" style="391" customWidth="1"/>
    <col min="2319" max="2319" width="13.5" style="391" customWidth="1"/>
    <col min="2320" max="2320" width="11" style="391" customWidth="1"/>
    <col min="2321" max="2321" width="10.5" style="391" customWidth="1"/>
    <col min="2322" max="2322" width="15" style="391" customWidth="1"/>
    <col min="2323" max="2323" width="15.875" style="391" customWidth="1"/>
    <col min="2324" max="2324" width="0" style="391" hidden="1" customWidth="1"/>
    <col min="2325" max="2560" width="14.5" style="391"/>
    <col min="2561" max="2561" width="5.5" style="391" customWidth="1"/>
    <col min="2562" max="2562" width="13.625" style="391" customWidth="1"/>
    <col min="2563" max="2563" width="15.125" style="391" customWidth="1"/>
    <col min="2564" max="2564" width="11.125" style="391" customWidth="1"/>
    <col min="2565" max="2565" width="10.875" style="391" customWidth="1"/>
    <col min="2566" max="2566" width="23" style="391" customWidth="1"/>
    <col min="2567" max="2567" width="18.125" style="391" customWidth="1"/>
    <col min="2568" max="2568" width="13" style="391" customWidth="1"/>
    <col min="2569" max="2569" width="11" style="391" customWidth="1"/>
    <col min="2570" max="2570" width="12.125" style="391" customWidth="1"/>
    <col min="2571" max="2571" width="10.375" style="391" customWidth="1"/>
    <col min="2572" max="2572" width="13.875" style="391" customWidth="1"/>
    <col min="2573" max="2573" width="7.5" style="391" customWidth="1"/>
    <col min="2574" max="2574" width="13" style="391" customWidth="1"/>
    <col min="2575" max="2575" width="13.5" style="391" customWidth="1"/>
    <col min="2576" max="2576" width="11" style="391" customWidth="1"/>
    <col min="2577" max="2577" width="10.5" style="391" customWidth="1"/>
    <col min="2578" max="2578" width="15" style="391" customWidth="1"/>
    <col min="2579" max="2579" width="15.875" style="391" customWidth="1"/>
    <col min="2580" max="2580" width="0" style="391" hidden="1" customWidth="1"/>
    <col min="2581" max="2816" width="14.5" style="391"/>
    <col min="2817" max="2817" width="5.5" style="391" customWidth="1"/>
    <col min="2818" max="2818" width="13.625" style="391" customWidth="1"/>
    <col min="2819" max="2819" width="15.125" style="391" customWidth="1"/>
    <col min="2820" max="2820" width="11.125" style="391" customWidth="1"/>
    <col min="2821" max="2821" width="10.875" style="391" customWidth="1"/>
    <col min="2822" max="2822" width="23" style="391" customWidth="1"/>
    <col min="2823" max="2823" width="18.125" style="391" customWidth="1"/>
    <col min="2824" max="2824" width="13" style="391" customWidth="1"/>
    <col min="2825" max="2825" width="11" style="391" customWidth="1"/>
    <col min="2826" max="2826" width="12.125" style="391" customWidth="1"/>
    <col min="2827" max="2827" width="10.375" style="391" customWidth="1"/>
    <col min="2828" max="2828" width="13.875" style="391" customWidth="1"/>
    <col min="2829" max="2829" width="7.5" style="391" customWidth="1"/>
    <col min="2830" max="2830" width="13" style="391" customWidth="1"/>
    <col min="2831" max="2831" width="13.5" style="391" customWidth="1"/>
    <col min="2832" max="2832" width="11" style="391" customWidth="1"/>
    <col min="2833" max="2833" width="10.5" style="391" customWidth="1"/>
    <col min="2834" max="2834" width="15" style="391" customWidth="1"/>
    <col min="2835" max="2835" width="15.875" style="391" customWidth="1"/>
    <col min="2836" max="2836" width="0" style="391" hidden="1" customWidth="1"/>
    <col min="2837" max="3072" width="14.5" style="391"/>
    <col min="3073" max="3073" width="5.5" style="391" customWidth="1"/>
    <col min="3074" max="3074" width="13.625" style="391" customWidth="1"/>
    <col min="3075" max="3075" width="15.125" style="391" customWidth="1"/>
    <col min="3076" max="3076" width="11.125" style="391" customWidth="1"/>
    <col min="3077" max="3077" width="10.875" style="391" customWidth="1"/>
    <col min="3078" max="3078" width="23" style="391" customWidth="1"/>
    <col min="3079" max="3079" width="18.125" style="391" customWidth="1"/>
    <col min="3080" max="3080" width="13" style="391" customWidth="1"/>
    <col min="3081" max="3081" width="11" style="391" customWidth="1"/>
    <col min="3082" max="3082" width="12.125" style="391" customWidth="1"/>
    <col min="3083" max="3083" width="10.375" style="391" customWidth="1"/>
    <col min="3084" max="3084" width="13.875" style="391" customWidth="1"/>
    <col min="3085" max="3085" width="7.5" style="391" customWidth="1"/>
    <col min="3086" max="3086" width="13" style="391" customWidth="1"/>
    <col min="3087" max="3087" width="13.5" style="391" customWidth="1"/>
    <col min="3088" max="3088" width="11" style="391" customWidth="1"/>
    <col min="3089" max="3089" width="10.5" style="391" customWidth="1"/>
    <col min="3090" max="3090" width="15" style="391" customWidth="1"/>
    <col min="3091" max="3091" width="15.875" style="391" customWidth="1"/>
    <col min="3092" max="3092" width="0" style="391" hidden="1" customWidth="1"/>
    <col min="3093" max="3328" width="14.5" style="391"/>
    <col min="3329" max="3329" width="5.5" style="391" customWidth="1"/>
    <col min="3330" max="3330" width="13.625" style="391" customWidth="1"/>
    <col min="3331" max="3331" width="15.125" style="391" customWidth="1"/>
    <col min="3332" max="3332" width="11.125" style="391" customWidth="1"/>
    <col min="3333" max="3333" width="10.875" style="391" customWidth="1"/>
    <col min="3334" max="3334" width="23" style="391" customWidth="1"/>
    <col min="3335" max="3335" width="18.125" style="391" customWidth="1"/>
    <col min="3336" max="3336" width="13" style="391" customWidth="1"/>
    <col min="3337" max="3337" width="11" style="391" customWidth="1"/>
    <col min="3338" max="3338" width="12.125" style="391" customWidth="1"/>
    <col min="3339" max="3339" width="10.375" style="391" customWidth="1"/>
    <col min="3340" max="3340" width="13.875" style="391" customWidth="1"/>
    <col min="3341" max="3341" width="7.5" style="391" customWidth="1"/>
    <col min="3342" max="3342" width="13" style="391" customWidth="1"/>
    <col min="3343" max="3343" width="13.5" style="391" customWidth="1"/>
    <col min="3344" max="3344" width="11" style="391" customWidth="1"/>
    <col min="3345" max="3345" width="10.5" style="391" customWidth="1"/>
    <col min="3346" max="3346" width="15" style="391" customWidth="1"/>
    <col min="3347" max="3347" width="15.875" style="391" customWidth="1"/>
    <col min="3348" max="3348" width="0" style="391" hidden="1" customWidth="1"/>
    <col min="3349" max="3584" width="14.5" style="391"/>
    <col min="3585" max="3585" width="5.5" style="391" customWidth="1"/>
    <col min="3586" max="3586" width="13.625" style="391" customWidth="1"/>
    <col min="3587" max="3587" width="15.125" style="391" customWidth="1"/>
    <col min="3588" max="3588" width="11.125" style="391" customWidth="1"/>
    <col min="3589" max="3589" width="10.875" style="391" customWidth="1"/>
    <col min="3590" max="3590" width="23" style="391" customWidth="1"/>
    <col min="3591" max="3591" width="18.125" style="391" customWidth="1"/>
    <col min="3592" max="3592" width="13" style="391" customWidth="1"/>
    <col min="3593" max="3593" width="11" style="391" customWidth="1"/>
    <col min="3594" max="3594" width="12.125" style="391" customWidth="1"/>
    <col min="3595" max="3595" width="10.375" style="391" customWidth="1"/>
    <col min="3596" max="3596" width="13.875" style="391" customWidth="1"/>
    <col min="3597" max="3597" width="7.5" style="391" customWidth="1"/>
    <col min="3598" max="3598" width="13" style="391" customWidth="1"/>
    <col min="3599" max="3599" width="13.5" style="391" customWidth="1"/>
    <col min="3600" max="3600" width="11" style="391" customWidth="1"/>
    <col min="3601" max="3601" width="10.5" style="391" customWidth="1"/>
    <col min="3602" max="3602" width="15" style="391" customWidth="1"/>
    <col min="3603" max="3603" width="15.875" style="391" customWidth="1"/>
    <col min="3604" max="3604" width="0" style="391" hidden="1" customWidth="1"/>
    <col min="3605" max="3840" width="14.5" style="391"/>
    <col min="3841" max="3841" width="5.5" style="391" customWidth="1"/>
    <col min="3842" max="3842" width="13.625" style="391" customWidth="1"/>
    <col min="3843" max="3843" width="15.125" style="391" customWidth="1"/>
    <col min="3844" max="3844" width="11.125" style="391" customWidth="1"/>
    <col min="3845" max="3845" width="10.875" style="391" customWidth="1"/>
    <col min="3846" max="3846" width="23" style="391" customWidth="1"/>
    <col min="3847" max="3847" width="18.125" style="391" customWidth="1"/>
    <col min="3848" max="3848" width="13" style="391" customWidth="1"/>
    <col min="3849" max="3849" width="11" style="391" customWidth="1"/>
    <col min="3850" max="3850" width="12.125" style="391" customWidth="1"/>
    <col min="3851" max="3851" width="10.375" style="391" customWidth="1"/>
    <col min="3852" max="3852" width="13.875" style="391" customWidth="1"/>
    <col min="3853" max="3853" width="7.5" style="391" customWidth="1"/>
    <col min="3854" max="3854" width="13" style="391" customWidth="1"/>
    <col min="3855" max="3855" width="13.5" style="391" customWidth="1"/>
    <col min="3856" max="3856" width="11" style="391" customWidth="1"/>
    <col min="3857" max="3857" width="10.5" style="391" customWidth="1"/>
    <col min="3858" max="3858" width="15" style="391" customWidth="1"/>
    <col min="3859" max="3859" width="15.875" style="391" customWidth="1"/>
    <col min="3860" max="3860" width="0" style="391" hidden="1" customWidth="1"/>
    <col min="3861" max="4096" width="14.5" style="391"/>
    <col min="4097" max="4097" width="5.5" style="391" customWidth="1"/>
    <col min="4098" max="4098" width="13.625" style="391" customWidth="1"/>
    <col min="4099" max="4099" width="15.125" style="391" customWidth="1"/>
    <col min="4100" max="4100" width="11.125" style="391" customWidth="1"/>
    <col min="4101" max="4101" width="10.875" style="391" customWidth="1"/>
    <col min="4102" max="4102" width="23" style="391" customWidth="1"/>
    <col min="4103" max="4103" width="18.125" style="391" customWidth="1"/>
    <col min="4104" max="4104" width="13" style="391" customWidth="1"/>
    <col min="4105" max="4105" width="11" style="391" customWidth="1"/>
    <col min="4106" max="4106" width="12.125" style="391" customWidth="1"/>
    <col min="4107" max="4107" width="10.375" style="391" customWidth="1"/>
    <col min="4108" max="4108" width="13.875" style="391" customWidth="1"/>
    <col min="4109" max="4109" width="7.5" style="391" customWidth="1"/>
    <col min="4110" max="4110" width="13" style="391" customWidth="1"/>
    <col min="4111" max="4111" width="13.5" style="391" customWidth="1"/>
    <col min="4112" max="4112" width="11" style="391" customWidth="1"/>
    <col min="4113" max="4113" width="10.5" style="391" customWidth="1"/>
    <col min="4114" max="4114" width="15" style="391" customWidth="1"/>
    <col min="4115" max="4115" width="15.875" style="391" customWidth="1"/>
    <col min="4116" max="4116" width="0" style="391" hidden="1" customWidth="1"/>
    <col min="4117" max="4352" width="14.5" style="391"/>
    <col min="4353" max="4353" width="5.5" style="391" customWidth="1"/>
    <col min="4354" max="4354" width="13.625" style="391" customWidth="1"/>
    <col min="4355" max="4355" width="15.125" style="391" customWidth="1"/>
    <col min="4356" max="4356" width="11.125" style="391" customWidth="1"/>
    <col min="4357" max="4357" width="10.875" style="391" customWidth="1"/>
    <col min="4358" max="4358" width="23" style="391" customWidth="1"/>
    <col min="4359" max="4359" width="18.125" style="391" customWidth="1"/>
    <col min="4360" max="4360" width="13" style="391" customWidth="1"/>
    <col min="4361" max="4361" width="11" style="391" customWidth="1"/>
    <col min="4362" max="4362" width="12.125" style="391" customWidth="1"/>
    <col min="4363" max="4363" width="10.375" style="391" customWidth="1"/>
    <col min="4364" max="4364" width="13.875" style="391" customWidth="1"/>
    <col min="4365" max="4365" width="7.5" style="391" customWidth="1"/>
    <col min="4366" max="4366" width="13" style="391" customWidth="1"/>
    <col min="4367" max="4367" width="13.5" style="391" customWidth="1"/>
    <col min="4368" max="4368" width="11" style="391" customWidth="1"/>
    <col min="4369" max="4369" width="10.5" style="391" customWidth="1"/>
    <col min="4370" max="4370" width="15" style="391" customWidth="1"/>
    <col min="4371" max="4371" width="15.875" style="391" customWidth="1"/>
    <col min="4372" max="4372" width="0" style="391" hidden="1" customWidth="1"/>
    <col min="4373" max="4608" width="14.5" style="391"/>
    <col min="4609" max="4609" width="5.5" style="391" customWidth="1"/>
    <col min="4610" max="4610" width="13.625" style="391" customWidth="1"/>
    <col min="4611" max="4611" width="15.125" style="391" customWidth="1"/>
    <col min="4612" max="4612" width="11.125" style="391" customWidth="1"/>
    <col min="4613" max="4613" width="10.875" style="391" customWidth="1"/>
    <col min="4614" max="4614" width="23" style="391" customWidth="1"/>
    <col min="4615" max="4615" width="18.125" style="391" customWidth="1"/>
    <col min="4616" max="4616" width="13" style="391" customWidth="1"/>
    <col min="4617" max="4617" width="11" style="391" customWidth="1"/>
    <col min="4618" max="4618" width="12.125" style="391" customWidth="1"/>
    <col min="4619" max="4619" width="10.375" style="391" customWidth="1"/>
    <col min="4620" max="4620" width="13.875" style="391" customWidth="1"/>
    <col min="4621" max="4621" width="7.5" style="391" customWidth="1"/>
    <col min="4622" max="4622" width="13" style="391" customWidth="1"/>
    <col min="4623" max="4623" width="13.5" style="391" customWidth="1"/>
    <col min="4624" max="4624" width="11" style="391" customWidth="1"/>
    <col min="4625" max="4625" width="10.5" style="391" customWidth="1"/>
    <col min="4626" max="4626" width="15" style="391" customWidth="1"/>
    <col min="4627" max="4627" width="15.875" style="391" customWidth="1"/>
    <col min="4628" max="4628" width="0" style="391" hidden="1" customWidth="1"/>
    <col min="4629" max="4864" width="14.5" style="391"/>
    <col min="4865" max="4865" width="5.5" style="391" customWidth="1"/>
    <col min="4866" max="4866" width="13.625" style="391" customWidth="1"/>
    <col min="4867" max="4867" width="15.125" style="391" customWidth="1"/>
    <col min="4868" max="4868" width="11.125" style="391" customWidth="1"/>
    <col min="4869" max="4869" width="10.875" style="391" customWidth="1"/>
    <col min="4870" max="4870" width="23" style="391" customWidth="1"/>
    <col min="4871" max="4871" width="18.125" style="391" customWidth="1"/>
    <col min="4872" max="4872" width="13" style="391" customWidth="1"/>
    <col min="4873" max="4873" width="11" style="391" customWidth="1"/>
    <col min="4874" max="4874" width="12.125" style="391" customWidth="1"/>
    <col min="4875" max="4875" width="10.375" style="391" customWidth="1"/>
    <col min="4876" max="4876" width="13.875" style="391" customWidth="1"/>
    <col min="4877" max="4877" width="7.5" style="391" customWidth="1"/>
    <col min="4878" max="4878" width="13" style="391" customWidth="1"/>
    <col min="4879" max="4879" width="13.5" style="391" customWidth="1"/>
    <col min="4880" max="4880" width="11" style="391" customWidth="1"/>
    <col min="4881" max="4881" width="10.5" style="391" customWidth="1"/>
    <col min="4882" max="4882" width="15" style="391" customWidth="1"/>
    <col min="4883" max="4883" width="15.875" style="391" customWidth="1"/>
    <col min="4884" max="4884" width="0" style="391" hidden="1" customWidth="1"/>
    <col min="4885" max="5120" width="14.5" style="391"/>
    <col min="5121" max="5121" width="5.5" style="391" customWidth="1"/>
    <col min="5122" max="5122" width="13.625" style="391" customWidth="1"/>
    <col min="5123" max="5123" width="15.125" style="391" customWidth="1"/>
    <col min="5124" max="5124" width="11.125" style="391" customWidth="1"/>
    <col min="5125" max="5125" width="10.875" style="391" customWidth="1"/>
    <col min="5126" max="5126" width="23" style="391" customWidth="1"/>
    <col min="5127" max="5127" width="18.125" style="391" customWidth="1"/>
    <col min="5128" max="5128" width="13" style="391" customWidth="1"/>
    <col min="5129" max="5129" width="11" style="391" customWidth="1"/>
    <col min="5130" max="5130" width="12.125" style="391" customWidth="1"/>
    <col min="5131" max="5131" width="10.375" style="391" customWidth="1"/>
    <col min="5132" max="5132" width="13.875" style="391" customWidth="1"/>
    <col min="5133" max="5133" width="7.5" style="391" customWidth="1"/>
    <col min="5134" max="5134" width="13" style="391" customWidth="1"/>
    <col min="5135" max="5135" width="13.5" style="391" customWidth="1"/>
    <col min="5136" max="5136" width="11" style="391" customWidth="1"/>
    <col min="5137" max="5137" width="10.5" style="391" customWidth="1"/>
    <col min="5138" max="5138" width="15" style="391" customWidth="1"/>
    <col min="5139" max="5139" width="15.875" style="391" customWidth="1"/>
    <col min="5140" max="5140" width="0" style="391" hidden="1" customWidth="1"/>
    <col min="5141" max="5376" width="14.5" style="391"/>
    <col min="5377" max="5377" width="5.5" style="391" customWidth="1"/>
    <col min="5378" max="5378" width="13.625" style="391" customWidth="1"/>
    <col min="5379" max="5379" width="15.125" style="391" customWidth="1"/>
    <col min="5380" max="5380" width="11.125" style="391" customWidth="1"/>
    <col min="5381" max="5381" width="10.875" style="391" customWidth="1"/>
    <col min="5382" max="5382" width="23" style="391" customWidth="1"/>
    <col min="5383" max="5383" width="18.125" style="391" customWidth="1"/>
    <col min="5384" max="5384" width="13" style="391" customWidth="1"/>
    <col min="5385" max="5385" width="11" style="391" customWidth="1"/>
    <col min="5386" max="5386" width="12.125" style="391" customWidth="1"/>
    <col min="5387" max="5387" width="10.375" style="391" customWidth="1"/>
    <col min="5388" max="5388" width="13.875" style="391" customWidth="1"/>
    <col min="5389" max="5389" width="7.5" style="391" customWidth="1"/>
    <col min="5390" max="5390" width="13" style="391" customWidth="1"/>
    <col min="5391" max="5391" width="13.5" style="391" customWidth="1"/>
    <col min="5392" max="5392" width="11" style="391" customWidth="1"/>
    <col min="5393" max="5393" width="10.5" style="391" customWidth="1"/>
    <col min="5394" max="5394" width="15" style="391" customWidth="1"/>
    <col min="5395" max="5395" width="15.875" style="391" customWidth="1"/>
    <col min="5396" max="5396" width="0" style="391" hidden="1" customWidth="1"/>
    <col min="5397" max="5632" width="14.5" style="391"/>
    <col min="5633" max="5633" width="5.5" style="391" customWidth="1"/>
    <col min="5634" max="5634" width="13.625" style="391" customWidth="1"/>
    <col min="5635" max="5635" width="15.125" style="391" customWidth="1"/>
    <col min="5636" max="5636" width="11.125" style="391" customWidth="1"/>
    <col min="5637" max="5637" width="10.875" style="391" customWidth="1"/>
    <col min="5638" max="5638" width="23" style="391" customWidth="1"/>
    <col min="5639" max="5639" width="18.125" style="391" customWidth="1"/>
    <col min="5640" max="5640" width="13" style="391" customWidth="1"/>
    <col min="5641" max="5641" width="11" style="391" customWidth="1"/>
    <col min="5642" max="5642" width="12.125" style="391" customWidth="1"/>
    <col min="5643" max="5643" width="10.375" style="391" customWidth="1"/>
    <col min="5644" max="5644" width="13.875" style="391" customWidth="1"/>
    <col min="5645" max="5645" width="7.5" style="391" customWidth="1"/>
    <col min="5646" max="5646" width="13" style="391" customWidth="1"/>
    <col min="5647" max="5647" width="13.5" style="391" customWidth="1"/>
    <col min="5648" max="5648" width="11" style="391" customWidth="1"/>
    <col min="5649" max="5649" width="10.5" style="391" customWidth="1"/>
    <col min="5650" max="5650" width="15" style="391" customWidth="1"/>
    <col min="5651" max="5651" width="15.875" style="391" customWidth="1"/>
    <col min="5652" max="5652" width="0" style="391" hidden="1" customWidth="1"/>
    <col min="5653" max="5888" width="14.5" style="391"/>
    <col min="5889" max="5889" width="5.5" style="391" customWidth="1"/>
    <col min="5890" max="5890" width="13.625" style="391" customWidth="1"/>
    <col min="5891" max="5891" width="15.125" style="391" customWidth="1"/>
    <col min="5892" max="5892" width="11.125" style="391" customWidth="1"/>
    <col min="5893" max="5893" width="10.875" style="391" customWidth="1"/>
    <col min="5894" max="5894" width="23" style="391" customWidth="1"/>
    <col min="5895" max="5895" width="18.125" style="391" customWidth="1"/>
    <col min="5896" max="5896" width="13" style="391" customWidth="1"/>
    <col min="5897" max="5897" width="11" style="391" customWidth="1"/>
    <col min="5898" max="5898" width="12.125" style="391" customWidth="1"/>
    <col min="5899" max="5899" width="10.375" style="391" customWidth="1"/>
    <col min="5900" max="5900" width="13.875" style="391" customWidth="1"/>
    <col min="5901" max="5901" width="7.5" style="391" customWidth="1"/>
    <col min="5902" max="5902" width="13" style="391" customWidth="1"/>
    <col min="5903" max="5903" width="13.5" style="391" customWidth="1"/>
    <col min="5904" max="5904" width="11" style="391" customWidth="1"/>
    <col min="5905" max="5905" width="10.5" style="391" customWidth="1"/>
    <col min="5906" max="5906" width="15" style="391" customWidth="1"/>
    <col min="5907" max="5907" width="15.875" style="391" customWidth="1"/>
    <col min="5908" max="5908" width="0" style="391" hidden="1" customWidth="1"/>
    <col min="5909" max="6144" width="14.5" style="391"/>
    <col min="6145" max="6145" width="5.5" style="391" customWidth="1"/>
    <col min="6146" max="6146" width="13.625" style="391" customWidth="1"/>
    <col min="6147" max="6147" width="15.125" style="391" customWidth="1"/>
    <col min="6148" max="6148" width="11.125" style="391" customWidth="1"/>
    <col min="6149" max="6149" width="10.875" style="391" customWidth="1"/>
    <col min="6150" max="6150" width="23" style="391" customWidth="1"/>
    <col min="6151" max="6151" width="18.125" style="391" customWidth="1"/>
    <col min="6152" max="6152" width="13" style="391" customWidth="1"/>
    <col min="6153" max="6153" width="11" style="391" customWidth="1"/>
    <col min="6154" max="6154" width="12.125" style="391" customWidth="1"/>
    <col min="6155" max="6155" width="10.375" style="391" customWidth="1"/>
    <col min="6156" max="6156" width="13.875" style="391" customWidth="1"/>
    <col min="6157" max="6157" width="7.5" style="391" customWidth="1"/>
    <col min="6158" max="6158" width="13" style="391" customWidth="1"/>
    <col min="6159" max="6159" width="13.5" style="391" customWidth="1"/>
    <col min="6160" max="6160" width="11" style="391" customWidth="1"/>
    <col min="6161" max="6161" width="10.5" style="391" customWidth="1"/>
    <col min="6162" max="6162" width="15" style="391" customWidth="1"/>
    <col min="6163" max="6163" width="15.875" style="391" customWidth="1"/>
    <col min="6164" max="6164" width="0" style="391" hidden="1" customWidth="1"/>
    <col min="6165" max="6400" width="14.5" style="391"/>
    <col min="6401" max="6401" width="5.5" style="391" customWidth="1"/>
    <col min="6402" max="6402" width="13.625" style="391" customWidth="1"/>
    <col min="6403" max="6403" width="15.125" style="391" customWidth="1"/>
    <col min="6404" max="6404" width="11.125" style="391" customWidth="1"/>
    <col min="6405" max="6405" width="10.875" style="391" customWidth="1"/>
    <col min="6406" max="6406" width="23" style="391" customWidth="1"/>
    <col min="6407" max="6407" width="18.125" style="391" customWidth="1"/>
    <col min="6408" max="6408" width="13" style="391" customWidth="1"/>
    <col min="6409" max="6409" width="11" style="391" customWidth="1"/>
    <col min="6410" max="6410" width="12.125" style="391" customWidth="1"/>
    <col min="6411" max="6411" width="10.375" style="391" customWidth="1"/>
    <col min="6412" max="6412" width="13.875" style="391" customWidth="1"/>
    <col min="6413" max="6413" width="7.5" style="391" customWidth="1"/>
    <col min="6414" max="6414" width="13" style="391" customWidth="1"/>
    <col min="6415" max="6415" width="13.5" style="391" customWidth="1"/>
    <col min="6416" max="6416" width="11" style="391" customWidth="1"/>
    <col min="6417" max="6417" width="10.5" style="391" customWidth="1"/>
    <col min="6418" max="6418" width="15" style="391" customWidth="1"/>
    <col min="6419" max="6419" width="15.875" style="391" customWidth="1"/>
    <col min="6420" max="6420" width="0" style="391" hidden="1" customWidth="1"/>
    <col min="6421" max="6656" width="14.5" style="391"/>
    <col min="6657" max="6657" width="5.5" style="391" customWidth="1"/>
    <col min="6658" max="6658" width="13.625" style="391" customWidth="1"/>
    <col min="6659" max="6659" width="15.125" style="391" customWidth="1"/>
    <col min="6660" max="6660" width="11.125" style="391" customWidth="1"/>
    <col min="6661" max="6661" width="10.875" style="391" customWidth="1"/>
    <col min="6662" max="6662" width="23" style="391" customWidth="1"/>
    <col min="6663" max="6663" width="18.125" style="391" customWidth="1"/>
    <col min="6664" max="6664" width="13" style="391" customWidth="1"/>
    <col min="6665" max="6665" width="11" style="391" customWidth="1"/>
    <col min="6666" max="6666" width="12.125" style="391" customWidth="1"/>
    <col min="6667" max="6667" width="10.375" style="391" customWidth="1"/>
    <col min="6668" max="6668" width="13.875" style="391" customWidth="1"/>
    <col min="6669" max="6669" width="7.5" style="391" customWidth="1"/>
    <col min="6670" max="6670" width="13" style="391" customWidth="1"/>
    <col min="6671" max="6671" width="13.5" style="391" customWidth="1"/>
    <col min="6672" max="6672" width="11" style="391" customWidth="1"/>
    <col min="6673" max="6673" width="10.5" style="391" customWidth="1"/>
    <col min="6674" max="6674" width="15" style="391" customWidth="1"/>
    <col min="6675" max="6675" width="15.875" style="391" customWidth="1"/>
    <col min="6676" max="6676" width="0" style="391" hidden="1" customWidth="1"/>
    <col min="6677" max="6912" width="14.5" style="391"/>
    <col min="6913" max="6913" width="5.5" style="391" customWidth="1"/>
    <col min="6914" max="6914" width="13.625" style="391" customWidth="1"/>
    <col min="6915" max="6915" width="15.125" style="391" customWidth="1"/>
    <col min="6916" max="6916" width="11.125" style="391" customWidth="1"/>
    <col min="6917" max="6917" width="10.875" style="391" customWidth="1"/>
    <col min="6918" max="6918" width="23" style="391" customWidth="1"/>
    <col min="6919" max="6919" width="18.125" style="391" customWidth="1"/>
    <col min="6920" max="6920" width="13" style="391" customWidth="1"/>
    <col min="6921" max="6921" width="11" style="391" customWidth="1"/>
    <col min="6922" max="6922" width="12.125" style="391" customWidth="1"/>
    <col min="6923" max="6923" width="10.375" style="391" customWidth="1"/>
    <col min="6924" max="6924" width="13.875" style="391" customWidth="1"/>
    <col min="6925" max="6925" width="7.5" style="391" customWidth="1"/>
    <col min="6926" max="6926" width="13" style="391" customWidth="1"/>
    <col min="6927" max="6927" width="13.5" style="391" customWidth="1"/>
    <col min="6928" max="6928" width="11" style="391" customWidth="1"/>
    <col min="6929" max="6929" width="10.5" style="391" customWidth="1"/>
    <col min="6930" max="6930" width="15" style="391" customWidth="1"/>
    <col min="6931" max="6931" width="15.875" style="391" customWidth="1"/>
    <col min="6932" max="6932" width="0" style="391" hidden="1" customWidth="1"/>
    <col min="6933" max="7168" width="14.5" style="391"/>
    <col min="7169" max="7169" width="5.5" style="391" customWidth="1"/>
    <col min="7170" max="7170" width="13.625" style="391" customWidth="1"/>
    <col min="7171" max="7171" width="15.125" style="391" customWidth="1"/>
    <col min="7172" max="7172" width="11.125" style="391" customWidth="1"/>
    <col min="7173" max="7173" width="10.875" style="391" customWidth="1"/>
    <col min="7174" max="7174" width="23" style="391" customWidth="1"/>
    <col min="7175" max="7175" width="18.125" style="391" customWidth="1"/>
    <col min="7176" max="7176" width="13" style="391" customWidth="1"/>
    <col min="7177" max="7177" width="11" style="391" customWidth="1"/>
    <col min="7178" max="7178" width="12.125" style="391" customWidth="1"/>
    <col min="7179" max="7179" width="10.375" style="391" customWidth="1"/>
    <col min="7180" max="7180" width="13.875" style="391" customWidth="1"/>
    <col min="7181" max="7181" width="7.5" style="391" customWidth="1"/>
    <col min="7182" max="7182" width="13" style="391" customWidth="1"/>
    <col min="7183" max="7183" width="13.5" style="391" customWidth="1"/>
    <col min="7184" max="7184" width="11" style="391" customWidth="1"/>
    <col min="7185" max="7185" width="10.5" style="391" customWidth="1"/>
    <col min="7186" max="7186" width="15" style="391" customWidth="1"/>
    <col min="7187" max="7187" width="15.875" style="391" customWidth="1"/>
    <col min="7188" max="7188" width="0" style="391" hidden="1" customWidth="1"/>
    <col min="7189" max="7424" width="14.5" style="391"/>
    <col min="7425" max="7425" width="5.5" style="391" customWidth="1"/>
    <col min="7426" max="7426" width="13.625" style="391" customWidth="1"/>
    <col min="7427" max="7427" width="15.125" style="391" customWidth="1"/>
    <col min="7428" max="7428" width="11.125" style="391" customWidth="1"/>
    <col min="7429" max="7429" width="10.875" style="391" customWidth="1"/>
    <col min="7430" max="7430" width="23" style="391" customWidth="1"/>
    <col min="7431" max="7431" width="18.125" style="391" customWidth="1"/>
    <col min="7432" max="7432" width="13" style="391" customWidth="1"/>
    <col min="7433" max="7433" width="11" style="391" customWidth="1"/>
    <col min="7434" max="7434" width="12.125" style="391" customWidth="1"/>
    <col min="7435" max="7435" width="10.375" style="391" customWidth="1"/>
    <col min="7436" max="7436" width="13.875" style="391" customWidth="1"/>
    <col min="7437" max="7437" width="7.5" style="391" customWidth="1"/>
    <col min="7438" max="7438" width="13" style="391" customWidth="1"/>
    <col min="7439" max="7439" width="13.5" style="391" customWidth="1"/>
    <col min="7440" max="7440" width="11" style="391" customWidth="1"/>
    <col min="7441" max="7441" width="10.5" style="391" customWidth="1"/>
    <col min="7442" max="7442" width="15" style="391" customWidth="1"/>
    <col min="7443" max="7443" width="15.875" style="391" customWidth="1"/>
    <col min="7444" max="7444" width="0" style="391" hidden="1" customWidth="1"/>
    <col min="7445" max="7680" width="14.5" style="391"/>
    <col min="7681" max="7681" width="5.5" style="391" customWidth="1"/>
    <col min="7682" max="7682" width="13.625" style="391" customWidth="1"/>
    <col min="7683" max="7683" width="15.125" style="391" customWidth="1"/>
    <col min="7684" max="7684" width="11.125" style="391" customWidth="1"/>
    <col min="7685" max="7685" width="10.875" style="391" customWidth="1"/>
    <col min="7686" max="7686" width="23" style="391" customWidth="1"/>
    <col min="7687" max="7687" width="18.125" style="391" customWidth="1"/>
    <col min="7688" max="7688" width="13" style="391" customWidth="1"/>
    <col min="7689" max="7689" width="11" style="391" customWidth="1"/>
    <col min="7690" max="7690" width="12.125" style="391" customWidth="1"/>
    <col min="7691" max="7691" width="10.375" style="391" customWidth="1"/>
    <col min="7692" max="7692" width="13.875" style="391" customWidth="1"/>
    <col min="7693" max="7693" width="7.5" style="391" customWidth="1"/>
    <col min="7694" max="7694" width="13" style="391" customWidth="1"/>
    <col min="7695" max="7695" width="13.5" style="391" customWidth="1"/>
    <col min="7696" max="7696" width="11" style="391" customWidth="1"/>
    <col min="7697" max="7697" width="10.5" style="391" customWidth="1"/>
    <col min="7698" max="7698" width="15" style="391" customWidth="1"/>
    <col min="7699" max="7699" width="15.875" style="391" customWidth="1"/>
    <col min="7700" max="7700" width="0" style="391" hidden="1" customWidth="1"/>
    <col min="7701" max="7936" width="14.5" style="391"/>
    <col min="7937" max="7937" width="5.5" style="391" customWidth="1"/>
    <col min="7938" max="7938" width="13.625" style="391" customWidth="1"/>
    <col min="7939" max="7939" width="15.125" style="391" customWidth="1"/>
    <col min="7940" max="7940" width="11.125" style="391" customWidth="1"/>
    <col min="7941" max="7941" width="10.875" style="391" customWidth="1"/>
    <col min="7942" max="7942" width="23" style="391" customWidth="1"/>
    <col min="7943" max="7943" width="18.125" style="391" customWidth="1"/>
    <col min="7944" max="7944" width="13" style="391" customWidth="1"/>
    <col min="7945" max="7945" width="11" style="391" customWidth="1"/>
    <col min="7946" max="7946" width="12.125" style="391" customWidth="1"/>
    <col min="7947" max="7947" width="10.375" style="391" customWidth="1"/>
    <col min="7948" max="7948" width="13.875" style="391" customWidth="1"/>
    <col min="7949" max="7949" width="7.5" style="391" customWidth="1"/>
    <col min="7950" max="7950" width="13" style="391" customWidth="1"/>
    <col min="7951" max="7951" width="13.5" style="391" customWidth="1"/>
    <col min="7952" max="7952" width="11" style="391" customWidth="1"/>
    <col min="7953" max="7953" width="10.5" style="391" customWidth="1"/>
    <col min="7954" max="7954" width="15" style="391" customWidth="1"/>
    <col min="7955" max="7955" width="15.875" style="391" customWidth="1"/>
    <col min="7956" max="7956" width="0" style="391" hidden="1" customWidth="1"/>
    <col min="7957" max="8192" width="14.5" style="391"/>
    <col min="8193" max="8193" width="5.5" style="391" customWidth="1"/>
    <col min="8194" max="8194" width="13.625" style="391" customWidth="1"/>
    <col min="8195" max="8195" width="15.125" style="391" customWidth="1"/>
    <col min="8196" max="8196" width="11.125" style="391" customWidth="1"/>
    <col min="8197" max="8197" width="10.875" style="391" customWidth="1"/>
    <col min="8198" max="8198" width="23" style="391" customWidth="1"/>
    <col min="8199" max="8199" width="18.125" style="391" customWidth="1"/>
    <col min="8200" max="8200" width="13" style="391" customWidth="1"/>
    <col min="8201" max="8201" width="11" style="391" customWidth="1"/>
    <col min="8202" max="8202" width="12.125" style="391" customWidth="1"/>
    <col min="8203" max="8203" width="10.375" style="391" customWidth="1"/>
    <col min="8204" max="8204" width="13.875" style="391" customWidth="1"/>
    <col min="8205" max="8205" width="7.5" style="391" customWidth="1"/>
    <col min="8206" max="8206" width="13" style="391" customWidth="1"/>
    <col min="8207" max="8207" width="13.5" style="391" customWidth="1"/>
    <col min="8208" max="8208" width="11" style="391" customWidth="1"/>
    <col min="8209" max="8209" width="10.5" style="391" customWidth="1"/>
    <col min="8210" max="8210" width="15" style="391" customWidth="1"/>
    <col min="8211" max="8211" width="15.875" style="391" customWidth="1"/>
    <col min="8212" max="8212" width="0" style="391" hidden="1" customWidth="1"/>
    <col min="8213" max="8448" width="14.5" style="391"/>
    <col min="8449" max="8449" width="5.5" style="391" customWidth="1"/>
    <col min="8450" max="8450" width="13.625" style="391" customWidth="1"/>
    <col min="8451" max="8451" width="15.125" style="391" customWidth="1"/>
    <col min="8452" max="8452" width="11.125" style="391" customWidth="1"/>
    <col min="8453" max="8453" width="10.875" style="391" customWidth="1"/>
    <col min="8454" max="8454" width="23" style="391" customWidth="1"/>
    <col min="8455" max="8455" width="18.125" style="391" customWidth="1"/>
    <col min="8456" max="8456" width="13" style="391" customWidth="1"/>
    <col min="8457" max="8457" width="11" style="391" customWidth="1"/>
    <col min="8458" max="8458" width="12.125" style="391" customWidth="1"/>
    <col min="8459" max="8459" width="10.375" style="391" customWidth="1"/>
    <col min="8460" max="8460" width="13.875" style="391" customWidth="1"/>
    <col min="8461" max="8461" width="7.5" style="391" customWidth="1"/>
    <col min="8462" max="8462" width="13" style="391" customWidth="1"/>
    <col min="8463" max="8463" width="13.5" style="391" customWidth="1"/>
    <col min="8464" max="8464" width="11" style="391" customWidth="1"/>
    <col min="8465" max="8465" width="10.5" style="391" customWidth="1"/>
    <col min="8466" max="8466" width="15" style="391" customWidth="1"/>
    <col min="8467" max="8467" width="15.875" style="391" customWidth="1"/>
    <col min="8468" max="8468" width="0" style="391" hidden="1" customWidth="1"/>
    <col min="8469" max="8704" width="14.5" style="391"/>
    <col min="8705" max="8705" width="5.5" style="391" customWidth="1"/>
    <col min="8706" max="8706" width="13.625" style="391" customWidth="1"/>
    <col min="8707" max="8707" width="15.125" style="391" customWidth="1"/>
    <col min="8708" max="8708" width="11.125" style="391" customWidth="1"/>
    <col min="8709" max="8709" width="10.875" style="391" customWidth="1"/>
    <col min="8710" max="8710" width="23" style="391" customWidth="1"/>
    <col min="8711" max="8711" width="18.125" style="391" customWidth="1"/>
    <col min="8712" max="8712" width="13" style="391" customWidth="1"/>
    <col min="8713" max="8713" width="11" style="391" customWidth="1"/>
    <col min="8714" max="8714" width="12.125" style="391" customWidth="1"/>
    <col min="8715" max="8715" width="10.375" style="391" customWidth="1"/>
    <col min="8716" max="8716" width="13.875" style="391" customWidth="1"/>
    <col min="8717" max="8717" width="7.5" style="391" customWidth="1"/>
    <col min="8718" max="8718" width="13" style="391" customWidth="1"/>
    <col min="8719" max="8719" width="13.5" style="391" customWidth="1"/>
    <col min="8720" max="8720" width="11" style="391" customWidth="1"/>
    <col min="8721" max="8721" width="10.5" style="391" customWidth="1"/>
    <col min="8722" max="8722" width="15" style="391" customWidth="1"/>
    <col min="8723" max="8723" width="15.875" style="391" customWidth="1"/>
    <col min="8724" max="8724" width="0" style="391" hidden="1" customWidth="1"/>
    <col min="8725" max="8960" width="14.5" style="391"/>
    <col min="8961" max="8961" width="5.5" style="391" customWidth="1"/>
    <col min="8962" max="8962" width="13.625" style="391" customWidth="1"/>
    <col min="8963" max="8963" width="15.125" style="391" customWidth="1"/>
    <col min="8964" max="8964" width="11.125" style="391" customWidth="1"/>
    <col min="8965" max="8965" width="10.875" style="391" customWidth="1"/>
    <col min="8966" max="8966" width="23" style="391" customWidth="1"/>
    <col min="8967" max="8967" width="18.125" style="391" customWidth="1"/>
    <col min="8968" max="8968" width="13" style="391" customWidth="1"/>
    <col min="8969" max="8969" width="11" style="391" customWidth="1"/>
    <col min="8970" max="8970" width="12.125" style="391" customWidth="1"/>
    <col min="8971" max="8971" width="10.375" style="391" customWidth="1"/>
    <col min="8972" max="8972" width="13.875" style="391" customWidth="1"/>
    <col min="8973" max="8973" width="7.5" style="391" customWidth="1"/>
    <col min="8974" max="8974" width="13" style="391" customWidth="1"/>
    <col min="8975" max="8975" width="13.5" style="391" customWidth="1"/>
    <col min="8976" max="8976" width="11" style="391" customWidth="1"/>
    <col min="8977" max="8977" width="10.5" style="391" customWidth="1"/>
    <col min="8978" max="8978" width="15" style="391" customWidth="1"/>
    <col min="8979" max="8979" width="15.875" style="391" customWidth="1"/>
    <col min="8980" max="8980" width="0" style="391" hidden="1" customWidth="1"/>
    <col min="8981" max="9216" width="14.5" style="391"/>
    <col min="9217" max="9217" width="5.5" style="391" customWidth="1"/>
    <col min="9218" max="9218" width="13.625" style="391" customWidth="1"/>
    <col min="9219" max="9219" width="15.125" style="391" customWidth="1"/>
    <col min="9220" max="9220" width="11.125" style="391" customWidth="1"/>
    <col min="9221" max="9221" width="10.875" style="391" customWidth="1"/>
    <col min="9222" max="9222" width="23" style="391" customWidth="1"/>
    <col min="9223" max="9223" width="18.125" style="391" customWidth="1"/>
    <col min="9224" max="9224" width="13" style="391" customWidth="1"/>
    <col min="9225" max="9225" width="11" style="391" customWidth="1"/>
    <col min="9226" max="9226" width="12.125" style="391" customWidth="1"/>
    <col min="9227" max="9227" width="10.375" style="391" customWidth="1"/>
    <col min="9228" max="9228" width="13.875" style="391" customWidth="1"/>
    <col min="9229" max="9229" width="7.5" style="391" customWidth="1"/>
    <col min="9230" max="9230" width="13" style="391" customWidth="1"/>
    <col min="9231" max="9231" width="13.5" style="391" customWidth="1"/>
    <col min="9232" max="9232" width="11" style="391" customWidth="1"/>
    <col min="9233" max="9233" width="10.5" style="391" customWidth="1"/>
    <col min="9234" max="9234" width="15" style="391" customWidth="1"/>
    <col min="9235" max="9235" width="15.875" style="391" customWidth="1"/>
    <col min="9236" max="9236" width="0" style="391" hidden="1" customWidth="1"/>
    <col min="9237" max="9472" width="14.5" style="391"/>
    <col min="9473" max="9473" width="5.5" style="391" customWidth="1"/>
    <col min="9474" max="9474" width="13.625" style="391" customWidth="1"/>
    <col min="9475" max="9475" width="15.125" style="391" customWidth="1"/>
    <col min="9476" max="9476" width="11.125" style="391" customWidth="1"/>
    <col min="9477" max="9477" width="10.875" style="391" customWidth="1"/>
    <col min="9478" max="9478" width="23" style="391" customWidth="1"/>
    <col min="9479" max="9479" width="18.125" style="391" customWidth="1"/>
    <col min="9480" max="9480" width="13" style="391" customWidth="1"/>
    <col min="9481" max="9481" width="11" style="391" customWidth="1"/>
    <col min="9482" max="9482" width="12.125" style="391" customWidth="1"/>
    <col min="9483" max="9483" width="10.375" style="391" customWidth="1"/>
    <col min="9484" max="9484" width="13.875" style="391" customWidth="1"/>
    <col min="9485" max="9485" width="7.5" style="391" customWidth="1"/>
    <col min="9486" max="9486" width="13" style="391" customWidth="1"/>
    <col min="9487" max="9487" width="13.5" style="391" customWidth="1"/>
    <col min="9488" max="9488" width="11" style="391" customWidth="1"/>
    <col min="9489" max="9489" width="10.5" style="391" customWidth="1"/>
    <col min="9490" max="9490" width="15" style="391" customWidth="1"/>
    <col min="9491" max="9491" width="15.875" style="391" customWidth="1"/>
    <col min="9492" max="9492" width="0" style="391" hidden="1" customWidth="1"/>
    <col min="9493" max="9728" width="14.5" style="391"/>
    <col min="9729" max="9729" width="5.5" style="391" customWidth="1"/>
    <col min="9730" max="9730" width="13.625" style="391" customWidth="1"/>
    <col min="9731" max="9731" width="15.125" style="391" customWidth="1"/>
    <col min="9732" max="9732" width="11.125" style="391" customWidth="1"/>
    <col min="9733" max="9733" width="10.875" style="391" customWidth="1"/>
    <col min="9734" max="9734" width="23" style="391" customWidth="1"/>
    <col min="9735" max="9735" width="18.125" style="391" customWidth="1"/>
    <col min="9736" max="9736" width="13" style="391" customWidth="1"/>
    <col min="9737" max="9737" width="11" style="391" customWidth="1"/>
    <col min="9738" max="9738" width="12.125" style="391" customWidth="1"/>
    <col min="9739" max="9739" width="10.375" style="391" customWidth="1"/>
    <col min="9740" max="9740" width="13.875" style="391" customWidth="1"/>
    <col min="9741" max="9741" width="7.5" style="391" customWidth="1"/>
    <col min="9742" max="9742" width="13" style="391" customWidth="1"/>
    <col min="9743" max="9743" width="13.5" style="391" customWidth="1"/>
    <col min="9744" max="9744" width="11" style="391" customWidth="1"/>
    <col min="9745" max="9745" width="10.5" style="391" customWidth="1"/>
    <col min="9746" max="9746" width="15" style="391" customWidth="1"/>
    <col min="9747" max="9747" width="15.875" style="391" customWidth="1"/>
    <col min="9748" max="9748" width="0" style="391" hidden="1" customWidth="1"/>
    <col min="9749" max="9984" width="14.5" style="391"/>
    <col min="9985" max="9985" width="5.5" style="391" customWidth="1"/>
    <col min="9986" max="9986" width="13.625" style="391" customWidth="1"/>
    <col min="9987" max="9987" width="15.125" style="391" customWidth="1"/>
    <col min="9988" max="9988" width="11.125" style="391" customWidth="1"/>
    <col min="9989" max="9989" width="10.875" style="391" customWidth="1"/>
    <col min="9990" max="9990" width="23" style="391" customWidth="1"/>
    <col min="9991" max="9991" width="18.125" style="391" customWidth="1"/>
    <col min="9992" max="9992" width="13" style="391" customWidth="1"/>
    <col min="9993" max="9993" width="11" style="391" customWidth="1"/>
    <col min="9994" max="9994" width="12.125" style="391" customWidth="1"/>
    <col min="9995" max="9995" width="10.375" style="391" customWidth="1"/>
    <col min="9996" max="9996" width="13.875" style="391" customWidth="1"/>
    <col min="9997" max="9997" width="7.5" style="391" customWidth="1"/>
    <col min="9998" max="9998" width="13" style="391" customWidth="1"/>
    <col min="9999" max="9999" width="13.5" style="391" customWidth="1"/>
    <col min="10000" max="10000" width="11" style="391" customWidth="1"/>
    <col min="10001" max="10001" width="10.5" style="391" customWidth="1"/>
    <col min="10002" max="10002" width="15" style="391" customWidth="1"/>
    <col min="10003" max="10003" width="15.875" style="391" customWidth="1"/>
    <col min="10004" max="10004" width="0" style="391" hidden="1" customWidth="1"/>
    <col min="10005" max="10240" width="14.5" style="391"/>
    <col min="10241" max="10241" width="5.5" style="391" customWidth="1"/>
    <col min="10242" max="10242" width="13.625" style="391" customWidth="1"/>
    <col min="10243" max="10243" width="15.125" style="391" customWidth="1"/>
    <col min="10244" max="10244" width="11.125" style="391" customWidth="1"/>
    <col min="10245" max="10245" width="10.875" style="391" customWidth="1"/>
    <col min="10246" max="10246" width="23" style="391" customWidth="1"/>
    <col min="10247" max="10247" width="18.125" style="391" customWidth="1"/>
    <col min="10248" max="10248" width="13" style="391" customWidth="1"/>
    <col min="10249" max="10249" width="11" style="391" customWidth="1"/>
    <col min="10250" max="10250" width="12.125" style="391" customWidth="1"/>
    <col min="10251" max="10251" width="10.375" style="391" customWidth="1"/>
    <col min="10252" max="10252" width="13.875" style="391" customWidth="1"/>
    <col min="10253" max="10253" width="7.5" style="391" customWidth="1"/>
    <col min="10254" max="10254" width="13" style="391" customWidth="1"/>
    <col min="10255" max="10255" width="13.5" style="391" customWidth="1"/>
    <col min="10256" max="10256" width="11" style="391" customWidth="1"/>
    <col min="10257" max="10257" width="10.5" style="391" customWidth="1"/>
    <col min="10258" max="10258" width="15" style="391" customWidth="1"/>
    <col min="10259" max="10259" width="15.875" style="391" customWidth="1"/>
    <col min="10260" max="10260" width="0" style="391" hidden="1" customWidth="1"/>
    <col min="10261" max="10496" width="14.5" style="391"/>
    <col min="10497" max="10497" width="5.5" style="391" customWidth="1"/>
    <col min="10498" max="10498" width="13.625" style="391" customWidth="1"/>
    <col min="10499" max="10499" width="15.125" style="391" customWidth="1"/>
    <col min="10500" max="10500" width="11.125" style="391" customWidth="1"/>
    <col min="10501" max="10501" width="10.875" style="391" customWidth="1"/>
    <col min="10502" max="10502" width="23" style="391" customWidth="1"/>
    <col min="10503" max="10503" width="18.125" style="391" customWidth="1"/>
    <col min="10504" max="10504" width="13" style="391" customWidth="1"/>
    <col min="10505" max="10505" width="11" style="391" customWidth="1"/>
    <col min="10506" max="10506" width="12.125" style="391" customWidth="1"/>
    <col min="10507" max="10507" width="10.375" style="391" customWidth="1"/>
    <col min="10508" max="10508" width="13.875" style="391" customWidth="1"/>
    <col min="10509" max="10509" width="7.5" style="391" customWidth="1"/>
    <col min="10510" max="10510" width="13" style="391" customWidth="1"/>
    <col min="10511" max="10511" width="13.5" style="391" customWidth="1"/>
    <col min="10512" max="10512" width="11" style="391" customWidth="1"/>
    <col min="10513" max="10513" width="10.5" style="391" customWidth="1"/>
    <col min="10514" max="10514" width="15" style="391" customWidth="1"/>
    <col min="10515" max="10515" width="15.875" style="391" customWidth="1"/>
    <col min="10516" max="10516" width="0" style="391" hidden="1" customWidth="1"/>
    <col min="10517" max="10752" width="14.5" style="391"/>
    <col min="10753" max="10753" width="5.5" style="391" customWidth="1"/>
    <col min="10754" max="10754" width="13.625" style="391" customWidth="1"/>
    <col min="10755" max="10755" width="15.125" style="391" customWidth="1"/>
    <col min="10756" max="10756" width="11.125" style="391" customWidth="1"/>
    <col min="10757" max="10757" width="10.875" style="391" customWidth="1"/>
    <col min="10758" max="10758" width="23" style="391" customWidth="1"/>
    <col min="10759" max="10759" width="18.125" style="391" customWidth="1"/>
    <col min="10760" max="10760" width="13" style="391" customWidth="1"/>
    <col min="10761" max="10761" width="11" style="391" customWidth="1"/>
    <col min="10762" max="10762" width="12.125" style="391" customWidth="1"/>
    <col min="10763" max="10763" width="10.375" style="391" customWidth="1"/>
    <col min="10764" max="10764" width="13.875" style="391" customWidth="1"/>
    <col min="10765" max="10765" width="7.5" style="391" customWidth="1"/>
    <col min="10766" max="10766" width="13" style="391" customWidth="1"/>
    <col min="10767" max="10767" width="13.5" style="391" customWidth="1"/>
    <col min="10768" max="10768" width="11" style="391" customWidth="1"/>
    <col min="10769" max="10769" width="10.5" style="391" customWidth="1"/>
    <col min="10770" max="10770" width="15" style="391" customWidth="1"/>
    <col min="10771" max="10771" width="15.875" style="391" customWidth="1"/>
    <col min="10772" max="10772" width="0" style="391" hidden="1" customWidth="1"/>
    <col min="10773" max="11008" width="14.5" style="391"/>
    <col min="11009" max="11009" width="5.5" style="391" customWidth="1"/>
    <col min="11010" max="11010" width="13.625" style="391" customWidth="1"/>
    <col min="11011" max="11011" width="15.125" style="391" customWidth="1"/>
    <col min="11012" max="11012" width="11.125" style="391" customWidth="1"/>
    <col min="11013" max="11013" width="10.875" style="391" customWidth="1"/>
    <col min="11014" max="11014" width="23" style="391" customWidth="1"/>
    <col min="11015" max="11015" width="18.125" style="391" customWidth="1"/>
    <col min="11016" max="11016" width="13" style="391" customWidth="1"/>
    <col min="11017" max="11017" width="11" style="391" customWidth="1"/>
    <col min="11018" max="11018" width="12.125" style="391" customWidth="1"/>
    <col min="11019" max="11019" width="10.375" style="391" customWidth="1"/>
    <col min="11020" max="11020" width="13.875" style="391" customWidth="1"/>
    <col min="11021" max="11021" width="7.5" style="391" customWidth="1"/>
    <col min="11022" max="11022" width="13" style="391" customWidth="1"/>
    <col min="11023" max="11023" width="13.5" style="391" customWidth="1"/>
    <col min="11024" max="11024" width="11" style="391" customWidth="1"/>
    <col min="11025" max="11025" width="10.5" style="391" customWidth="1"/>
    <col min="11026" max="11026" width="15" style="391" customWidth="1"/>
    <col min="11027" max="11027" width="15.875" style="391" customWidth="1"/>
    <col min="11028" max="11028" width="0" style="391" hidden="1" customWidth="1"/>
    <col min="11029" max="11264" width="14.5" style="391"/>
    <col min="11265" max="11265" width="5.5" style="391" customWidth="1"/>
    <col min="11266" max="11266" width="13.625" style="391" customWidth="1"/>
    <col min="11267" max="11267" width="15.125" style="391" customWidth="1"/>
    <col min="11268" max="11268" width="11.125" style="391" customWidth="1"/>
    <col min="11269" max="11269" width="10.875" style="391" customWidth="1"/>
    <col min="11270" max="11270" width="23" style="391" customWidth="1"/>
    <col min="11271" max="11271" width="18.125" style="391" customWidth="1"/>
    <col min="11272" max="11272" width="13" style="391" customWidth="1"/>
    <col min="11273" max="11273" width="11" style="391" customWidth="1"/>
    <col min="11274" max="11274" width="12.125" style="391" customWidth="1"/>
    <col min="11275" max="11275" width="10.375" style="391" customWidth="1"/>
    <col min="11276" max="11276" width="13.875" style="391" customWidth="1"/>
    <col min="11277" max="11277" width="7.5" style="391" customWidth="1"/>
    <col min="11278" max="11278" width="13" style="391" customWidth="1"/>
    <col min="11279" max="11279" width="13.5" style="391" customWidth="1"/>
    <col min="11280" max="11280" width="11" style="391" customWidth="1"/>
    <col min="11281" max="11281" width="10.5" style="391" customWidth="1"/>
    <col min="11282" max="11282" width="15" style="391" customWidth="1"/>
    <col min="11283" max="11283" width="15.875" style="391" customWidth="1"/>
    <col min="11284" max="11284" width="0" style="391" hidden="1" customWidth="1"/>
    <col min="11285" max="11520" width="14.5" style="391"/>
    <col min="11521" max="11521" width="5.5" style="391" customWidth="1"/>
    <col min="11522" max="11522" width="13.625" style="391" customWidth="1"/>
    <col min="11523" max="11523" width="15.125" style="391" customWidth="1"/>
    <col min="11524" max="11524" width="11.125" style="391" customWidth="1"/>
    <col min="11525" max="11525" width="10.875" style="391" customWidth="1"/>
    <col min="11526" max="11526" width="23" style="391" customWidth="1"/>
    <col min="11527" max="11527" width="18.125" style="391" customWidth="1"/>
    <col min="11528" max="11528" width="13" style="391" customWidth="1"/>
    <col min="11529" max="11529" width="11" style="391" customWidth="1"/>
    <col min="11530" max="11530" width="12.125" style="391" customWidth="1"/>
    <col min="11531" max="11531" width="10.375" style="391" customWidth="1"/>
    <col min="11532" max="11532" width="13.875" style="391" customWidth="1"/>
    <col min="11533" max="11533" width="7.5" style="391" customWidth="1"/>
    <col min="11534" max="11534" width="13" style="391" customWidth="1"/>
    <col min="11535" max="11535" width="13.5" style="391" customWidth="1"/>
    <col min="11536" max="11536" width="11" style="391" customWidth="1"/>
    <col min="11537" max="11537" width="10.5" style="391" customWidth="1"/>
    <col min="11538" max="11538" width="15" style="391" customWidth="1"/>
    <col min="11539" max="11539" width="15.875" style="391" customWidth="1"/>
    <col min="11540" max="11540" width="0" style="391" hidden="1" customWidth="1"/>
    <col min="11541" max="11776" width="14.5" style="391"/>
    <col min="11777" max="11777" width="5.5" style="391" customWidth="1"/>
    <col min="11778" max="11778" width="13.625" style="391" customWidth="1"/>
    <col min="11779" max="11779" width="15.125" style="391" customWidth="1"/>
    <col min="11780" max="11780" width="11.125" style="391" customWidth="1"/>
    <col min="11781" max="11781" width="10.875" style="391" customWidth="1"/>
    <col min="11782" max="11782" width="23" style="391" customWidth="1"/>
    <col min="11783" max="11783" width="18.125" style="391" customWidth="1"/>
    <col min="11784" max="11784" width="13" style="391" customWidth="1"/>
    <col min="11785" max="11785" width="11" style="391" customWidth="1"/>
    <col min="11786" max="11786" width="12.125" style="391" customWidth="1"/>
    <col min="11787" max="11787" width="10.375" style="391" customWidth="1"/>
    <col min="11788" max="11788" width="13.875" style="391" customWidth="1"/>
    <col min="11789" max="11789" width="7.5" style="391" customWidth="1"/>
    <col min="11790" max="11790" width="13" style="391" customWidth="1"/>
    <col min="11791" max="11791" width="13.5" style="391" customWidth="1"/>
    <col min="11792" max="11792" width="11" style="391" customWidth="1"/>
    <col min="11793" max="11793" width="10.5" style="391" customWidth="1"/>
    <col min="11794" max="11794" width="15" style="391" customWidth="1"/>
    <col min="11795" max="11795" width="15.875" style="391" customWidth="1"/>
    <col min="11796" max="11796" width="0" style="391" hidden="1" customWidth="1"/>
    <col min="11797" max="12032" width="14.5" style="391"/>
    <col min="12033" max="12033" width="5.5" style="391" customWidth="1"/>
    <col min="12034" max="12034" width="13.625" style="391" customWidth="1"/>
    <col min="12035" max="12035" width="15.125" style="391" customWidth="1"/>
    <col min="12036" max="12036" width="11.125" style="391" customWidth="1"/>
    <col min="12037" max="12037" width="10.875" style="391" customWidth="1"/>
    <col min="12038" max="12038" width="23" style="391" customWidth="1"/>
    <col min="12039" max="12039" width="18.125" style="391" customWidth="1"/>
    <col min="12040" max="12040" width="13" style="391" customWidth="1"/>
    <col min="12041" max="12041" width="11" style="391" customWidth="1"/>
    <col min="12042" max="12042" width="12.125" style="391" customWidth="1"/>
    <col min="12043" max="12043" width="10.375" style="391" customWidth="1"/>
    <col min="12044" max="12044" width="13.875" style="391" customWidth="1"/>
    <col min="12045" max="12045" width="7.5" style="391" customWidth="1"/>
    <col min="12046" max="12046" width="13" style="391" customWidth="1"/>
    <col min="12047" max="12047" width="13.5" style="391" customWidth="1"/>
    <col min="12048" max="12048" width="11" style="391" customWidth="1"/>
    <col min="12049" max="12049" width="10.5" style="391" customWidth="1"/>
    <col min="12050" max="12050" width="15" style="391" customWidth="1"/>
    <col min="12051" max="12051" width="15.875" style="391" customWidth="1"/>
    <col min="12052" max="12052" width="0" style="391" hidden="1" customWidth="1"/>
    <col min="12053" max="12288" width="14.5" style="391"/>
    <col min="12289" max="12289" width="5.5" style="391" customWidth="1"/>
    <col min="12290" max="12290" width="13.625" style="391" customWidth="1"/>
    <col min="12291" max="12291" width="15.125" style="391" customWidth="1"/>
    <col min="12292" max="12292" width="11.125" style="391" customWidth="1"/>
    <col min="12293" max="12293" width="10.875" style="391" customWidth="1"/>
    <col min="12294" max="12294" width="23" style="391" customWidth="1"/>
    <col min="12295" max="12295" width="18.125" style="391" customWidth="1"/>
    <col min="12296" max="12296" width="13" style="391" customWidth="1"/>
    <col min="12297" max="12297" width="11" style="391" customWidth="1"/>
    <col min="12298" max="12298" width="12.125" style="391" customWidth="1"/>
    <col min="12299" max="12299" width="10.375" style="391" customWidth="1"/>
    <col min="12300" max="12300" width="13.875" style="391" customWidth="1"/>
    <col min="12301" max="12301" width="7.5" style="391" customWidth="1"/>
    <col min="12302" max="12302" width="13" style="391" customWidth="1"/>
    <col min="12303" max="12303" width="13.5" style="391" customWidth="1"/>
    <col min="12304" max="12304" width="11" style="391" customWidth="1"/>
    <col min="12305" max="12305" width="10.5" style="391" customWidth="1"/>
    <col min="12306" max="12306" width="15" style="391" customWidth="1"/>
    <col min="12307" max="12307" width="15.875" style="391" customWidth="1"/>
    <col min="12308" max="12308" width="0" style="391" hidden="1" customWidth="1"/>
    <col min="12309" max="12544" width="14.5" style="391"/>
    <col min="12545" max="12545" width="5.5" style="391" customWidth="1"/>
    <col min="12546" max="12546" width="13.625" style="391" customWidth="1"/>
    <col min="12547" max="12547" width="15.125" style="391" customWidth="1"/>
    <col min="12548" max="12548" width="11.125" style="391" customWidth="1"/>
    <col min="12549" max="12549" width="10.875" style="391" customWidth="1"/>
    <col min="12550" max="12550" width="23" style="391" customWidth="1"/>
    <col min="12551" max="12551" width="18.125" style="391" customWidth="1"/>
    <col min="12552" max="12552" width="13" style="391" customWidth="1"/>
    <col min="12553" max="12553" width="11" style="391" customWidth="1"/>
    <col min="12554" max="12554" width="12.125" style="391" customWidth="1"/>
    <col min="12555" max="12555" width="10.375" style="391" customWidth="1"/>
    <col min="12556" max="12556" width="13.875" style="391" customWidth="1"/>
    <col min="12557" max="12557" width="7.5" style="391" customWidth="1"/>
    <col min="12558" max="12558" width="13" style="391" customWidth="1"/>
    <col min="12559" max="12559" width="13.5" style="391" customWidth="1"/>
    <col min="12560" max="12560" width="11" style="391" customWidth="1"/>
    <col min="12561" max="12561" width="10.5" style="391" customWidth="1"/>
    <col min="12562" max="12562" width="15" style="391" customWidth="1"/>
    <col min="12563" max="12563" width="15.875" style="391" customWidth="1"/>
    <col min="12564" max="12564" width="0" style="391" hidden="1" customWidth="1"/>
    <col min="12565" max="12800" width="14.5" style="391"/>
    <col min="12801" max="12801" width="5.5" style="391" customWidth="1"/>
    <col min="12802" max="12802" width="13.625" style="391" customWidth="1"/>
    <col min="12803" max="12803" width="15.125" style="391" customWidth="1"/>
    <col min="12804" max="12804" width="11.125" style="391" customWidth="1"/>
    <col min="12805" max="12805" width="10.875" style="391" customWidth="1"/>
    <col min="12806" max="12806" width="23" style="391" customWidth="1"/>
    <col min="12807" max="12807" width="18.125" style="391" customWidth="1"/>
    <col min="12808" max="12808" width="13" style="391" customWidth="1"/>
    <col min="12809" max="12809" width="11" style="391" customWidth="1"/>
    <col min="12810" max="12810" width="12.125" style="391" customWidth="1"/>
    <col min="12811" max="12811" width="10.375" style="391" customWidth="1"/>
    <col min="12812" max="12812" width="13.875" style="391" customWidth="1"/>
    <col min="12813" max="12813" width="7.5" style="391" customWidth="1"/>
    <col min="12814" max="12814" width="13" style="391" customWidth="1"/>
    <col min="12815" max="12815" width="13.5" style="391" customWidth="1"/>
    <col min="12816" max="12816" width="11" style="391" customWidth="1"/>
    <col min="12817" max="12817" width="10.5" style="391" customWidth="1"/>
    <col min="12818" max="12818" width="15" style="391" customWidth="1"/>
    <col min="12819" max="12819" width="15.875" style="391" customWidth="1"/>
    <col min="12820" max="12820" width="0" style="391" hidden="1" customWidth="1"/>
    <col min="12821" max="13056" width="14.5" style="391"/>
    <col min="13057" max="13057" width="5.5" style="391" customWidth="1"/>
    <col min="13058" max="13058" width="13.625" style="391" customWidth="1"/>
    <col min="13059" max="13059" width="15.125" style="391" customWidth="1"/>
    <col min="13060" max="13060" width="11.125" style="391" customWidth="1"/>
    <col min="13061" max="13061" width="10.875" style="391" customWidth="1"/>
    <col min="13062" max="13062" width="23" style="391" customWidth="1"/>
    <col min="13063" max="13063" width="18.125" style="391" customWidth="1"/>
    <col min="13064" max="13064" width="13" style="391" customWidth="1"/>
    <col min="13065" max="13065" width="11" style="391" customWidth="1"/>
    <col min="13066" max="13066" width="12.125" style="391" customWidth="1"/>
    <col min="13067" max="13067" width="10.375" style="391" customWidth="1"/>
    <col min="13068" max="13068" width="13.875" style="391" customWidth="1"/>
    <col min="13069" max="13069" width="7.5" style="391" customWidth="1"/>
    <col min="13070" max="13070" width="13" style="391" customWidth="1"/>
    <col min="13071" max="13071" width="13.5" style="391" customWidth="1"/>
    <col min="13072" max="13072" width="11" style="391" customWidth="1"/>
    <col min="13073" max="13073" width="10.5" style="391" customWidth="1"/>
    <col min="13074" max="13074" width="15" style="391" customWidth="1"/>
    <col min="13075" max="13075" width="15.875" style="391" customWidth="1"/>
    <col min="13076" max="13076" width="0" style="391" hidden="1" customWidth="1"/>
    <col min="13077" max="13312" width="14.5" style="391"/>
    <col min="13313" max="13313" width="5.5" style="391" customWidth="1"/>
    <col min="13314" max="13314" width="13.625" style="391" customWidth="1"/>
    <col min="13315" max="13315" width="15.125" style="391" customWidth="1"/>
    <col min="13316" max="13316" width="11.125" style="391" customWidth="1"/>
    <col min="13317" max="13317" width="10.875" style="391" customWidth="1"/>
    <col min="13318" max="13318" width="23" style="391" customWidth="1"/>
    <col min="13319" max="13319" width="18.125" style="391" customWidth="1"/>
    <col min="13320" max="13320" width="13" style="391" customWidth="1"/>
    <col min="13321" max="13321" width="11" style="391" customWidth="1"/>
    <col min="13322" max="13322" width="12.125" style="391" customWidth="1"/>
    <col min="13323" max="13323" width="10.375" style="391" customWidth="1"/>
    <col min="13324" max="13324" width="13.875" style="391" customWidth="1"/>
    <col min="13325" max="13325" width="7.5" style="391" customWidth="1"/>
    <col min="13326" max="13326" width="13" style="391" customWidth="1"/>
    <col min="13327" max="13327" width="13.5" style="391" customWidth="1"/>
    <col min="13328" max="13328" width="11" style="391" customWidth="1"/>
    <col min="13329" max="13329" width="10.5" style="391" customWidth="1"/>
    <col min="13330" max="13330" width="15" style="391" customWidth="1"/>
    <col min="13331" max="13331" width="15.875" style="391" customWidth="1"/>
    <col min="13332" max="13332" width="0" style="391" hidden="1" customWidth="1"/>
    <col min="13333" max="13568" width="14.5" style="391"/>
    <col min="13569" max="13569" width="5.5" style="391" customWidth="1"/>
    <col min="13570" max="13570" width="13.625" style="391" customWidth="1"/>
    <col min="13571" max="13571" width="15.125" style="391" customWidth="1"/>
    <col min="13572" max="13572" width="11.125" style="391" customWidth="1"/>
    <col min="13573" max="13573" width="10.875" style="391" customWidth="1"/>
    <col min="13574" max="13574" width="23" style="391" customWidth="1"/>
    <col min="13575" max="13575" width="18.125" style="391" customWidth="1"/>
    <col min="13576" max="13576" width="13" style="391" customWidth="1"/>
    <col min="13577" max="13577" width="11" style="391" customWidth="1"/>
    <col min="13578" max="13578" width="12.125" style="391" customWidth="1"/>
    <col min="13579" max="13579" width="10.375" style="391" customWidth="1"/>
    <col min="13580" max="13580" width="13.875" style="391" customWidth="1"/>
    <col min="13581" max="13581" width="7.5" style="391" customWidth="1"/>
    <col min="13582" max="13582" width="13" style="391" customWidth="1"/>
    <col min="13583" max="13583" width="13.5" style="391" customWidth="1"/>
    <col min="13584" max="13584" width="11" style="391" customWidth="1"/>
    <col min="13585" max="13585" width="10.5" style="391" customWidth="1"/>
    <col min="13586" max="13586" width="15" style="391" customWidth="1"/>
    <col min="13587" max="13587" width="15.875" style="391" customWidth="1"/>
    <col min="13588" max="13588" width="0" style="391" hidden="1" customWidth="1"/>
    <col min="13589" max="13824" width="14.5" style="391"/>
    <col min="13825" max="13825" width="5.5" style="391" customWidth="1"/>
    <col min="13826" max="13826" width="13.625" style="391" customWidth="1"/>
    <col min="13827" max="13827" width="15.125" style="391" customWidth="1"/>
    <col min="13828" max="13828" width="11.125" style="391" customWidth="1"/>
    <col min="13829" max="13829" width="10.875" style="391" customWidth="1"/>
    <col min="13830" max="13830" width="23" style="391" customWidth="1"/>
    <col min="13831" max="13831" width="18.125" style="391" customWidth="1"/>
    <col min="13832" max="13832" width="13" style="391" customWidth="1"/>
    <col min="13833" max="13833" width="11" style="391" customWidth="1"/>
    <col min="13834" max="13834" width="12.125" style="391" customWidth="1"/>
    <col min="13835" max="13835" width="10.375" style="391" customWidth="1"/>
    <col min="13836" max="13836" width="13.875" style="391" customWidth="1"/>
    <col min="13837" max="13837" width="7.5" style="391" customWidth="1"/>
    <col min="13838" max="13838" width="13" style="391" customWidth="1"/>
    <col min="13839" max="13839" width="13.5" style="391" customWidth="1"/>
    <col min="13840" max="13840" width="11" style="391" customWidth="1"/>
    <col min="13841" max="13841" width="10.5" style="391" customWidth="1"/>
    <col min="13842" max="13842" width="15" style="391" customWidth="1"/>
    <col min="13843" max="13843" width="15.875" style="391" customWidth="1"/>
    <col min="13844" max="13844" width="0" style="391" hidden="1" customWidth="1"/>
    <col min="13845" max="14080" width="14.5" style="391"/>
    <col min="14081" max="14081" width="5.5" style="391" customWidth="1"/>
    <col min="14082" max="14082" width="13.625" style="391" customWidth="1"/>
    <col min="14083" max="14083" width="15.125" style="391" customWidth="1"/>
    <col min="14084" max="14084" width="11.125" style="391" customWidth="1"/>
    <col min="14085" max="14085" width="10.875" style="391" customWidth="1"/>
    <col min="14086" max="14086" width="23" style="391" customWidth="1"/>
    <col min="14087" max="14087" width="18.125" style="391" customWidth="1"/>
    <col min="14088" max="14088" width="13" style="391" customWidth="1"/>
    <col min="14089" max="14089" width="11" style="391" customWidth="1"/>
    <col min="14090" max="14090" width="12.125" style="391" customWidth="1"/>
    <col min="14091" max="14091" width="10.375" style="391" customWidth="1"/>
    <col min="14092" max="14092" width="13.875" style="391" customWidth="1"/>
    <col min="14093" max="14093" width="7.5" style="391" customWidth="1"/>
    <col min="14094" max="14094" width="13" style="391" customWidth="1"/>
    <col min="14095" max="14095" width="13.5" style="391" customWidth="1"/>
    <col min="14096" max="14096" width="11" style="391" customWidth="1"/>
    <col min="14097" max="14097" width="10.5" style="391" customWidth="1"/>
    <col min="14098" max="14098" width="15" style="391" customWidth="1"/>
    <col min="14099" max="14099" width="15.875" style="391" customWidth="1"/>
    <col min="14100" max="14100" width="0" style="391" hidden="1" customWidth="1"/>
    <col min="14101" max="14336" width="14.5" style="391"/>
    <col min="14337" max="14337" width="5.5" style="391" customWidth="1"/>
    <col min="14338" max="14338" width="13.625" style="391" customWidth="1"/>
    <col min="14339" max="14339" width="15.125" style="391" customWidth="1"/>
    <col min="14340" max="14340" width="11.125" style="391" customWidth="1"/>
    <col min="14341" max="14341" width="10.875" style="391" customWidth="1"/>
    <col min="14342" max="14342" width="23" style="391" customWidth="1"/>
    <col min="14343" max="14343" width="18.125" style="391" customWidth="1"/>
    <col min="14344" max="14344" width="13" style="391" customWidth="1"/>
    <col min="14345" max="14345" width="11" style="391" customWidth="1"/>
    <col min="14346" max="14346" width="12.125" style="391" customWidth="1"/>
    <col min="14347" max="14347" width="10.375" style="391" customWidth="1"/>
    <col min="14348" max="14348" width="13.875" style="391" customWidth="1"/>
    <col min="14349" max="14349" width="7.5" style="391" customWidth="1"/>
    <col min="14350" max="14350" width="13" style="391" customWidth="1"/>
    <col min="14351" max="14351" width="13.5" style="391" customWidth="1"/>
    <col min="14352" max="14352" width="11" style="391" customWidth="1"/>
    <col min="14353" max="14353" width="10.5" style="391" customWidth="1"/>
    <col min="14354" max="14354" width="15" style="391" customWidth="1"/>
    <col min="14355" max="14355" width="15.875" style="391" customWidth="1"/>
    <col min="14356" max="14356" width="0" style="391" hidden="1" customWidth="1"/>
    <col min="14357" max="14592" width="14.5" style="391"/>
    <col min="14593" max="14593" width="5.5" style="391" customWidth="1"/>
    <col min="14594" max="14594" width="13.625" style="391" customWidth="1"/>
    <col min="14595" max="14595" width="15.125" style="391" customWidth="1"/>
    <col min="14596" max="14596" width="11.125" style="391" customWidth="1"/>
    <col min="14597" max="14597" width="10.875" style="391" customWidth="1"/>
    <col min="14598" max="14598" width="23" style="391" customWidth="1"/>
    <col min="14599" max="14599" width="18.125" style="391" customWidth="1"/>
    <col min="14600" max="14600" width="13" style="391" customWidth="1"/>
    <col min="14601" max="14601" width="11" style="391" customWidth="1"/>
    <col min="14602" max="14602" width="12.125" style="391" customWidth="1"/>
    <col min="14603" max="14603" width="10.375" style="391" customWidth="1"/>
    <col min="14604" max="14604" width="13.875" style="391" customWidth="1"/>
    <col min="14605" max="14605" width="7.5" style="391" customWidth="1"/>
    <col min="14606" max="14606" width="13" style="391" customWidth="1"/>
    <col min="14607" max="14607" width="13.5" style="391" customWidth="1"/>
    <col min="14608" max="14608" width="11" style="391" customWidth="1"/>
    <col min="14609" max="14609" width="10.5" style="391" customWidth="1"/>
    <col min="14610" max="14610" width="15" style="391" customWidth="1"/>
    <col min="14611" max="14611" width="15.875" style="391" customWidth="1"/>
    <col min="14612" max="14612" width="0" style="391" hidden="1" customWidth="1"/>
    <col min="14613" max="14848" width="14.5" style="391"/>
    <col min="14849" max="14849" width="5.5" style="391" customWidth="1"/>
    <col min="14850" max="14850" width="13.625" style="391" customWidth="1"/>
    <col min="14851" max="14851" width="15.125" style="391" customWidth="1"/>
    <col min="14852" max="14852" width="11.125" style="391" customWidth="1"/>
    <col min="14853" max="14853" width="10.875" style="391" customWidth="1"/>
    <col min="14854" max="14854" width="23" style="391" customWidth="1"/>
    <col min="14855" max="14855" width="18.125" style="391" customWidth="1"/>
    <col min="14856" max="14856" width="13" style="391" customWidth="1"/>
    <col min="14857" max="14857" width="11" style="391" customWidth="1"/>
    <col min="14858" max="14858" width="12.125" style="391" customWidth="1"/>
    <col min="14859" max="14859" width="10.375" style="391" customWidth="1"/>
    <col min="14860" max="14860" width="13.875" style="391" customWidth="1"/>
    <col min="14861" max="14861" width="7.5" style="391" customWidth="1"/>
    <col min="14862" max="14862" width="13" style="391" customWidth="1"/>
    <col min="14863" max="14863" width="13.5" style="391" customWidth="1"/>
    <col min="14864" max="14864" width="11" style="391" customWidth="1"/>
    <col min="14865" max="14865" width="10.5" style="391" customWidth="1"/>
    <col min="14866" max="14866" width="15" style="391" customWidth="1"/>
    <col min="14867" max="14867" width="15.875" style="391" customWidth="1"/>
    <col min="14868" max="14868" width="0" style="391" hidden="1" customWidth="1"/>
    <col min="14869" max="15104" width="14.5" style="391"/>
    <col min="15105" max="15105" width="5.5" style="391" customWidth="1"/>
    <col min="15106" max="15106" width="13.625" style="391" customWidth="1"/>
    <col min="15107" max="15107" width="15.125" style="391" customWidth="1"/>
    <col min="15108" max="15108" width="11.125" style="391" customWidth="1"/>
    <col min="15109" max="15109" width="10.875" style="391" customWidth="1"/>
    <col min="15110" max="15110" width="23" style="391" customWidth="1"/>
    <col min="15111" max="15111" width="18.125" style="391" customWidth="1"/>
    <col min="15112" max="15112" width="13" style="391" customWidth="1"/>
    <col min="15113" max="15113" width="11" style="391" customWidth="1"/>
    <col min="15114" max="15114" width="12.125" style="391" customWidth="1"/>
    <col min="15115" max="15115" width="10.375" style="391" customWidth="1"/>
    <col min="15116" max="15116" width="13.875" style="391" customWidth="1"/>
    <col min="15117" max="15117" width="7.5" style="391" customWidth="1"/>
    <col min="15118" max="15118" width="13" style="391" customWidth="1"/>
    <col min="15119" max="15119" width="13.5" style="391" customWidth="1"/>
    <col min="15120" max="15120" width="11" style="391" customWidth="1"/>
    <col min="15121" max="15121" width="10.5" style="391" customWidth="1"/>
    <col min="15122" max="15122" width="15" style="391" customWidth="1"/>
    <col min="15123" max="15123" width="15.875" style="391" customWidth="1"/>
    <col min="15124" max="15124" width="0" style="391" hidden="1" customWidth="1"/>
    <col min="15125" max="15360" width="14.5" style="391"/>
    <col min="15361" max="15361" width="5.5" style="391" customWidth="1"/>
    <col min="15362" max="15362" width="13.625" style="391" customWidth="1"/>
    <col min="15363" max="15363" width="15.125" style="391" customWidth="1"/>
    <col min="15364" max="15364" width="11.125" style="391" customWidth="1"/>
    <col min="15365" max="15365" width="10.875" style="391" customWidth="1"/>
    <col min="15366" max="15366" width="23" style="391" customWidth="1"/>
    <col min="15367" max="15367" width="18.125" style="391" customWidth="1"/>
    <col min="15368" max="15368" width="13" style="391" customWidth="1"/>
    <col min="15369" max="15369" width="11" style="391" customWidth="1"/>
    <col min="15370" max="15370" width="12.125" style="391" customWidth="1"/>
    <col min="15371" max="15371" width="10.375" style="391" customWidth="1"/>
    <col min="15372" max="15372" width="13.875" style="391" customWidth="1"/>
    <col min="15373" max="15373" width="7.5" style="391" customWidth="1"/>
    <col min="15374" max="15374" width="13" style="391" customWidth="1"/>
    <col min="15375" max="15375" width="13.5" style="391" customWidth="1"/>
    <col min="15376" max="15376" width="11" style="391" customWidth="1"/>
    <col min="15377" max="15377" width="10.5" style="391" customWidth="1"/>
    <col min="15378" max="15378" width="15" style="391" customWidth="1"/>
    <col min="15379" max="15379" width="15.875" style="391" customWidth="1"/>
    <col min="15380" max="15380" width="0" style="391" hidden="1" customWidth="1"/>
    <col min="15381" max="15616" width="14.5" style="391"/>
    <col min="15617" max="15617" width="5.5" style="391" customWidth="1"/>
    <col min="15618" max="15618" width="13.625" style="391" customWidth="1"/>
    <col min="15619" max="15619" width="15.125" style="391" customWidth="1"/>
    <col min="15620" max="15620" width="11.125" style="391" customWidth="1"/>
    <col min="15621" max="15621" width="10.875" style="391" customWidth="1"/>
    <col min="15622" max="15622" width="23" style="391" customWidth="1"/>
    <col min="15623" max="15623" width="18.125" style="391" customWidth="1"/>
    <col min="15624" max="15624" width="13" style="391" customWidth="1"/>
    <col min="15625" max="15625" width="11" style="391" customWidth="1"/>
    <col min="15626" max="15626" width="12.125" style="391" customWidth="1"/>
    <col min="15627" max="15627" width="10.375" style="391" customWidth="1"/>
    <col min="15628" max="15628" width="13.875" style="391" customWidth="1"/>
    <col min="15629" max="15629" width="7.5" style="391" customWidth="1"/>
    <col min="15630" max="15630" width="13" style="391" customWidth="1"/>
    <col min="15631" max="15631" width="13.5" style="391" customWidth="1"/>
    <col min="15632" max="15632" width="11" style="391" customWidth="1"/>
    <col min="15633" max="15633" width="10.5" style="391" customWidth="1"/>
    <col min="15634" max="15634" width="15" style="391" customWidth="1"/>
    <col min="15635" max="15635" width="15.875" style="391" customWidth="1"/>
    <col min="15636" max="15636" width="0" style="391" hidden="1" customWidth="1"/>
    <col min="15637" max="15872" width="14.5" style="391"/>
    <col min="15873" max="15873" width="5.5" style="391" customWidth="1"/>
    <col min="15874" max="15874" width="13.625" style="391" customWidth="1"/>
    <col min="15875" max="15875" width="15.125" style="391" customWidth="1"/>
    <col min="15876" max="15876" width="11.125" style="391" customWidth="1"/>
    <col min="15877" max="15877" width="10.875" style="391" customWidth="1"/>
    <col min="15878" max="15878" width="23" style="391" customWidth="1"/>
    <col min="15879" max="15879" width="18.125" style="391" customWidth="1"/>
    <col min="15880" max="15880" width="13" style="391" customWidth="1"/>
    <col min="15881" max="15881" width="11" style="391" customWidth="1"/>
    <col min="15882" max="15882" width="12.125" style="391" customWidth="1"/>
    <col min="15883" max="15883" width="10.375" style="391" customWidth="1"/>
    <col min="15884" max="15884" width="13.875" style="391" customWidth="1"/>
    <col min="15885" max="15885" width="7.5" style="391" customWidth="1"/>
    <col min="15886" max="15886" width="13" style="391" customWidth="1"/>
    <col min="15887" max="15887" width="13.5" style="391" customWidth="1"/>
    <col min="15888" max="15888" width="11" style="391" customWidth="1"/>
    <col min="15889" max="15889" width="10.5" style="391" customWidth="1"/>
    <col min="15890" max="15890" width="15" style="391" customWidth="1"/>
    <col min="15891" max="15891" width="15.875" style="391" customWidth="1"/>
    <col min="15892" max="15892" width="0" style="391" hidden="1" customWidth="1"/>
    <col min="15893" max="16128" width="14.5" style="391"/>
    <col min="16129" max="16129" width="5.5" style="391" customWidth="1"/>
    <col min="16130" max="16130" width="13.625" style="391" customWidth="1"/>
    <col min="16131" max="16131" width="15.125" style="391" customWidth="1"/>
    <col min="16132" max="16132" width="11.125" style="391" customWidth="1"/>
    <col min="16133" max="16133" width="10.875" style="391" customWidth="1"/>
    <col min="16134" max="16134" width="23" style="391" customWidth="1"/>
    <col min="16135" max="16135" width="18.125" style="391" customWidth="1"/>
    <col min="16136" max="16136" width="13" style="391" customWidth="1"/>
    <col min="16137" max="16137" width="11" style="391" customWidth="1"/>
    <col min="16138" max="16138" width="12.125" style="391" customWidth="1"/>
    <col min="16139" max="16139" width="10.375" style="391" customWidth="1"/>
    <col min="16140" max="16140" width="13.875" style="391" customWidth="1"/>
    <col min="16141" max="16141" width="7.5" style="391" customWidth="1"/>
    <col min="16142" max="16142" width="13" style="391" customWidth="1"/>
    <col min="16143" max="16143" width="13.5" style="391" customWidth="1"/>
    <col min="16144" max="16144" width="11" style="391" customWidth="1"/>
    <col min="16145" max="16145" width="10.5" style="391" customWidth="1"/>
    <col min="16146" max="16146" width="15" style="391" customWidth="1"/>
    <col min="16147" max="16147" width="15.875" style="391" customWidth="1"/>
    <col min="16148" max="16148" width="0" style="391" hidden="1" customWidth="1"/>
    <col min="16149" max="16384" width="14.5" style="391"/>
  </cols>
  <sheetData>
    <row r="1" spans="1:20" x14ac:dyDescent="0.25">
      <c r="A1" s="1598" t="s">
        <v>411</v>
      </c>
      <c r="B1" s="1598"/>
      <c r="C1" s="1598"/>
      <c r="D1" s="1598"/>
      <c r="E1" s="1598"/>
      <c r="F1" s="1598"/>
      <c r="G1" s="1598"/>
      <c r="H1" s="1598"/>
      <c r="I1" s="1598"/>
      <c r="J1" s="1598"/>
      <c r="K1" s="1598"/>
      <c r="L1" s="1598"/>
      <c r="M1" s="1598"/>
      <c r="N1" s="1598"/>
      <c r="O1" s="1598"/>
      <c r="P1" s="1598"/>
      <c r="Q1" s="1598"/>
      <c r="R1" s="1598"/>
      <c r="S1" s="1598"/>
    </row>
    <row r="2" spans="1:20" x14ac:dyDescent="0.25">
      <c r="A2" s="1598" t="s">
        <v>412</v>
      </c>
      <c r="B2" s="1598"/>
      <c r="C2" s="1598"/>
      <c r="D2" s="1598"/>
      <c r="E2" s="1598"/>
      <c r="F2" s="1598"/>
      <c r="G2" s="1598"/>
      <c r="H2" s="1598"/>
      <c r="I2" s="1598"/>
      <c r="J2" s="1598"/>
      <c r="K2" s="1598"/>
      <c r="L2" s="1598"/>
      <c r="M2" s="1598"/>
      <c r="N2" s="1598"/>
      <c r="O2" s="1598"/>
      <c r="P2" s="1598"/>
      <c r="Q2" s="1598"/>
      <c r="R2" s="1598"/>
      <c r="S2" s="1598"/>
    </row>
    <row r="3" spans="1:20" x14ac:dyDescent="0.25">
      <c r="A3" s="1604" t="s">
        <v>413</v>
      </c>
      <c r="B3" s="1604"/>
      <c r="C3" s="1604"/>
      <c r="D3" s="1604"/>
      <c r="E3" s="1604"/>
      <c r="F3" s="1604"/>
      <c r="G3" s="1604"/>
      <c r="H3" s="1604"/>
      <c r="I3" s="1604"/>
      <c r="J3" s="1604"/>
      <c r="K3" s="1604"/>
      <c r="L3" s="1604"/>
      <c r="M3" s="1604"/>
      <c r="N3" s="1604"/>
      <c r="O3" s="1604"/>
      <c r="P3" s="1604"/>
      <c r="Q3" s="1604"/>
      <c r="R3" s="1604"/>
      <c r="S3" s="1604"/>
    </row>
    <row r="4" spans="1:20" x14ac:dyDescent="0.25">
      <c r="A4" s="1598" t="s">
        <v>414</v>
      </c>
      <c r="B4" s="1598"/>
      <c r="C4" s="1598"/>
      <c r="D4" s="1598"/>
      <c r="E4" s="1598"/>
      <c r="F4" s="1598"/>
      <c r="G4" s="1598"/>
      <c r="H4" s="1598"/>
      <c r="I4" s="1598"/>
      <c r="J4" s="1598"/>
      <c r="K4" s="1598"/>
      <c r="L4" s="1598"/>
      <c r="M4" s="1598"/>
      <c r="N4" s="1598"/>
      <c r="O4" s="1598"/>
      <c r="P4" s="1598"/>
      <c r="Q4" s="1598"/>
      <c r="R4" s="1598"/>
      <c r="S4" s="1598"/>
    </row>
    <row r="5" spans="1:20" x14ac:dyDescent="0.25">
      <c r="A5" s="1598" t="s">
        <v>415</v>
      </c>
      <c r="B5" s="1598"/>
      <c r="C5" s="1598"/>
      <c r="D5" s="1598"/>
      <c r="E5" s="1598"/>
      <c r="F5" s="1598"/>
      <c r="G5" s="1598"/>
      <c r="H5" s="1598"/>
      <c r="I5" s="1598"/>
      <c r="J5" s="1598"/>
      <c r="K5" s="1598"/>
      <c r="L5" s="1598"/>
      <c r="M5" s="1598"/>
      <c r="N5" s="1598"/>
      <c r="O5" s="1598"/>
      <c r="P5" s="1598"/>
      <c r="Q5" s="1598"/>
      <c r="R5" s="1598"/>
      <c r="S5" s="1598"/>
    </row>
    <row r="6" spans="1:20" x14ac:dyDescent="0.25">
      <c r="A6" s="1598" t="s">
        <v>416</v>
      </c>
      <c r="B6" s="1598"/>
      <c r="C6" s="1598"/>
      <c r="D6" s="1598"/>
      <c r="E6" s="1598"/>
      <c r="F6" s="1598"/>
      <c r="G6" s="1598"/>
      <c r="H6" s="1598"/>
      <c r="I6" s="1598"/>
      <c r="J6" s="1598"/>
      <c r="K6" s="1598"/>
      <c r="L6" s="1598"/>
      <c r="M6" s="1598"/>
      <c r="N6" s="1598"/>
      <c r="O6" s="1598"/>
      <c r="P6" s="1598"/>
      <c r="Q6" s="1598"/>
      <c r="R6" s="1598"/>
      <c r="S6" s="1598"/>
    </row>
    <row r="7" spans="1:20" x14ac:dyDescent="0.25">
      <c r="A7" s="1598"/>
      <c r="B7" s="1598"/>
      <c r="C7" s="1598"/>
      <c r="D7" s="1598"/>
      <c r="E7" s="1598"/>
      <c r="F7" s="1598"/>
      <c r="G7" s="1598"/>
      <c r="H7" s="1598"/>
      <c r="I7" s="1598"/>
      <c r="J7" s="1598"/>
      <c r="K7" s="1598"/>
      <c r="L7" s="1598"/>
      <c r="M7" s="1598"/>
      <c r="N7" s="1598"/>
      <c r="O7" s="1598"/>
      <c r="P7" s="1598"/>
      <c r="Q7" s="1598"/>
      <c r="R7" s="1598"/>
      <c r="S7" s="392"/>
    </row>
    <row r="8" spans="1:20" x14ac:dyDescent="0.25">
      <c r="A8" s="1598"/>
      <c r="B8" s="1598"/>
      <c r="C8" s="1598"/>
      <c r="D8" s="1598"/>
      <c r="E8" s="1598"/>
      <c r="F8" s="1598"/>
      <c r="G8" s="1598"/>
      <c r="H8" s="1598"/>
      <c r="I8" s="1598"/>
      <c r="J8" s="1598"/>
      <c r="K8" s="1598"/>
      <c r="L8" s="1598"/>
      <c r="M8" s="1598"/>
      <c r="N8" s="1598"/>
      <c r="O8" s="1598"/>
      <c r="P8" s="1598"/>
      <c r="Q8" s="1598"/>
      <c r="R8" s="1598"/>
      <c r="S8" s="393"/>
    </row>
    <row r="9" spans="1:20" x14ac:dyDescent="0.25">
      <c r="A9" s="394" t="s">
        <v>417</v>
      </c>
      <c r="B9" s="395"/>
      <c r="C9" s="395"/>
      <c r="D9" s="396"/>
      <c r="E9" s="396"/>
      <c r="F9" s="395"/>
      <c r="G9" s="395"/>
      <c r="H9" s="395"/>
      <c r="I9" s="395"/>
      <c r="J9" s="395"/>
      <c r="K9" s="397"/>
      <c r="L9" s="398" t="s">
        <v>418</v>
      </c>
      <c r="M9" s="399"/>
      <c r="N9" s="399"/>
      <c r="O9" s="399"/>
      <c r="P9" s="399"/>
      <c r="Q9" s="399"/>
      <c r="R9" s="399"/>
      <c r="S9" s="400"/>
      <c r="T9" s="401" t="s">
        <v>419</v>
      </c>
    </row>
    <row r="10" spans="1:20" x14ac:dyDescent="0.25">
      <c r="A10" s="402" t="s">
        <v>420</v>
      </c>
      <c r="B10" s="403"/>
      <c r="C10" s="403"/>
      <c r="D10" s="404"/>
      <c r="E10" s="404"/>
      <c r="F10" s="403"/>
      <c r="G10" s="403"/>
      <c r="H10" s="403"/>
      <c r="I10" s="403"/>
      <c r="J10" s="403"/>
      <c r="K10" s="403"/>
      <c r="L10" s="405" t="s">
        <v>421</v>
      </c>
      <c r="M10" s="395"/>
      <c r="N10" s="395" t="s">
        <v>422</v>
      </c>
      <c r="O10" s="395"/>
      <c r="P10" s="395"/>
      <c r="Q10" s="395"/>
      <c r="R10" s="397"/>
      <c r="S10" s="397"/>
      <c r="T10" s="406"/>
    </row>
    <row r="11" spans="1:20" x14ac:dyDescent="0.25">
      <c r="A11" s="402"/>
      <c r="B11" s="403"/>
      <c r="C11" s="403"/>
      <c r="D11" s="404"/>
      <c r="E11" s="404"/>
      <c r="F11" s="403"/>
      <c r="G11" s="403"/>
      <c r="H11" s="403"/>
      <c r="I11" s="403"/>
      <c r="J11" s="403"/>
      <c r="K11" s="403"/>
      <c r="L11" s="407"/>
      <c r="M11" s="408" t="s">
        <v>423</v>
      </c>
      <c r="N11" s="403"/>
      <c r="O11" s="408" t="s">
        <v>424</v>
      </c>
      <c r="P11" s="403"/>
      <c r="Q11" s="403"/>
      <c r="R11" s="409"/>
      <c r="S11" s="409"/>
      <c r="T11" s="410"/>
    </row>
    <row r="12" spans="1:20" x14ac:dyDescent="0.25">
      <c r="A12" s="402"/>
      <c r="B12" s="403"/>
      <c r="C12" s="403"/>
      <c r="D12" s="404"/>
      <c r="E12" s="404"/>
      <c r="F12" s="403"/>
      <c r="G12" s="403"/>
      <c r="H12" s="403"/>
      <c r="I12" s="403"/>
      <c r="J12" s="403"/>
      <c r="K12" s="403"/>
      <c r="L12" s="407" t="s">
        <v>425</v>
      </c>
      <c r="M12" s="408" t="s">
        <v>426</v>
      </c>
      <c r="N12" s="408"/>
      <c r="O12" s="408" t="s">
        <v>427</v>
      </c>
      <c r="P12" s="403"/>
      <c r="Q12" s="403"/>
      <c r="R12" s="409"/>
      <c r="S12" s="409"/>
      <c r="T12" s="410"/>
    </row>
    <row r="13" spans="1:20" x14ac:dyDescent="0.25">
      <c r="A13" s="411"/>
      <c r="B13" s="412"/>
      <c r="C13" s="412"/>
      <c r="D13" s="413"/>
      <c r="E13" s="413"/>
      <c r="F13" s="412"/>
      <c r="G13" s="412"/>
      <c r="H13" s="412"/>
      <c r="I13" s="412"/>
      <c r="J13" s="412"/>
      <c r="K13" s="412"/>
      <c r="L13" s="414"/>
      <c r="M13" s="415" t="s">
        <v>428</v>
      </c>
      <c r="N13" s="416" t="s">
        <v>425</v>
      </c>
      <c r="O13" s="415" t="s">
        <v>429</v>
      </c>
      <c r="P13" s="412"/>
      <c r="Q13" s="412"/>
      <c r="R13" s="417"/>
      <c r="S13" s="417"/>
      <c r="T13" s="418"/>
    </row>
    <row r="14" spans="1:20" x14ac:dyDescent="0.25">
      <c r="A14" s="419" t="s">
        <v>430</v>
      </c>
      <c r="B14" s="400"/>
      <c r="C14" s="400"/>
      <c r="D14" s="420"/>
      <c r="E14" s="420"/>
      <c r="F14" s="400"/>
      <c r="G14" s="400"/>
      <c r="H14" s="400"/>
      <c r="I14" s="400"/>
      <c r="J14" s="400"/>
      <c r="K14" s="400"/>
      <c r="L14" s="421"/>
      <c r="M14" s="421"/>
      <c r="N14" s="421"/>
      <c r="O14" s="421"/>
      <c r="P14" s="421"/>
      <c r="Q14" s="421"/>
      <c r="R14" s="421"/>
      <c r="S14" s="400"/>
      <c r="T14" s="401"/>
    </row>
    <row r="15" spans="1:20" ht="15.75" customHeight="1" x14ac:dyDescent="0.25">
      <c r="A15" s="1591" t="s">
        <v>431</v>
      </c>
      <c r="B15" s="1597" t="s">
        <v>432</v>
      </c>
      <c r="C15" s="1591" t="s">
        <v>433</v>
      </c>
      <c r="D15" s="1599" t="s">
        <v>434</v>
      </c>
      <c r="E15" s="1599" t="s">
        <v>435</v>
      </c>
      <c r="F15" s="1591" t="s">
        <v>436</v>
      </c>
      <c r="G15" s="1585" t="s">
        <v>437</v>
      </c>
      <c r="H15" s="1600"/>
      <c r="I15" s="1601"/>
      <c r="J15" s="1588" t="s">
        <v>438</v>
      </c>
      <c r="K15" s="1590"/>
      <c r="L15" s="1585" t="s">
        <v>439</v>
      </c>
      <c r="M15" s="1588" t="s">
        <v>440</v>
      </c>
      <c r="N15" s="1589"/>
      <c r="O15" s="1589"/>
      <c r="P15" s="1589"/>
      <c r="Q15" s="1589"/>
      <c r="R15" s="1589"/>
      <c r="S15" s="1590"/>
      <c r="T15" s="410"/>
    </row>
    <row r="16" spans="1:20" ht="16.5" customHeight="1" x14ac:dyDescent="0.25">
      <c r="A16" s="1591"/>
      <c r="B16" s="1597"/>
      <c r="C16" s="1591"/>
      <c r="D16" s="1599"/>
      <c r="E16" s="1599"/>
      <c r="F16" s="1591"/>
      <c r="G16" s="1587"/>
      <c r="H16" s="1602"/>
      <c r="I16" s="1603"/>
      <c r="J16" s="1591" t="s">
        <v>441</v>
      </c>
      <c r="K16" s="1591" t="s">
        <v>442</v>
      </c>
      <c r="L16" s="1586"/>
      <c r="M16" s="1592" t="s">
        <v>443</v>
      </c>
      <c r="N16" s="1593"/>
      <c r="O16" s="1594"/>
      <c r="P16" s="1592" t="s">
        <v>444</v>
      </c>
      <c r="Q16" s="1595"/>
      <c r="R16" s="1596"/>
      <c r="S16" s="1597" t="s">
        <v>445</v>
      </c>
      <c r="T16" s="1578" t="s">
        <v>446</v>
      </c>
    </row>
    <row r="17" spans="1:20" ht="51" customHeight="1" x14ac:dyDescent="0.25">
      <c r="A17" s="1591"/>
      <c r="B17" s="1597"/>
      <c r="C17" s="1591"/>
      <c r="D17" s="1599"/>
      <c r="E17" s="1599"/>
      <c r="F17" s="1591"/>
      <c r="G17" s="1532" t="s">
        <v>447</v>
      </c>
      <c r="H17" s="1531" t="s">
        <v>448</v>
      </c>
      <c r="I17" s="1531" t="s">
        <v>449</v>
      </c>
      <c r="J17" s="1591"/>
      <c r="K17" s="1591"/>
      <c r="L17" s="1587"/>
      <c r="M17" s="1517" t="s">
        <v>450</v>
      </c>
      <c r="N17" s="1517" t="s">
        <v>451</v>
      </c>
      <c r="O17" s="1517" t="s">
        <v>452</v>
      </c>
      <c r="P17" s="1517" t="s">
        <v>450</v>
      </c>
      <c r="Q17" s="1517" t="s">
        <v>453</v>
      </c>
      <c r="R17" s="1517" t="s">
        <v>452</v>
      </c>
      <c r="S17" s="1597"/>
      <c r="T17" s="1579"/>
    </row>
    <row r="18" spans="1:20" x14ac:dyDescent="0.25">
      <c r="A18" s="422" t="s">
        <v>454</v>
      </c>
      <c r="B18" s="422" t="s">
        <v>455</v>
      </c>
      <c r="C18" s="422" t="s">
        <v>456</v>
      </c>
      <c r="D18" s="423" t="s">
        <v>457</v>
      </c>
      <c r="E18" s="423" t="s">
        <v>458</v>
      </c>
      <c r="F18" s="422" t="s">
        <v>459</v>
      </c>
      <c r="G18" s="422" t="s">
        <v>460</v>
      </c>
      <c r="H18" s="422" t="s">
        <v>461</v>
      </c>
      <c r="I18" s="422" t="s">
        <v>462</v>
      </c>
      <c r="J18" s="422" t="s">
        <v>463</v>
      </c>
      <c r="K18" s="422" t="s">
        <v>464</v>
      </c>
      <c r="L18" s="422" t="s">
        <v>465</v>
      </c>
      <c r="M18" s="422" t="s">
        <v>466</v>
      </c>
      <c r="N18" s="422" t="s">
        <v>467</v>
      </c>
      <c r="O18" s="422"/>
      <c r="P18" s="422"/>
      <c r="Q18" s="422" t="s">
        <v>468</v>
      </c>
      <c r="R18" s="422" t="s">
        <v>469</v>
      </c>
      <c r="S18" s="400"/>
      <c r="T18" s="401"/>
    </row>
    <row r="19" spans="1:20" x14ac:dyDescent="0.25">
      <c r="A19" s="424"/>
      <c r="B19" s="425" t="s">
        <v>470</v>
      </c>
      <c r="C19" s="424"/>
      <c r="D19" s="426"/>
      <c r="E19" s="426"/>
      <c r="F19" s="424"/>
      <c r="G19" s="427">
        <f>G20+G26</f>
        <v>9935.19</v>
      </c>
      <c r="H19" s="427">
        <f>H20+H26</f>
        <v>15</v>
      </c>
      <c r="I19" s="427">
        <f>I20+I26</f>
        <v>9920.19</v>
      </c>
      <c r="J19" s="427"/>
      <c r="K19" s="427"/>
      <c r="L19" s="427"/>
      <c r="M19" s="427">
        <f>M26+M20</f>
        <v>0</v>
      </c>
      <c r="N19" s="427"/>
      <c r="O19" s="427">
        <f>O26+O20</f>
        <v>0</v>
      </c>
      <c r="P19" s="427">
        <f>P20+P26</f>
        <v>4940.8238199999996</v>
      </c>
      <c r="Q19" s="427"/>
      <c r="R19" s="427">
        <f>R20+R26</f>
        <v>88005383.75999999</v>
      </c>
      <c r="S19" s="427">
        <f>S20+S26</f>
        <v>88092953.75999999</v>
      </c>
      <c r="T19" s="401"/>
    </row>
    <row r="20" spans="1:20" ht="16.5" customHeight="1" x14ac:dyDescent="0.25">
      <c r="A20" s="428"/>
      <c r="B20" s="429" t="s">
        <v>210</v>
      </c>
      <c r="C20" s="429"/>
      <c r="D20" s="430"/>
      <c r="E20" s="430">
        <f>SUM(E22:E25)</f>
        <v>5238</v>
      </c>
      <c r="F20" s="431"/>
      <c r="G20" s="432">
        <f>G21+G23</f>
        <v>52</v>
      </c>
      <c r="H20" s="432">
        <f t="shared" ref="H20:I20" si="0">H21+H23</f>
        <v>0</v>
      </c>
      <c r="I20" s="432">
        <f t="shared" si="0"/>
        <v>52</v>
      </c>
      <c r="J20" s="433"/>
      <c r="K20" s="433"/>
      <c r="L20" s="433"/>
      <c r="M20" s="432">
        <f>SUM(M22:M25)</f>
        <v>0</v>
      </c>
      <c r="N20" s="432">
        <f>SUM(N22:N25)</f>
        <v>0</v>
      </c>
      <c r="O20" s="432">
        <f>SUM(O22:O25)</f>
        <v>0</v>
      </c>
      <c r="P20" s="432">
        <f t="shared" ref="P20" si="1">P21+P23</f>
        <v>32.370000000000005</v>
      </c>
      <c r="Q20" s="432"/>
      <c r="R20" s="432">
        <f t="shared" ref="R20:S20" si="2">R21+R23</f>
        <v>550290</v>
      </c>
      <c r="S20" s="432">
        <f t="shared" si="2"/>
        <v>550290</v>
      </c>
      <c r="T20" s="401"/>
    </row>
    <row r="21" spans="1:20" s="441" customFormat="1" x14ac:dyDescent="0.25">
      <c r="A21" s="434"/>
      <c r="B21" s="435" t="s">
        <v>471</v>
      </c>
      <c r="C21" s="435"/>
      <c r="D21" s="436"/>
      <c r="E21" s="436"/>
      <c r="F21" s="437"/>
      <c r="G21" s="438">
        <f>G22</f>
        <v>30</v>
      </c>
      <c r="H21" s="438">
        <f t="shared" ref="H21:I21" si="3">H22</f>
        <v>0</v>
      </c>
      <c r="I21" s="438">
        <f t="shared" si="3"/>
        <v>30</v>
      </c>
      <c r="J21" s="439"/>
      <c r="K21" s="439"/>
      <c r="L21" s="439"/>
      <c r="M21" s="438"/>
      <c r="N21" s="438"/>
      <c r="O21" s="438"/>
      <c r="P21" s="438">
        <f t="shared" ref="P21:S21" si="4">P22</f>
        <v>18.675000000000001</v>
      </c>
      <c r="Q21" s="438"/>
      <c r="R21" s="438">
        <f t="shared" si="4"/>
        <v>317475</v>
      </c>
      <c r="S21" s="438">
        <f t="shared" si="4"/>
        <v>317475</v>
      </c>
      <c r="T21" s="440">
        <f>SUM(T26:T64)</f>
        <v>0</v>
      </c>
    </row>
    <row r="22" spans="1:20" s="452" customFormat="1" x14ac:dyDescent="0.25">
      <c r="A22" s="422"/>
      <c r="B22" s="442" t="s">
        <v>472</v>
      </c>
      <c r="C22" s="443" t="s">
        <v>473</v>
      </c>
      <c r="D22" s="420"/>
      <c r="E22" s="444">
        <v>5238</v>
      </c>
      <c r="F22" s="445" t="s">
        <v>474</v>
      </c>
      <c r="G22" s="400">
        <f>SUM(H22:I22)</f>
        <v>30</v>
      </c>
      <c r="H22" s="446"/>
      <c r="I22" s="446">
        <v>30</v>
      </c>
      <c r="J22" s="447">
        <v>4.1500000000000004</v>
      </c>
      <c r="K22" s="447">
        <f>J22-(J22*L22)</f>
        <v>3.5275000000000003</v>
      </c>
      <c r="L22" s="448">
        <v>0.15</v>
      </c>
      <c r="M22" s="400"/>
      <c r="N22" s="400"/>
      <c r="O22" s="449">
        <f t="shared" ref="O22" si="5">N22*L22*I22</f>
        <v>0</v>
      </c>
      <c r="P22" s="400">
        <f>L22*J22*I22</f>
        <v>18.675000000000001</v>
      </c>
      <c r="Q22" s="450">
        <v>17</v>
      </c>
      <c r="R22" s="451">
        <f>Q22*P22*1000</f>
        <v>317475</v>
      </c>
      <c r="S22" s="400">
        <f t="shared" ref="S22:S25" si="6">R22+O22</f>
        <v>317475</v>
      </c>
    </row>
    <row r="23" spans="1:20" s="452" customFormat="1" x14ac:dyDescent="0.25">
      <c r="A23" s="453"/>
      <c r="B23" s="435" t="s">
        <v>475</v>
      </c>
      <c r="C23" s="435"/>
      <c r="D23" s="436"/>
      <c r="E23" s="454"/>
      <c r="F23" s="455"/>
      <c r="G23" s="438">
        <f>SUM(G24:G25)</f>
        <v>22</v>
      </c>
      <c r="H23" s="438">
        <f t="shared" ref="H23:I23" si="7">SUM(H24:H25)</f>
        <v>0</v>
      </c>
      <c r="I23" s="438">
        <f t="shared" si="7"/>
        <v>22</v>
      </c>
      <c r="J23" s="456"/>
      <c r="K23" s="456"/>
      <c r="L23" s="457"/>
      <c r="M23" s="438"/>
      <c r="N23" s="438"/>
      <c r="O23" s="458"/>
      <c r="P23" s="438">
        <f t="shared" ref="P23" si="8">SUM(P24:P25)</f>
        <v>13.695</v>
      </c>
      <c r="Q23" s="438"/>
      <c r="R23" s="438">
        <f t="shared" ref="R23:S23" si="9">SUM(R24:R25)</f>
        <v>232815</v>
      </c>
      <c r="S23" s="438">
        <f t="shared" si="9"/>
        <v>232815</v>
      </c>
    </row>
    <row r="24" spans="1:20" s="452" customFormat="1" x14ac:dyDescent="0.25">
      <c r="A24" s="422"/>
      <c r="B24" s="442" t="s">
        <v>476</v>
      </c>
      <c r="C24" s="443" t="s">
        <v>473</v>
      </c>
      <c r="D24" s="420"/>
      <c r="E24" s="444"/>
      <c r="F24" s="445" t="s">
        <v>474</v>
      </c>
      <c r="G24" s="400">
        <v>2</v>
      </c>
      <c r="H24" s="446"/>
      <c r="I24" s="446">
        <v>2</v>
      </c>
      <c r="J24" s="447">
        <v>4.1500000000000004</v>
      </c>
      <c r="K24" s="447">
        <f>J24-(J24*L24)</f>
        <v>3.5275000000000003</v>
      </c>
      <c r="L24" s="448">
        <v>0.15</v>
      </c>
      <c r="M24" s="400"/>
      <c r="N24" s="400"/>
      <c r="O24" s="449"/>
      <c r="P24" s="400">
        <f>L24*J24*I24</f>
        <v>1.2450000000000001</v>
      </c>
      <c r="Q24" s="450">
        <v>17</v>
      </c>
      <c r="R24" s="451">
        <f>Q24*P24*1000</f>
        <v>21165.000000000004</v>
      </c>
      <c r="S24" s="400">
        <f t="shared" si="6"/>
        <v>21165.000000000004</v>
      </c>
    </row>
    <row r="25" spans="1:20" s="452" customFormat="1" x14ac:dyDescent="0.25">
      <c r="A25" s="422"/>
      <c r="B25" s="442" t="s">
        <v>477</v>
      </c>
      <c r="C25" s="443" t="s">
        <v>473</v>
      </c>
      <c r="D25" s="420"/>
      <c r="E25" s="444"/>
      <c r="F25" s="445" t="s">
        <v>474</v>
      </c>
      <c r="G25" s="400">
        <f>SUM(H25:I25)</f>
        <v>20</v>
      </c>
      <c r="H25" s="446"/>
      <c r="I25" s="446">
        <v>20</v>
      </c>
      <c r="J25" s="447">
        <v>4.1500000000000004</v>
      </c>
      <c r="K25" s="447">
        <f t="shared" ref="K25" si="10">J25-(J25*L25)</f>
        <v>3.5275000000000003</v>
      </c>
      <c r="L25" s="448">
        <v>0.15</v>
      </c>
      <c r="M25" s="400"/>
      <c r="N25" s="400"/>
      <c r="O25" s="449">
        <f t="shared" ref="O25" si="11">N25*L25*I25</f>
        <v>0</v>
      </c>
      <c r="P25" s="400">
        <f>L25*J25*I25</f>
        <v>12.450000000000001</v>
      </c>
      <c r="Q25" s="450">
        <v>17</v>
      </c>
      <c r="R25" s="451">
        <f>Q25*P25*1000</f>
        <v>211650</v>
      </c>
      <c r="S25" s="400">
        <f t="shared" si="6"/>
        <v>211650</v>
      </c>
    </row>
    <row r="26" spans="1:20" x14ac:dyDescent="0.25">
      <c r="A26" s="428"/>
      <c r="B26" s="429" t="s">
        <v>478</v>
      </c>
      <c r="C26" s="429"/>
      <c r="D26" s="432">
        <f>SUM(D28:D40)</f>
        <v>0</v>
      </c>
      <c r="E26" s="430">
        <f>SUM(E28:E40)</f>
        <v>5238</v>
      </c>
      <c r="F26" s="430">
        <f>SUM(F28:F40)</f>
        <v>0</v>
      </c>
      <c r="G26" s="432">
        <f>G27+G29+G37+G39+G41+G52</f>
        <v>9883.19</v>
      </c>
      <c r="H26" s="432">
        <f t="shared" ref="H26:I26" si="12">H27+H29+H37+H39+H41+H52</f>
        <v>15</v>
      </c>
      <c r="I26" s="432">
        <f t="shared" si="12"/>
        <v>9868.19</v>
      </c>
      <c r="J26" s="432"/>
      <c r="K26" s="432"/>
      <c r="L26" s="432"/>
      <c r="M26" s="432"/>
      <c r="N26" s="432"/>
      <c r="O26" s="432"/>
      <c r="P26" s="432">
        <f t="shared" ref="P26" si="13">P27+P29+P37+P39+P41+P52</f>
        <v>4908.4538199999997</v>
      </c>
      <c r="Q26" s="432"/>
      <c r="R26" s="432">
        <f t="shared" ref="R26:S26" si="14">R27+R29+R37+R39+R41+R52</f>
        <v>87455093.75999999</v>
      </c>
      <c r="S26" s="432">
        <f t="shared" si="14"/>
        <v>87542663.75999999</v>
      </c>
    </row>
    <row r="27" spans="1:20" x14ac:dyDescent="0.25">
      <c r="A27" s="459"/>
      <c r="B27" s="435" t="s">
        <v>471</v>
      </c>
      <c r="C27" s="435"/>
      <c r="D27" s="436"/>
      <c r="E27" s="436"/>
      <c r="F27" s="460"/>
      <c r="G27" s="438">
        <f>G28</f>
        <v>100</v>
      </c>
      <c r="H27" s="438">
        <f t="shared" ref="H27:I27" si="15">H28</f>
        <v>0</v>
      </c>
      <c r="I27" s="438">
        <f t="shared" si="15"/>
        <v>100</v>
      </c>
      <c r="J27" s="453"/>
      <c r="K27" s="453"/>
      <c r="L27" s="453"/>
      <c r="M27" s="438"/>
      <c r="N27" s="438"/>
      <c r="O27" s="438"/>
      <c r="P27" s="438">
        <f t="shared" ref="P27" si="16">P28</f>
        <v>65.25</v>
      </c>
      <c r="Q27" s="438"/>
      <c r="R27" s="438">
        <f t="shared" ref="R27:S27" si="17">R28</f>
        <v>1174500</v>
      </c>
      <c r="S27" s="438">
        <f t="shared" si="17"/>
        <v>1174500</v>
      </c>
    </row>
    <row r="28" spans="1:20" x14ac:dyDescent="0.25">
      <c r="A28" s="461"/>
      <c r="B28" s="442" t="s">
        <v>479</v>
      </c>
      <c r="C28" s="443" t="s">
        <v>473</v>
      </c>
      <c r="D28" s="420"/>
      <c r="E28" s="444">
        <v>5238</v>
      </c>
      <c r="F28" s="445" t="s">
        <v>474</v>
      </c>
      <c r="G28" s="400">
        <f>SUM(H28:I28)</f>
        <v>100</v>
      </c>
      <c r="H28" s="446"/>
      <c r="I28" s="446">
        <v>100</v>
      </c>
      <c r="J28" s="447">
        <v>4.3499999999999996</v>
      </c>
      <c r="K28" s="447">
        <f t="shared" ref="K28:K40" si="18">J28-(J28*L28)</f>
        <v>3.6974999999999998</v>
      </c>
      <c r="L28" s="448">
        <v>0.15</v>
      </c>
      <c r="M28" s="400"/>
      <c r="N28" s="400"/>
      <c r="O28" s="449">
        <f t="shared" ref="O28" si="19">N28*L28*I28</f>
        <v>0</v>
      </c>
      <c r="P28" s="400">
        <f>L28*J28*I28</f>
        <v>65.25</v>
      </c>
      <c r="Q28" s="450">
        <v>18</v>
      </c>
      <c r="R28" s="451">
        <f>Q28*P28*1000</f>
        <v>1174500</v>
      </c>
      <c r="S28" s="400">
        <f t="shared" ref="S28" si="20">R28+O28</f>
        <v>1174500</v>
      </c>
    </row>
    <row r="29" spans="1:20" x14ac:dyDescent="0.25">
      <c r="A29" s="459"/>
      <c r="B29" s="435" t="s">
        <v>475</v>
      </c>
      <c r="C29" s="435"/>
      <c r="D29" s="462"/>
      <c r="E29" s="436"/>
      <c r="F29" s="463"/>
      <c r="G29" s="438">
        <f>SUM(G30:G36)</f>
        <v>665</v>
      </c>
      <c r="H29" s="438">
        <f t="shared" ref="H29:I29" si="21">SUM(H30:H36)</f>
        <v>0</v>
      </c>
      <c r="I29" s="438">
        <f t="shared" si="21"/>
        <v>665</v>
      </c>
      <c r="J29" s="453"/>
      <c r="K29" s="453"/>
      <c r="L29" s="453"/>
      <c r="M29" s="438"/>
      <c r="N29" s="438"/>
      <c r="O29" s="438"/>
      <c r="P29" s="438">
        <f t="shared" ref="P29" si="22">SUM(P30:P36)</f>
        <v>318.95999999999998</v>
      </c>
      <c r="Q29" s="438"/>
      <c r="R29" s="438">
        <f t="shared" ref="R29:S29" si="23">SUM(R30:R36)</f>
        <v>5741280</v>
      </c>
      <c r="S29" s="438">
        <f t="shared" si="23"/>
        <v>5746500</v>
      </c>
    </row>
    <row r="30" spans="1:20" x14ac:dyDescent="0.25">
      <c r="A30" s="461"/>
      <c r="B30" s="442" t="s">
        <v>480</v>
      </c>
      <c r="C30" s="443" t="s">
        <v>473</v>
      </c>
      <c r="D30" s="420"/>
      <c r="E30" s="444"/>
      <c r="F30" s="445" t="s">
        <v>481</v>
      </c>
      <c r="G30" s="400">
        <f>SUM(H30:I30)</f>
        <v>110</v>
      </c>
      <c r="H30" s="446"/>
      <c r="I30" s="446">
        <v>110</v>
      </c>
      <c r="J30" s="447">
        <v>4.43</v>
      </c>
      <c r="K30" s="447">
        <f t="shared" si="18"/>
        <v>3.9869999999999997</v>
      </c>
      <c r="L30" s="448">
        <v>0.1</v>
      </c>
      <c r="M30" s="400"/>
      <c r="N30" s="400"/>
      <c r="O30" s="449"/>
      <c r="P30" s="400">
        <f>L30*J30*I30</f>
        <v>48.730000000000004</v>
      </c>
      <c r="Q30" s="450">
        <v>18</v>
      </c>
      <c r="R30" s="451">
        <f>Q30*P30*1000</f>
        <v>877140.00000000012</v>
      </c>
      <c r="S30" s="400">
        <f>R30+O30</f>
        <v>877140.00000000012</v>
      </c>
    </row>
    <row r="31" spans="1:20" x14ac:dyDescent="0.25">
      <c r="A31" s="461"/>
      <c r="B31" s="442"/>
      <c r="C31" s="464"/>
      <c r="D31" s="420"/>
      <c r="E31" s="444"/>
      <c r="F31" s="445" t="s">
        <v>482</v>
      </c>
      <c r="G31" s="400">
        <f t="shared" ref="G31:G36" si="24">SUM(H31:I31)</f>
        <v>58</v>
      </c>
      <c r="H31" s="446"/>
      <c r="I31" s="446">
        <v>58</v>
      </c>
      <c r="J31" s="447">
        <v>4.43</v>
      </c>
      <c r="K31" s="447">
        <f t="shared" si="18"/>
        <v>4.2970999999999995</v>
      </c>
      <c r="L31" s="448">
        <v>0.03</v>
      </c>
      <c r="M31" s="400">
        <v>0</v>
      </c>
      <c r="N31" s="400">
        <v>3000</v>
      </c>
      <c r="O31" s="449">
        <f>N31*L31*I31</f>
        <v>5220</v>
      </c>
      <c r="P31" s="400"/>
      <c r="Q31" s="450"/>
      <c r="R31" s="465"/>
      <c r="S31" s="400">
        <f t="shared" ref="S31:S36" si="25">R31+O31</f>
        <v>5220</v>
      </c>
    </row>
    <row r="32" spans="1:20" x14ac:dyDescent="0.25">
      <c r="A32" s="461"/>
      <c r="B32" s="442" t="s">
        <v>483</v>
      </c>
      <c r="C32" s="443" t="s">
        <v>473</v>
      </c>
      <c r="D32" s="420"/>
      <c r="E32" s="444"/>
      <c r="F32" s="445" t="s">
        <v>484</v>
      </c>
      <c r="G32" s="400">
        <f t="shared" si="24"/>
        <v>25</v>
      </c>
      <c r="H32" s="446"/>
      <c r="I32" s="446">
        <v>25</v>
      </c>
      <c r="J32" s="447">
        <v>4.43</v>
      </c>
      <c r="K32" s="447">
        <f t="shared" si="18"/>
        <v>3.7654999999999998</v>
      </c>
      <c r="L32" s="448">
        <v>0.15</v>
      </c>
      <c r="M32" s="400"/>
      <c r="N32" s="400"/>
      <c r="O32" s="449"/>
      <c r="P32" s="400">
        <f>L32*J32*I32</f>
        <v>16.612500000000001</v>
      </c>
      <c r="Q32" s="450">
        <v>18</v>
      </c>
      <c r="R32" s="451">
        <f>Q32*P32*1000</f>
        <v>299025.00000000006</v>
      </c>
      <c r="S32" s="400">
        <f t="shared" si="25"/>
        <v>299025.00000000006</v>
      </c>
    </row>
    <row r="33" spans="1:19" x14ac:dyDescent="0.25">
      <c r="A33" s="461"/>
      <c r="B33" s="442"/>
      <c r="C33" s="464"/>
      <c r="D33" s="420"/>
      <c r="E33" s="444"/>
      <c r="F33" s="445" t="s">
        <v>485</v>
      </c>
      <c r="G33" s="400">
        <f t="shared" si="24"/>
        <v>25</v>
      </c>
      <c r="H33" s="446"/>
      <c r="I33" s="446">
        <v>25</v>
      </c>
      <c r="J33" s="447">
        <v>4.43</v>
      </c>
      <c r="K33" s="447">
        <f t="shared" si="18"/>
        <v>3.7654999999999998</v>
      </c>
      <c r="L33" s="448">
        <v>0.15</v>
      </c>
      <c r="M33" s="400"/>
      <c r="N33" s="400"/>
      <c r="O33" s="449"/>
      <c r="P33" s="400">
        <f>L33*J33*I33</f>
        <v>16.612500000000001</v>
      </c>
      <c r="Q33" s="450">
        <v>18</v>
      </c>
      <c r="R33" s="451">
        <f>Q33*P33*1000</f>
        <v>299025.00000000006</v>
      </c>
      <c r="S33" s="400">
        <f t="shared" si="25"/>
        <v>299025.00000000006</v>
      </c>
    </row>
    <row r="34" spans="1:19" x14ac:dyDescent="0.25">
      <c r="A34" s="461"/>
      <c r="B34" s="442" t="s">
        <v>486</v>
      </c>
      <c r="C34" s="443" t="s">
        <v>473</v>
      </c>
      <c r="D34" s="420"/>
      <c r="E34" s="444"/>
      <c r="F34" s="445" t="s">
        <v>481</v>
      </c>
      <c r="G34" s="400">
        <f t="shared" si="24"/>
        <v>46</v>
      </c>
      <c r="H34" s="446"/>
      <c r="I34" s="446">
        <v>46</v>
      </c>
      <c r="J34" s="447">
        <v>4.43</v>
      </c>
      <c r="K34" s="447">
        <f>J34-(J34*L34)</f>
        <v>3.9869999999999997</v>
      </c>
      <c r="L34" s="448">
        <v>0.1</v>
      </c>
      <c r="M34" s="400"/>
      <c r="N34" s="400"/>
      <c r="O34" s="449"/>
      <c r="P34" s="400">
        <f>L34*J34*I34</f>
        <v>20.378</v>
      </c>
      <c r="Q34" s="450">
        <v>18</v>
      </c>
      <c r="R34" s="451">
        <f>Q34*P34*1000</f>
        <v>366804</v>
      </c>
      <c r="S34" s="400">
        <f t="shared" si="25"/>
        <v>366804</v>
      </c>
    </row>
    <row r="35" spans="1:19" x14ac:dyDescent="0.25">
      <c r="A35" s="461"/>
      <c r="B35" s="442"/>
      <c r="C35" s="464"/>
      <c r="D35" s="420"/>
      <c r="E35" s="444"/>
      <c r="F35" s="445" t="s">
        <v>487</v>
      </c>
      <c r="G35" s="400">
        <f t="shared" si="24"/>
        <v>176</v>
      </c>
      <c r="H35" s="446"/>
      <c r="I35" s="446">
        <v>176</v>
      </c>
      <c r="J35" s="447">
        <v>4.43</v>
      </c>
      <c r="K35" s="447">
        <f>J35-(J35*L35)</f>
        <v>3.7654999999999998</v>
      </c>
      <c r="L35" s="448">
        <v>0.15</v>
      </c>
      <c r="M35" s="400"/>
      <c r="N35" s="400"/>
      <c r="O35" s="449"/>
      <c r="P35" s="400">
        <f>L35*J35*I35</f>
        <v>116.952</v>
      </c>
      <c r="Q35" s="450">
        <v>18</v>
      </c>
      <c r="R35" s="465">
        <f>Q35*P35*1000</f>
        <v>2105136</v>
      </c>
      <c r="S35" s="400">
        <f t="shared" si="25"/>
        <v>2105136</v>
      </c>
    </row>
    <row r="36" spans="1:19" x14ac:dyDescent="0.25">
      <c r="A36" s="461"/>
      <c r="B36" s="442" t="s">
        <v>488</v>
      </c>
      <c r="C36" s="443" t="s">
        <v>473</v>
      </c>
      <c r="D36" s="420"/>
      <c r="E36" s="444"/>
      <c r="F36" s="445" t="s">
        <v>474</v>
      </c>
      <c r="G36" s="400">
        <f t="shared" si="24"/>
        <v>225</v>
      </c>
      <c r="H36" s="446"/>
      <c r="I36" s="446">
        <v>225</v>
      </c>
      <c r="J36" s="447">
        <v>4.43</v>
      </c>
      <c r="K36" s="447">
        <f t="shared" si="18"/>
        <v>3.9869999999999997</v>
      </c>
      <c r="L36" s="448">
        <v>0.1</v>
      </c>
      <c r="M36" s="400"/>
      <c r="N36" s="400"/>
      <c r="O36" s="449"/>
      <c r="P36" s="400">
        <f>L36*J36*I36</f>
        <v>99.674999999999997</v>
      </c>
      <c r="Q36" s="450">
        <v>18</v>
      </c>
      <c r="R36" s="465">
        <f>Q36*P36*1000</f>
        <v>1794149.9999999998</v>
      </c>
      <c r="S36" s="400">
        <f t="shared" si="25"/>
        <v>1794149.9999999998</v>
      </c>
    </row>
    <row r="37" spans="1:19" x14ac:dyDescent="0.25">
      <c r="A37" s="459"/>
      <c r="B37" s="435" t="s">
        <v>489</v>
      </c>
      <c r="C37" s="435"/>
      <c r="D37" s="462"/>
      <c r="E37" s="436"/>
      <c r="F37" s="463"/>
      <c r="G37" s="438">
        <f>G38</f>
        <v>951</v>
      </c>
      <c r="H37" s="438">
        <f t="shared" ref="H37:I37" si="26">H38</f>
        <v>0</v>
      </c>
      <c r="I37" s="438">
        <f t="shared" si="26"/>
        <v>951</v>
      </c>
      <c r="J37" s="453"/>
      <c r="K37" s="453"/>
      <c r="L37" s="453"/>
      <c r="M37" s="438"/>
      <c r="N37" s="438"/>
      <c r="O37" s="438"/>
      <c r="P37" s="438">
        <f t="shared" ref="P37" si="27">P38</f>
        <v>421.29300000000001</v>
      </c>
      <c r="Q37" s="438"/>
      <c r="R37" s="438">
        <f t="shared" ref="R37:S37" si="28">R38</f>
        <v>7583274</v>
      </c>
      <c r="S37" s="438">
        <f t="shared" si="28"/>
        <v>7583274</v>
      </c>
    </row>
    <row r="38" spans="1:19" x14ac:dyDescent="0.25">
      <c r="A38" s="461"/>
      <c r="B38" s="442" t="s">
        <v>490</v>
      </c>
      <c r="C38" s="443" t="s">
        <v>473</v>
      </c>
      <c r="D38" s="420"/>
      <c r="E38" s="444"/>
      <c r="F38" s="445" t="s">
        <v>474</v>
      </c>
      <c r="G38" s="400">
        <f>SUM(H38:I38)</f>
        <v>951</v>
      </c>
      <c r="H38" s="446"/>
      <c r="I38" s="446">
        <v>951</v>
      </c>
      <c r="J38" s="447">
        <v>4.43</v>
      </c>
      <c r="K38" s="447">
        <f t="shared" si="18"/>
        <v>3.9869999999999997</v>
      </c>
      <c r="L38" s="448">
        <v>0.1</v>
      </c>
      <c r="M38" s="400"/>
      <c r="N38" s="400"/>
      <c r="O38" s="449"/>
      <c r="P38" s="400">
        <f>L38*J38*I38</f>
        <v>421.29300000000001</v>
      </c>
      <c r="Q38" s="450">
        <v>18</v>
      </c>
      <c r="R38" s="451">
        <f>Q38*P38*1000</f>
        <v>7583274</v>
      </c>
      <c r="S38" s="400">
        <f t="shared" ref="S38" si="29">R38+O38</f>
        <v>7583274</v>
      </c>
    </row>
    <row r="39" spans="1:19" x14ac:dyDescent="0.25">
      <c r="A39" s="459"/>
      <c r="B39" s="435" t="s">
        <v>491</v>
      </c>
      <c r="C39" s="435"/>
      <c r="D39" s="462"/>
      <c r="E39" s="436"/>
      <c r="F39" s="463"/>
      <c r="G39" s="438">
        <f>G40</f>
        <v>190</v>
      </c>
      <c r="H39" s="438">
        <f t="shared" ref="H39:I39" si="30">H40</f>
        <v>0</v>
      </c>
      <c r="I39" s="438">
        <f t="shared" si="30"/>
        <v>190</v>
      </c>
      <c r="J39" s="453"/>
      <c r="K39" s="453"/>
      <c r="L39" s="453"/>
      <c r="M39" s="438"/>
      <c r="N39" s="438"/>
      <c r="O39" s="438"/>
      <c r="P39" s="438">
        <f t="shared" ref="P39" si="31">P40</f>
        <v>84.17</v>
      </c>
      <c r="Q39" s="438"/>
      <c r="R39" s="438">
        <f t="shared" ref="R39:S39" si="32">R40</f>
        <v>1515060</v>
      </c>
      <c r="S39" s="438">
        <f t="shared" si="32"/>
        <v>1515060</v>
      </c>
    </row>
    <row r="40" spans="1:19" x14ac:dyDescent="0.25">
      <c r="A40" s="461"/>
      <c r="B40" s="466" t="s">
        <v>492</v>
      </c>
      <c r="C40" s="443" t="s">
        <v>473</v>
      </c>
      <c r="D40" s="467"/>
      <c r="E40" s="420"/>
      <c r="F40" s="445" t="s">
        <v>474</v>
      </c>
      <c r="G40" s="400">
        <f>SUM(H40:I40)</f>
        <v>190</v>
      </c>
      <c r="H40" s="468"/>
      <c r="I40" s="468">
        <v>190</v>
      </c>
      <c r="J40" s="447">
        <v>4.43</v>
      </c>
      <c r="K40" s="447">
        <f t="shared" si="18"/>
        <v>3.9869999999999997</v>
      </c>
      <c r="L40" s="448">
        <v>0.1</v>
      </c>
      <c r="M40" s="400"/>
      <c r="N40" s="400"/>
      <c r="O40" s="449"/>
      <c r="P40" s="400">
        <f>L40*J40*I40</f>
        <v>84.17</v>
      </c>
      <c r="Q40" s="450">
        <v>18</v>
      </c>
      <c r="R40" s="451">
        <f>Q40*P40*1000</f>
        <v>1515060</v>
      </c>
      <c r="S40" s="400">
        <f t="shared" ref="S40" si="33">SUM(R40+O40)</f>
        <v>1515060</v>
      </c>
    </row>
    <row r="41" spans="1:19" x14ac:dyDescent="0.25">
      <c r="A41" s="459"/>
      <c r="B41" s="435" t="s">
        <v>493</v>
      </c>
      <c r="C41" s="435"/>
      <c r="D41" s="462"/>
      <c r="E41" s="436"/>
      <c r="F41" s="463"/>
      <c r="G41" s="438">
        <f>SUM(G42:G51)</f>
        <v>1232.9000000000001</v>
      </c>
      <c r="H41" s="438">
        <f t="shared" ref="H41:I41" si="34">SUM(H42:H51)</f>
        <v>0</v>
      </c>
      <c r="I41" s="438">
        <f t="shared" si="34"/>
        <v>1232.9000000000001</v>
      </c>
      <c r="J41" s="453"/>
      <c r="K41" s="453"/>
      <c r="L41" s="453"/>
      <c r="M41" s="438"/>
      <c r="N41" s="438"/>
      <c r="O41" s="438"/>
      <c r="P41" s="438">
        <f t="shared" ref="P41" si="35">SUM(P42:P51)</f>
        <v>566.44195000000002</v>
      </c>
      <c r="Q41" s="438"/>
      <c r="R41" s="438">
        <f t="shared" ref="R41:S41" si="36">SUM(R42:R51)</f>
        <v>10195955.1</v>
      </c>
      <c r="S41" s="438">
        <f t="shared" si="36"/>
        <v>10195955.1</v>
      </c>
    </row>
    <row r="42" spans="1:19" x14ac:dyDescent="0.25">
      <c r="A42" s="469"/>
      <c r="B42" s="470" t="s">
        <v>494</v>
      </c>
      <c r="C42" s="443" t="s">
        <v>473</v>
      </c>
      <c r="D42" s="471"/>
      <c r="E42" s="472"/>
      <c r="F42" s="473" t="s">
        <v>495</v>
      </c>
      <c r="G42" s="474">
        <f>SUM(H42:I42)</f>
        <v>517</v>
      </c>
      <c r="H42" s="475"/>
      <c r="I42" s="475">
        <v>517</v>
      </c>
      <c r="J42" s="476">
        <v>4.43</v>
      </c>
      <c r="K42" s="476">
        <f>J42-(J42*L42)</f>
        <v>3.9869999999999997</v>
      </c>
      <c r="L42" s="477">
        <v>0.1</v>
      </c>
      <c r="M42" s="474"/>
      <c r="N42" s="474"/>
      <c r="O42" s="478"/>
      <c r="P42" s="474">
        <f t="shared" ref="P42:P51" si="37">L42*J42*I42</f>
        <v>229.03100000000001</v>
      </c>
      <c r="Q42" s="479">
        <v>18</v>
      </c>
      <c r="R42" s="480">
        <f>Q42*P42*1000</f>
        <v>4122558</v>
      </c>
      <c r="S42" s="474">
        <f t="shared" ref="S42" si="38">SUM(R42+O42)</f>
        <v>4122558</v>
      </c>
    </row>
    <row r="43" spans="1:19" x14ac:dyDescent="0.25">
      <c r="A43" s="469"/>
      <c r="B43" s="470" t="s">
        <v>496</v>
      </c>
      <c r="C43" s="443" t="s">
        <v>473</v>
      </c>
      <c r="D43" s="471"/>
      <c r="E43" s="472"/>
      <c r="F43" s="473" t="s">
        <v>481</v>
      </c>
      <c r="G43" s="474">
        <f>SUM(H43:I43)</f>
        <v>75</v>
      </c>
      <c r="H43" s="475"/>
      <c r="I43" s="475">
        <v>75</v>
      </c>
      <c r="J43" s="476">
        <v>4.43</v>
      </c>
      <c r="K43" s="476">
        <f t="shared" ref="K43:K68" si="39">J43-(J43*L43)</f>
        <v>3.7654999999999998</v>
      </c>
      <c r="L43" s="477">
        <v>0.15</v>
      </c>
      <c r="M43" s="474"/>
      <c r="N43" s="474"/>
      <c r="O43" s="478"/>
      <c r="P43" s="474">
        <f t="shared" si="37"/>
        <v>49.837499999999999</v>
      </c>
      <c r="Q43" s="479">
        <v>18</v>
      </c>
      <c r="R43" s="480">
        <f>Q43*P43*1000</f>
        <v>897074.99999999988</v>
      </c>
      <c r="S43" s="474">
        <f t="shared" ref="S43:S51" si="40">SUM(R43+O43)</f>
        <v>897074.99999999988</v>
      </c>
    </row>
    <row r="44" spans="1:19" x14ac:dyDescent="0.25">
      <c r="A44" s="469"/>
      <c r="B44" s="470"/>
      <c r="C44" s="443" t="s">
        <v>473</v>
      </c>
      <c r="D44" s="471"/>
      <c r="E44" s="472"/>
      <c r="F44" s="473" t="s">
        <v>497</v>
      </c>
      <c r="G44" s="474">
        <f t="shared" ref="G44:G51" si="41">SUM(H44:I44)</f>
        <v>1.5</v>
      </c>
      <c r="H44" s="475"/>
      <c r="I44" s="475">
        <v>1.5</v>
      </c>
      <c r="J44" s="476">
        <v>4.43</v>
      </c>
      <c r="K44" s="476">
        <f t="shared" si="39"/>
        <v>3.7654999999999998</v>
      </c>
      <c r="L44" s="477">
        <v>0.15</v>
      </c>
      <c r="M44" s="474"/>
      <c r="N44" s="474"/>
      <c r="O44" s="478"/>
      <c r="P44" s="474">
        <f t="shared" si="37"/>
        <v>0.99675000000000002</v>
      </c>
      <c r="Q44" s="479">
        <v>18</v>
      </c>
      <c r="R44" s="480">
        <f>Q44*P44*1000</f>
        <v>17941.5</v>
      </c>
      <c r="S44" s="474">
        <f t="shared" si="40"/>
        <v>17941.5</v>
      </c>
    </row>
    <row r="45" spans="1:19" x14ac:dyDescent="0.25">
      <c r="A45" s="469"/>
      <c r="B45" s="470" t="s">
        <v>498</v>
      </c>
      <c r="C45" s="443" t="s">
        <v>473</v>
      </c>
      <c r="D45" s="471"/>
      <c r="E45" s="472"/>
      <c r="F45" s="473" t="s">
        <v>474</v>
      </c>
      <c r="G45" s="474">
        <f t="shared" si="41"/>
        <v>300</v>
      </c>
      <c r="H45" s="475"/>
      <c r="I45" s="475">
        <v>300</v>
      </c>
      <c r="J45" s="476">
        <v>4.43</v>
      </c>
      <c r="K45" s="476">
        <f t="shared" si="39"/>
        <v>3.9869999999999997</v>
      </c>
      <c r="L45" s="477">
        <v>0.1</v>
      </c>
      <c r="M45" s="474"/>
      <c r="N45" s="474"/>
      <c r="O45" s="478"/>
      <c r="P45" s="474">
        <f t="shared" si="37"/>
        <v>132.9</v>
      </c>
      <c r="Q45" s="479">
        <v>18</v>
      </c>
      <c r="R45" s="480">
        <f>Q45*P45*1000</f>
        <v>2392200.0000000005</v>
      </c>
      <c r="S45" s="474">
        <f t="shared" si="40"/>
        <v>2392200.0000000005</v>
      </c>
    </row>
    <row r="46" spans="1:19" x14ac:dyDescent="0.25">
      <c r="A46" s="469"/>
      <c r="B46" s="470" t="s">
        <v>499</v>
      </c>
      <c r="C46" s="443" t="s">
        <v>473</v>
      </c>
      <c r="D46" s="471"/>
      <c r="E46" s="472"/>
      <c r="F46" s="473" t="s">
        <v>474</v>
      </c>
      <c r="G46" s="474">
        <f t="shared" si="41"/>
        <v>50</v>
      </c>
      <c r="H46" s="475"/>
      <c r="I46" s="475">
        <v>50</v>
      </c>
      <c r="J46" s="476">
        <v>4.43</v>
      </c>
      <c r="K46" s="476">
        <f t="shared" si="39"/>
        <v>3.9869999999999997</v>
      </c>
      <c r="L46" s="477">
        <v>0.1</v>
      </c>
      <c r="M46" s="474"/>
      <c r="N46" s="474"/>
      <c r="O46" s="478"/>
      <c r="P46" s="474">
        <f t="shared" si="37"/>
        <v>22.15</v>
      </c>
      <c r="Q46" s="479">
        <v>18</v>
      </c>
      <c r="R46" s="480">
        <f t="shared" ref="R46:R51" si="42">Q46*P46*1000</f>
        <v>398700</v>
      </c>
      <c r="S46" s="474">
        <f t="shared" si="40"/>
        <v>398700</v>
      </c>
    </row>
    <row r="47" spans="1:19" x14ac:dyDescent="0.25">
      <c r="A47" s="469"/>
      <c r="B47" s="470" t="s">
        <v>500</v>
      </c>
      <c r="C47" s="443" t="s">
        <v>473</v>
      </c>
      <c r="D47" s="471"/>
      <c r="E47" s="472"/>
      <c r="F47" s="473" t="s">
        <v>501</v>
      </c>
      <c r="G47" s="474">
        <f t="shared" si="41"/>
        <v>150</v>
      </c>
      <c r="H47" s="475"/>
      <c r="I47" s="475">
        <v>150</v>
      </c>
      <c r="J47" s="476">
        <v>4.43</v>
      </c>
      <c r="K47" s="476">
        <f t="shared" si="39"/>
        <v>3.9869999999999997</v>
      </c>
      <c r="L47" s="477">
        <v>0.1</v>
      </c>
      <c r="M47" s="474"/>
      <c r="N47" s="474"/>
      <c r="O47" s="478"/>
      <c r="P47" s="474">
        <f t="shared" si="37"/>
        <v>66.45</v>
      </c>
      <c r="Q47" s="479">
        <v>18</v>
      </c>
      <c r="R47" s="480">
        <f t="shared" si="42"/>
        <v>1196100.0000000002</v>
      </c>
      <c r="S47" s="474">
        <f t="shared" si="40"/>
        <v>1196100.0000000002</v>
      </c>
    </row>
    <row r="48" spans="1:19" x14ac:dyDescent="0.25">
      <c r="A48" s="469"/>
      <c r="B48" s="470" t="s">
        <v>502</v>
      </c>
      <c r="C48" s="443" t="s">
        <v>473</v>
      </c>
      <c r="D48" s="471"/>
      <c r="E48" s="472"/>
      <c r="F48" s="473" t="s">
        <v>501</v>
      </c>
      <c r="G48" s="474">
        <f t="shared" si="41"/>
        <v>40</v>
      </c>
      <c r="H48" s="475"/>
      <c r="I48" s="475">
        <v>40</v>
      </c>
      <c r="J48" s="476">
        <v>4.43</v>
      </c>
      <c r="K48" s="476">
        <f t="shared" si="39"/>
        <v>3.9869999999999997</v>
      </c>
      <c r="L48" s="477">
        <v>0.1</v>
      </c>
      <c r="M48" s="474"/>
      <c r="N48" s="474"/>
      <c r="O48" s="478"/>
      <c r="P48" s="474">
        <f t="shared" si="37"/>
        <v>17.72</v>
      </c>
      <c r="Q48" s="479">
        <v>18</v>
      </c>
      <c r="R48" s="480">
        <f t="shared" si="42"/>
        <v>318960</v>
      </c>
      <c r="S48" s="474">
        <f t="shared" si="40"/>
        <v>318960</v>
      </c>
    </row>
    <row r="49" spans="1:19" x14ac:dyDescent="0.25">
      <c r="A49" s="469"/>
      <c r="B49" s="470" t="s">
        <v>503</v>
      </c>
      <c r="C49" s="443" t="s">
        <v>473</v>
      </c>
      <c r="D49" s="471"/>
      <c r="E49" s="472"/>
      <c r="F49" s="473" t="s">
        <v>504</v>
      </c>
      <c r="G49" s="474">
        <f t="shared" si="41"/>
        <v>15</v>
      </c>
      <c r="H49" s="475"/>
      <c r="I49" s="475">
        <v>15</v>
      </c>
      <c r="J49" s="476">
        <v>4.43</v>
      </c>
      <c r="K49" s="476">
        <f t="shared" si="39"/>
        <v>3.7654999999999998</v>
      </c>
      <c r="L49" s="477">
        <v>0.15</v>
      </c>
      <c r="M49" s="474"/>
      <c r="N49" s="474"/>
      <c r="O49" s="478"/>
      <c r="P49" s="474">
        <f t="shared" si="37"/>
        <v>9.9674999999999994</v>
      </c>
      <c r="Q49" s="479">
        <v>18</v>
      </c>
      <c r="R49" s="480">
        <f t="shared" si="42"/>
        <v>179415</v>
      </c>
      <c r="S49" s="474">
        <f t="shared" si="40"/>
        <v>179415</v>
      </c>
    </row>
    <row r="50" spans="1:19" x14ac:dyDescent="0.25">
      <c r="A50" s="469"/>
      <c r="B50" s="470"/>
      <c r="C50" s="481"/>
      <c r="D50" s="471"/>
      <c r="E50" s="472"/>
      <c r="F50" s="473" t="s">
        <v>505</v>
      </c>
      <c r="G50" s="474">
        <f t="shared" si="41"/>
        <v>43.9</v>
      </c>
      <c r="H50" s="475"/>
      <c r="I50" s="475">
        <v>43.9</v>
      </c>
      <c r="J50" s="476">
        <v>4.43</v>
      </c>
      <c r="K50" s="476">
        <f t="shared" si="39"/>
        <v>3.9869999999999997</v>
      </c>
      <c r="L50" s="477">
        <v>0.1</v>
      </c>
      <c r="M50" s="474"/>
      <c r="N50" s="474"/>
      <c r="O50" s="478"/>
      <c r="P50" s="474">
        <f t="shared" si="37"/>
        <v>19.447700000000001</v>
      </c>
      <c r="Q50" s="479">
        <v>18</v>
      </c>
      <c r="R50" s="480">
        <f t="shared" si="42"/>
        <v>350058.60000000003</v>
      </c>
      <c r="S50" s="474">
        <f t="shared" si="40"/>
        <v>350058.60000000003</v>
      </c>
    </row>
    <row r="51" spans="1:19" x14ac:dyDescent="0.25">
      <c r="A51" s="469"/>
      <c r="B51" s="470"/>
      <c r="C51" s="481"/>
      <c r="D51" s="471"/>
      <c r="E51" s="472"/>
      <c r="F51" s="473" t="s">
        <v>506</v>
      </c>
      <c r="G51" s="474">
        <f t="shared" si="41"/>
        <v>40.5</v>
      </c>
      <c r="H51" s="475"/>
      <c r="I51" s="475">
        <v>40.5</v>
      </c>
      <c r="J51" s="476">
        <v>4.43</v>
      </c>
      <c r="K51" s="476">
        <f t="shared" si="39"/>
        <v>3.9869999999999997</v>
      </c>
      <c r="L51" s="477">
        <v>0.1</v>
      </c>
      <c r="M51" s="474"/>
      <c r="N51" s="474"/>
      <c r="O51" s="478"/>
      <c r="P51" s="474">
        <f t="shared" si="37"/>
        <v>17.941500000000001</v>
      </c>
      <c r="Q51" s="479">
        <v>18</v>
      </c>
      <c r="R51" s="480">
        <f t="shared" si="42"/>
        <v>322947</v>
      </c>
      <c r="S51" s="474">
        <f t="shared" si="40"/>
        <v>322947</v>
      </c>
    </row>
    <row r="52" spans="1:19" x14ac:dyDescent="0.25">
      <c r="A52" s="459"/>
      <c r="B52" s="435" t="s">
        <v>507</v>
      </c>
      <c r="C52" s="435"/>
      <c r="D52" s="462"/>
      <c r="E52" s="436"/>
      <c r="F52" s="436"/>
      <c r="G52" s="438">
        <f>SUM(G53:G68)</f>
        <v>6744.29</v>
      </c>
      <c r="H52" s="438">
        <f t="shared" ref="H52:I52" si="43">SUM(H53:H68)</f>
        <v>15</v>
      </c>
      <c r="I52" s="438">
        <f t="shared" si="43"/>
        <v>6729.29</v>
      </c>
      <c r="J52" s="453"/>
      <c r="K52" s="453"/>
      <c r="L52" s="453"/>
      <c r="M52" s="438"/>
      <c r="N52" s="438"/>
      <c r="O52" s="438"/>
      <c r="P52" s="438">
        <f t="shared" ref="P52:S52" si="44">SUM(P53:P68)</f>
        <v>3452.3388699999996</v>
      </c>
      <c r="Q52" s="438">
        <f t="shared" si="44"/>
        <v>234</v>
      </c>
      <c r="R52" s="438">
        <f t="shared" si="44"/>
        <v>61245024.659999996</v>
      </c>
      <c r="S52" s="438">
        <f t="shared" si="44"/>
        <v>61327374.659999996</v>
      </c>
    </row>
    <row r="53" spans="1:19" x14ac:dyDescent="0.25">
      <c r="A53" s="469"/>
      <c r="B53" s="470" t="s">
        <v>508</v>
      </c>
      <c r="C53" s="443" t="s">
        <v>473</v>
      </c>
      <c r="D53" s="471"/>
      <c r="E53" s="472"/>
      <c r="F53" s="482" t="s">
        <v>481</v>
      </c>
      <c r="G53" s="474">
        <f>SUM(H53:I53)</f>
        <v>5</v>
      </c>
      <c r="H53" s="475"/>
      <c r="I53" s="475">
        <v>5</v>
      </c>
      <c r="J53" s="476">
        <v>4.43</v>
      </c>
      <c r="K53" s="476">
        <f t="shared" si="39"/>
        <v>3.7654999999999998</v>
      </c>
      <c r="L53" s="477">
        <v>0.15</v>
      </c>
      <c r="M53" s="474"/>
      <c r="N53" s="474"/>
      <c r="O53" s="478"/>
      <c r="P53" s="474">
        <f>L53*J53*I53</f>
        <v>3.3224999999999998</v>
      </c>
      <c r="Q53" s="479">
        <v>18</v>
      </c>
      <c r="R53" s="480">
        <f>Q53*P53*1000</f>
        <v>59804.999999999993</v>
      </c>
      <c r="S53" s="474">
        <f t="shared" ref="S53:S68" si="45">SUM(R53+O53)</f>
        <v>59804.999999999993</v>
      </c>
    </row>
    <row r="54" spans="1:19" x14ac:dyDescent="0.25">
      <c r="A54" s="469"/>
      <c r="B54" s="470"/>
      <c r="C54" s="481"/>
      <c r="D54" s="471"/>
      <c r="E54" s="472"/>
      <c r="F54" s="482" t="s">
        <v>509</v>
      </c>
      <c r="G54" s="474">
        <f t="shared" ref="G54:G68" si="46">SUM(H54:I54)</f>
        <v>45</v>
      </c>
      <c r="H54" s="475"/>
      <c r="I54" s="475">
        <v>45</v>
      </c>
      <c r="J54" s="476">
        <v>4.43</v>
      </c>
      <c r="K54" s="476">
        <f t="shared" si="39"/>
        <v>3.3224999999999998</v>
      </c>
      <c r="L54" s="477">
        <v>0.25</v>
      </c>
      <c r="M54" s="474">
        <v>0</v>
      </c>
      <c r="N54" s="474">
        <v>3000</v>
      </c>
      <c r="O54" s="478">
        <f>N54*L54*I54</f>
        <v>33750</v>
      </c>
      <c r="P54" s="474">
        <f>L54*J54*I54</f>
        <v>49.837499999999999</v>
      </c>
      <c r="Q54" s="474"/>
      <c r="R54" s="474"/>
      <c r="S54" s="474">
        <f t="shared" si="45"/>
        <v>33750</v>
      </c>
    </row>
    <row r="55" spans="1:19" ht="31.5" x14ac:dyDescent="0.25">
      <c r="A55" s="483"/>
      <c r="B55" s="484"/>
      <c r="C55" s="485"/>
      <c r="D55" s="486"/>
      <c r="E55" s="487"/>
      <c r="F55" s="488" t="s">
        <v>510</v>
      </c>
      <c r="G55" s="474">
        <f t="shared" si="46"/>
        <v>15</v>
      </c>
      <c r="H55" s="489">
        <v>15</v>
      </c>
      <c r="I55" s="489"/>
      <c r="J55" s="476"/>
      <c r="K55" s="476">
        <f t="shared" si="39"/>
        <v>0</v>
      </c>
      <c r="L55" s="477">
        <v>1</v>
      </c>
      <c r="M55" s="490">
        <v>0</v>
      </c>
      <c r="N55" s="490">
        <v>3000</v>
      </c>
      <c r="O55" s="478">
        <f>N55*L55*H55</f>
        <v>45000</v>
      </c>
      <c r="P55" s="490"/>
      <c r="Q55" s="490"/>
      <c r="R55" s="490"/>
      <c r="S55" s="474">
        <f t="shared" si="45"/>
        <v>45000</v>
      </c>
    </row>
    <row r="56" spans="1:19" x14ac:dyDescent="0.25">
      <c r="A56" s="483"/>
      <c r="B56" s="484" t="s">
        <v>511</v>
      </c>
      <c r="C56" s="443" t="s">
        <v>473</v>
      </c>
      <c r="D56" s="486"/>
      <c r="E56" s="487"/>
      <c r="F56" s="488" t="s">
        <v>481</v>
      </c>
      <c r="G56" s="474">
        <f t="shared" si="46"/>
        <v>5</v>
      </c>
      <c r="H56" s="489"/>
      <c r="I56" s="489">
        <v>5</v>
      </c>
      <c r="J56" s="476">
        <v>4.43</v>
      </c>
      <c r="K56" s="476">
        <f t="shared" si="39"/>
        <v>3.9869999999999997</v>
      </c>
      <c r="L56" s="477">
        <v>0.1</v>
      </c>
      <c r="M56" s="490"/>
      <c r="N56" s="490"/>
      <c r="O56" s="478"/>
      <c r="P56" s="474">
        <f t="shared" ref="P56:P67" si="47">L56*J56*I56</f>
        <v>2.2149999999999999</v>
      </c>
      <c r="Q56" s="479">
        <v>18</v>
      </c>
      <c r="R56" s="480">
        <f>Q56*P56*1000</f>
        <v>39870</v>
      </c>
      <c r="S56" s="474">
        <f t="shared" si="45"/>
        <v>39870</v>
      </c>
    </row>
    <row r="57" spans="1:19" x14ac:dyDescent="0.25">
      <c r="A57" s="483"/>
      <c r="B57" s="484"/>
      <c r="C57" s="485"/>
      <c r="D57" s="486"/>
      <c r="E57" s="487"/>
      <c r="F57" s="488" t="s">
        <v>512</v>
      </c>
      <c r="G57" s="474">
        <f t="shared" si="46"/>
        <v>744.69</v>
      </c>
      <c r="H57" s="489"/>
      <c r="I57" s="489">
        <v>744.69</v>
      </c>
      <c r="J57" s="476">
        <v>4.43</v>
      </c>
      <c r="K57" s="476">
        <f t="shared" si="39"/>
        <v>3.9869999999999997</v>
      </c>
      <c r="L57" s="477">
        <v>0.1</v>
      </c>
      <c r="M57" s="490"/>
      <c r="N57" s="490"/>
      <c r="O57" s="478"/>
      <c r="P57" s="474">
        <f t="shared" si="47"/>
        <v>329.89767000000001</v>
      </c>
      <c r="Q57" s="479">
        <v>18</v>
      </c>
      <c r="R57" s="480">
        <f>Q57*P57*1000</f>
        <v>5938158.0599999996</v>
      </c>
      <c r="S57" s="474">
        <f t="shared" si="45"/>
        <v>5938158.0599999996</v>
      </c>
    </row>
    <row r="58" spans="1:19" x14ac:dyDescent="0.25">
      <c r="A58" s="483"/>
      <c r="B58" s="484"/>
      <c r="C58" s="485"/>
      <c r="D58" s="486"/>
      <c r="E58" s="487"/>
      <c r="F58" s="488" t="s">
        <v>513</v>
      </c>
      <c r="G58" s="474">
        <f t="shared" si="46"/>
        <v>1240.5999999999999</v>
      </c>
      <c r="H58" s="489"/>
      <c r="I58" s="489">
        <v>1240.5999999999999</v>
      </c>
      <c r="J58" s="476">
        <v>4.43</v>
      </c>
      <c r="K58" s="476">
        <f t="shared" si="39"/>
        <v>3.7654999999999998</v>
      </c>
      <c r="L58" s="477">
        <v>0.15</v>
      </c>
      <c r="M58" s="490"/>
      <c r="N58" s="490"/>
      <c r="O58" s="478"/>
      <c r="P58" s="490">
        <f t="shared" si="47"/>
        <v>824.37869999999987</v>
      </c>
      <c r="Q58" s="490">
        <v>18</v>
      </c>
      <c r="R58" s="480">
        <f>Q58*P58*1000</f>
        <v>14838816.599999998</v>
      </c>
      <c r="S58" s="474">
        <f t="shared" si="45"/>
        <v>14838816.599999998</v>
      </c>
    </row>
    <row r="59" spans="1:19" x14ac:dyDescent="0.25">
      <c r="A59" s="483"/>
      <c r="B59" s="491"/>
      <c r="C59" s="485"/>
      <c r="D59" s="486"/>
      <c r="E59" s="487"/>
      <c r="F59" s="488" t="s">
        <v>487</v>
      </c>
      <c r="G59" s="474">
        <f t="shared" si="46"/>
        <v>2034</v>
      </c>
      <c r="H59" s="489"/>
      <c r="I59" s="489">
        <v>2034</v>
      </c>
      <c r="J59" s="476">
        <v>4.43</v>
      </c>
      <c r="K59" s="476">
        <f t="shared" si="39"/>
        <v>3.9869999999999997</v>
      </c>
      <c r="L59" s="477">
        <v>0.1</v>
      </c>
      <c r="M59" s="490"/>
      <c r="N59" s="490"/>
      <c r="O59" s="478"/>
      <c r="P59" s="490">
        <f t="shared" si="47"/>
        <v>901.06200000000001</v>
      </c>
      <c r="Q59" s="490">
        <v>18</v>
      </c>
      <c r="R59" s="480">
        <f t="shared" ref="R59:R68" si="48">Q59*P59*1000</f>
        <v>16219116</v>
      </c>
      <c r="S59" s="474">
        <f t="shared" si="45"/>
        <v>16219116</v>
      </c>
    </row>
    <row r="60" spans="1:19" x14ac:dyDescent="0.25">
      <c r="A60" s="483"/>
      <c r="B60" s="484" t="s">
        <v>514</v>
      </c>
      <c r="C60" s="443" t="s">
        <v>473</v>
      </c>
      <c r="D60" s="486"/>
      <c r="E60" s="487"/>
      <c r="F60" s="488" t="s">
        <v>474</v>
      </c>
      <c r="G60" s="474">
        <f t="shared" si="46"/>
        <v>30</v>
      </c>
      <c r="H60" s="489"/>
      <c r="I60" s="489">
        <v>30</v>
      </c>
      <c r="J60" s="476">
        <v>4.43</v>
      </c>
      <c r="K60" s="476">
        <f t="shared" si="39"/>
        <v>3.9869999999999997</v>
      </c>
      <c r="L60" s="477">
        <v>0.1</v>
      </c>
      <c r="M60" s="490"/>
      <c r="N60" s="490"/>
      <c r="O60" s="478"/>
      <c r="P60" s="490">
        <f t="shared" si="47"/>
        <v>13.290000000000001</v>
      </c>
      <c r="Q60" s="490">
        <v>18</v>
      </c>
      <c r="R60" s="480">
        <f t="shared" si="48"/>
        <v>239220.00000000003</v>
      </c>
      <c r="S60" s="474">
        <f t="shared" si="45"/>
        <v>239220.00000000003</v>
      </c>
    </row>
    <row r="61" spans="1:19" x14ac:dyDescent="0.25">
      <c r="A61" s="483"/>
      <c r="B61" s="484" t="s">
        <v>515</v>
      </c>
      <c r="C61" s="443" t="s">
        <v>473</v>
      </c>
      <c r="D61" s="486"/>
      <c r="E61" s="487"/>
      <c r="F61" s="488" t="s">
        <v>481</v>
      </c>
      <c r="G61" s="474">
        <f t="shared" si="46"/>
        <v>1500</v>
      </c>
      <c r="H61" s="489"/>
      <c r="I61" s="489">
        <v>1500</v>
      </c>
      <c r="J61" s="476">
        <v>4.43</v>
      </c>
      <c r="K61" s="476">
        <f t="shared" si="39"/>
        <v>3.9869999999999997</v>
      </c>
      <c r="L61" s="477">
        <v>0.1</v>
      </c>
      <c r="M61" s="490"/>
      <c r="N61" s="490"/>
      <c r="O61" s="478"/>
      <c r="P61" s="490">
        <f t="shared" si="47"/>
        <v>664.5</v>
      </c>
      <c r="Q61" s="490">
        <v>18</v>
      </c>
      <c r="R61" s="490">
        <f t="shared" si="48"/>
        <v>11961000</v>
      </c>
      <c r="S61" s="490">
        <f t="shared" si="45"/>
        <v>11961000</v>
      </c>
    </row>
    <row r="62" spans="1:19" x14ac:dyDescent="0.25">
      <c r="A62" s="469"/>
      <c r="B62" s="470" t="s">
        <v>516</v>
      </c>
      <c r="C62" s="443" t="s">
        <v>473</v>
      </c>
      <c r="D62" s="471"/>
      <c r="E62" s="472"/>
      <c r="F62" s="482" t="s">
        <v>517</v>
      </c>
      <c r="G62" s="474">
        <f t="shared" si="46"/>
        <v>764</v>
      </c>
      <c r="H62" s="475"/>
      <c r="I62" s="475">
        <v>764</v>
      </c>
      <c r="J62" s="476">
        <v>4.43</v>
      </c>
      <c r="K62" s="476">
        <f t="shared" si="39"/>
        <v>3.7654999999999998</v>
      </c>
      <c r="L62" s="477">
        <v>0.15</v>
      </c>
      <c r="M62" s="474"/>
      <c r="N62" s="474"/>
      <c r="O62" s="478"/>
      <c r="P62" s="474">
        <f t="shared" si="47"/>
        <v>507.678</v>
      </c>
      <c r="Q62" s="474">
        <v>18</v>
      </c>
      <c r="R62" s="474">
        <f t="shared" si="48"/>
        <v>9138204</v>
      </c>
      <c r="S62" s="474">
        <f t="shared" si="45"/>
        <v>9138204</v>
      </c>
    </row>
    <row r="63" spans="1:19" x14ac:dyDescent="0.25">
      <c r="A63" s="469"/>
      <c r="B63" s="470" t="s">
        <v>518</v>
      </c>
      <c r="C63" s="443" t="s">
        <v>473</v>
      </c>
      <c r="D63" s="471"/>
      <c r="E63" s="472"/>
      <c r="F63" s="482" t="s">
        <v>481</v>
      </c>
      <c r="G63" s="474">
        <f t="shared" si="46"/>
        <v>185</v>
      </c>
      <c r="H63" s="475"/>
      <c r="I63" s="475">
        <v>185</v>
      </c>
      <c r="J63" s="476">
        <v>4.43</v>
      </c>
      <c r="K63" s="476">
        <f t="shared" si="39"/>
        <v>3.9869999999999997</v>
      </c>
      <c r="L63" s="477">
        <v>0.1</v>
      </c>
      <c r="M63" s="474"/>
      <c r="N63" s="474"/>
      <c r="O63" s="478"/>
      <c r="P63" s="474">
        <f t="shared" si="47"/>
        <v>81.954999999999998</v>
      </c>
      <c r="Q63" s="474">
        <v>18</v>
      </c>
      <c r="R63" s="474">
        <f t="shared" si="48"/>
        <v>1475190</v>
      </c>
      <c r="S63" s="474">
        <f t="shared" si="45"/>
        <v>1475190</v>
      </c>
    </row>
    <row r="64" spans="1:19" x14ac:dyDescent="0.25">
      <c r="A64" s="469"/>
      <c r="B64" s="470"/>
      <c r="C64" s="481"/>
      <c r="D64" s="471"/>
      <c r="E64" s="472"/>
      <c r="F64" s="482" t="s">
        <v>474</v>
      </c>
      <c r="G64" s="474">
        <f t="shared" si="46"/>
        <v>53</v>
      </c>
      <c r="H64" s="475"/>
      <c r="I64" s="475">
        <f>35+18</f>
        <v>53</v>
      </c>
      <c r="J64" s="476">
        <v>4.43</v>
      </c>
      <c r="K64" s="476">
        <f t="shared" si="39"/>
        <v>3.9869999999999997</v>
      </c>
      <c r="L64" s="477">
        <v>0.1</v>
      </c>
      <c r="M64" s="474"/>
      <c r="N64" s="474"/>
      <c r="O64" s="478"/>
      <c r="P64" s="474">
        <f t="shared" si="47"/>
        <v>23.478999999999999</v>
      </c>
      <c r="Q64" s="474">
        <v>18</v>
      </c>
      <c r="R64" s="474">
        <f t="shared" si="48"/>
        <v>422621.99999999994</v>
      </c>
      <c r="S64" s="474">
        <f t="shared" si="45"/>
        <v>422621.99999999994</v>
      </c>
    </row>
    <row r="65" spans="1:19" x14ac:dyDescent="0.25">
      <c r="A65" s="469"/>
      <c r="B65" s="470" t="s">
        <v>519</v>
      </c>
      <c r="C65" s="443" t="s">
        <v>473</v>
      </c>
      <c r="D65" s="471"/>
      <c r="E65" s="472"/>
      <c r="F65" s="482" t="s">
        <v>474</v>
      </c>
      <c r="G65" s="474">
        <f t="shared" si="46"/>
        <v>20</v>
      </c>
      <c r="H65" s="475"/>
      <c r="I65" s="475">
        <v>20</v>
      </c>
      <c r="J65" s="476">
        <v>4.43</v>
      </c>
      <c r="K65" s="476">
        <f t="shared" si="39"/>
        <v>3.9869999999999997</v>
      </c>
      <c r="L65" s="477">
        <v>0.1</v>
      </c>
      <c r="M65" s="474"/>
      <c r="N65" s="474"/>
      <c r="O65" s="478"/>
      <c r="P65" s="474">
        <f t="shared" si="47"/>
        <v>8.86</v>
      </c>
      <c r="Q65" s="474">
        <v>18</v>
      </c>
      <c r="R65" s="474">
        <f t="shared" si="48"/>
        <v>159480</v>
      </c>
      <c r="S65" s="474">
        <f t="shared" si="45"/>
        <v>159480</v>
      </c>
    </row>
    <row r="66" spans="1:19" x14ac:dyDescent="0.25">
      <c r="A66" s="469"/>
      <c r="B66" s="470" t="s">
        <v>520</v>
      </c>
      <c r="C66" s="443" t="s">
        <v>473</v>
      </c>
      <c r="D66" s="471"/>
      <c r="E66" s="472"/>
      <c r="F66" s="482" t="s">
        <v>504</v>
      </c>
      <c r="G66" s="474">
        <f t="shared" si="46"/>
        <v>11</v>
      </c>
      <c r="H66" s="475"/>
      <c r="I66" s="475">
        <v>11</v>
      </c>
      <c r="J66" s="476">
        <v>4.43</v>
      </c>
      <c r="K66" s="476">
        <f t="shared" si="39"/>
        <v>3.7654999999999998</v>
      </c>
      <c r="L66" s="477">
        <v>0.15</v>
      </c>
      <c r="M66" s="474"/>
      <c r="N66" s="474"/>
      <c r="O66" s="478"/>
      <c r="P66" s="474">
        <f t="shared" si="47"/>
        <v>7.3094999999999999</v>
      </c>
      <c r="Q66" s="474">
        <v>18</v>
      </c>
      <c r="R66" s="474">
        <f t="shared" si="48"/>
        <v>131571</v>
      </c>
      <c r="S66" s="474">
        <f t="shared" si="45"/>
        <v>131571</v>
      </c>
    </row>
    <row r="67" spans="1:19" x14ac:dyDescent="0.25">
      <c r="A67" s="469"/>
      <c r="B67" s="470"/>
      <c r="C67" s="481"/>
      <c r="D67" s="471"/>
      <c r="E67" s="472"/>
      <c r="F67" s="482" t="s">
        <v>474</v>
      </c>
      <c r="G67" s="474">
        <f t="shared" si="46"/>
        <v>52</v>
      </c>
      <c r="H67" s="475"/>
      <c r="I67" s="475">
        <v>52</v>
      </c>
      <c r="J67" s="476">
        <v>4.43</v>
      </c>
      <c r="K67" s="476">
        <f t="shared" si="39"/>
        <v>3.7654999999999998</v>
      </c>
      <c r="L67" s="477">
        <v>0.15</v>
      </c>
      <c r="M67" s="474"/>
      <c r="N67" s="474"/>
      <c r="O67" s="478"/>
      <c r="P67" s="474">
        <f t="shared" si="47"/>
        <v>34.554000000000002</v>
      </c>
      <c r="Q67" s="474">
        <v>18</v>
      </c>
      <c r="R67" s="474">
        <f t="shared" si="48"/>
        <v>621972</v>
      </c>
      <c r="S67" s="474">
        <f t="shared" si="45"/>
        <v>621972</v>
      </c>
    </row>
    <row r="68" spans="1:19" x14ac:dyDescent="0.25">
      <c r="A68" s="469"/>
      <c r="B68" s="470"/>
      <c r="C68" s="481"/>
      <c r="D68" s="471"/>
      <c r="E68" s="472"/>
      <c r="F68" s="482" t="s">
        <v>521</v>
      </c>
      <c r="G68" s="474">
        <f t="shared" si="46"/>
        <v>40</v>
      </c>
      <c r="H68" s="475"/>
      <c r="I68" s="475">
        <v>40</v>
      </c>
      <c r="J68" s="476">
        <v>4.43</v>
      </c>
      <c r="K68" s="476">
        <f t="shared" si="39"/>
        <v>4.2970999999999995</v>
      </c>
      <c r="L68" s="477">
        <v>0.03</v>
      </c>
      <c r="M68" s="474"/>
      <c r="N68" s="474">
        <v>3000</v>
      </c>
      <c r="O68" s="478">
        <f>N68*L68*I68</f>
        <v>3600</v>
      </c>
      <c r="P68" s="474"/>
      <c r="Q68" s="474"/>
      <c r="R68" s="474">
        <f t="shared" si="48"/>
        <v>0</v>
      </c>
      <c r="S68" s="474">
        <f t="shared" si="45"/>
        <v>3600</v>
      </c>
    </row>
    <row r="69" spans="1:19" x14ac:dyDescent="0.25">
      <c r="A69" s="492" t="s">
        <v>522</v>
      </c>
      <c r="B69" s="493">
        <v>1</v>
      </c>
      <c r="C69" s="493">
        <v>2</v>
      </c>
      <c r="D69" s="493">
        <v>3</v>
      </c>
      <c r="E69" s="493">
        <v>4</v>
      </c>
      <c r="F69" s="493">
        <v>5</v>
      </c>
      <c r="G69" s="493">
        <v>6</v>
      </c>
      <c r="H69" s="493">
        <v>7</v>
      </c>
      <c r="I69" s="493">
        <v>8</v>
      </c>
      <c r="J69" s="493">
        <v>9</v>
      </c>
      <c r="K69" s="493">
        <v>10</v>
      </c>
      <c r="L69" s="493">
        <v>11</v>
      </c>
      <c r="M69" s="493">
        <v>12</v>
      </c>
      <c r="N69" s="493">
        <v>13</v>
      </c>
      <c r="O69" s="493">
        <v>14</v>
      </c>
      <c r="P69" s="493">
        <v>15</v>
      </c>
      <c r="Q69" s="493">
        <v>16</v>
      </c>
      <c r="R69" s="493">
        <v>17</v>
      </c>
      <c r="S69" s="493">
        <v>18</v>
      </c>
    </row>
    <row r="70" spans="1:19" x14ac:dyDescent="0.25">
      <c r="A70" s="1530"/>
      <c r="B70" s="493"/>
      <c r="C70" s="493"/>
      <c r="D70" s="494"/>
      <c r="E70" s="494"/>
      <c r="F70" s="493"/>
      <c r="G70" s="403"/>
      <c r="H70" s="495"/>
      <c r="I70" s="403"/>
      <c r="J70" s="403"/>
      <c r="K70" s="403"/>
      <c r="L70" s="493"/>
      <c r="M70" s="403"/>
      <c r="N70" s="403"/>
      <c r="O70" s="493"/>
      <c r="P70" s="493"/>
      <c r="Q70" s="495"/>
      <c r="R70" s="403"/>
      <c r="S70" s="403"/>
    </row>
    <row r="71" spans="1:19" x14ac:dyDescent="0.25">
      <c r="A71" s="495"/>
      <c r="B71" s="495"/>
      <c r="C71" s="495"/>
      <c r="D71" s="496"/>
      <c r="E71" s="496"/>
      <c r="F71" s="403"/>
      <c r="G71" s="495"/>
      <c r="H71" s="495"/>
      <c r="I71" s="495"/>
      <c r="J71" s="495"/>
      <c r="K71" s="495"/>
      <c r="L71" s="495"/>
      <c r="M71" s="495"/>
      <c r="N71" s="495"/>
      <c r="O71" s="495"/>
      <c r="P71" s="495"/>
      <c r="Q71" s="495"/>
      <c r="R71" s="495"/>
      <c r="S71" s="495"/>
    </row>
    <row r="72" spans="1:19" x14ac:dyDescent="0.25">
      <c r="A72" s="1580" t="s">
        <v>523</v>
      </c>
      <c r="B72" s="1580"/>
      <c r="C72" s="1580"/>
      <c r="D72" s="1580"/>
      <c r="E72" s="497"/>
      <c r="F72" s="393"/>
      <c r="G72" s="1581" t="s">
        <v>524</v>
      </c>
      <c r="H72" s="1581"/>
      <c r="I72" s="498"/>
      <c r="J72" s="498"/>
      <c r="K72" s="1581" t="s">
        <v>525</v>
      </c>
      <c r="L72" s="1581"/>
      <c r="M72" s="1581"/>
      <c r="N72" s="1581"/>
      <c r="O72" s="495"/>
      <c r="P72" s="1580" t="s">
        <v>526</v>
      </c>
      <c r="Q72" s="1580"/>
      <c r="R72" s="1580"/>
      <c r="S72" s="495"/>
    </row>
    <row r="73" spans="1:19" x14ac:dyDescent="0.25">
      <c r="A73" s="1582" t="s">
        <v>527</v>
      </c>
      <c r="B73" s="1582"/>
      <c r="C73" s="1582"/>
      <c r="D73" s="1582"/>
      <c r="E73" s="499"/>
      <c r="F73" s="393"/>
      <c r="G73" s="1583" t="s">
        <v>528</v>
      </c>
      <c r="H73" s="1583"/>
      <c r="I73" s="500"/>
      <c r="J73" s="500"/>
      <c r="K73" s="1583" t="s">
        <v>529</v>
      </c>
      <c r="L73" s="1583"/>
      <c r="M73" s="1583"/>
      <c r="N73" s="1583"/>
      <c r="O73" s="495"/>
      <c r="P73" s="1584" t="s">
        <v>530</v>
      </c>
      <c r="Q73" s="1584"/>
      <c r="R73" s="1584"/>
      <c r="S73" s="495"/>
    </row>
    <row r="78" spans="1:19" x14ac:dyDescent="0.25">
      <c r="B78" s="501"/>
      <c r="C78" s="501"/>
      <c r="D78" s="501"/>
      <c r="E78" s="502"/>
      <c r="F78" s="503"/>
      <c r="G78" s="504"/>
      <c r="H78" s="501"/>
      <c r="I78" s="501"/>
      <c r="J78" s="501"/>
      <c r="K78" s="501"/>
      <c r="L78" s="504"/>
      <c r="M78" s="504"/>
      <c r="N78" s="501"/>
      <c r="O78" s="501"/>
      <c r="P78" s="501"/>
      <c r="Q78" s="504"/>
    </row>
    <row r="79" spans="1:19" x14ac:dyDescent="0.25">
      <c r="A79" s="501"/>
      <c r="E79" s="505"/>
      <c r="L79" s="507"/>
      <c r="Q79" s="507"/>
    </row>
  </sheetData>
  <mergeCells count="32">
    <mergeCell ref="A6:S6"/>
    <mergeCell ref="A1:S1"/>
    <mergeCell ref="A2:S2"/>
    <mergeCell ref="A3:S3"/>
    <mergeCell ref="A4:S4"/>
    <mergeCell ref="A5:S5"/>
    <mergeCell ref="A7:R7"/>
    <mergeCell ref="A8:R8"/>
    <mergeCell ref="A15:A17"/>
    <mergeCell ref="B15:B17"/>
    <mergeCell ref="C15:C17"/>
    <mergeCell ref="D15:D17"/>
    <mergeCell ref="E15:E17"/>
    <mergeCell ref="F15:F17"/>
    <mergeCell ref="G15:I16"/>
    <mergeCell ref="J15:K15"/>
    <mergeCell ref="A73:D73"/>
    <mergeCell ref="G73:H73"/>
    <mergeCell ref="K73:N73"/>
    <mergeCell ref="P73:R73"/>
    <mergeCell ref="L15:L17"/>
    <mergeCell ref="M15:S15"/>
    <mergeCell ref="J16:J17"/>
    <mergeCell ref="K16:K17"/>
    <mergeCell ref="M16:O16"/>
    <mergeCell ref="P16:R16"/>
    <mergeCell ref="S16:S17"/>
    <mergeCell ref="T16:T17"/>
    <mergeCell ref="A72:D72"/>
    <mergeCell ref="G72:H72"/>
    <mergeCell ref="K72:N72"/>
    <mergeCell ref="P72:R72"/>
  </mergeCells>
  <pageMargins left="0.5" right="0.5" top="0.5" bottom="0.5" header="0.3" footer="0.3"/>
  <pageSetup paperSize="256" scale="5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B728-BEDF-4C4E-83E5-47BDA58F9477}">
  <sheetPr>
    <tabColor theme="9" tint="0.59999389629810485"/>
  </sheetPr>
  <dimension ref="A1:X118"/>
  <sheetViews>
    <sheetView topLeftCell="A13" zoomScale="73" zoomScaleNormal="73" workbookViewId="0">
      <selection activeCell="A22" sqref="A22:XFD22"/>
    </sheetView>
  </sheetViews>
  <sheetFormatPr defaultColWidth="8.875" defaultRowHeight="15" x14ac:dyDescent="0.25"/>
  <cols>
    <col min="1" max="1" width="27.875" style="185" bestFit="1" customWidth="1"/>
    <col min="2" max="3" width="8.875" style="185"/>
    <col min="4" max="4" width="14" style="185" customWidth="1"/>
    <col min="5" max="5" width="17.875" style="185" customWidth="1"/>
    <col min="6" max="6" width="16.125" style="185" customWidth="1"/>
    <col min="7" max="7" width="14.5" style="185" customWidth="1"/>
    <col min="8" max="8" width="14.375" style="185" customWidth="1"/>
    <col min="9" max="9" width="15.5" style="185" customWidth="1"/>
    <col min="10" max="12" width="8.875" style="185"/>
    <col min="13" max="13" width="18.875" style="185" customWidth="1"/>
    <col min="14" max="15" width="22.5" style="185" customWidth="1"/>
    <col min="16" max="16" width="16.625" style="185" customWidth="1"/>
    <col min="17" max="17" width="8.875" style="185"/>
    <col min="18" max="18" width="16.5" style="185" customWidth="1"/>
    <col min="19" max="19" width="15" style="185" customWidth="1"/>
    <col min="20" max="20" width="8.875" style="185"/>
    <col min="21" max="21" width="16.625" style="185" customWidth="1"/>
    <col min="22" max="22" width="18.375" style="185" customWidth="1"/>
    <col min="23" max="23" width="23.625" style="185" customWidth="1"/>
    <col min="24" max="24" width="23.5" style="185" customWidth="1"/>
    <col min="25" max="16384" width="8.875" style="185"/>
  </cols>
  <sheetData>
    <row r="1" spans="1:24" ht="20.25" x14ac:dyDescent="0.3">
      <c r="A1" s="1881" t="s">
        <v>411</v>
      </c>
      <c r="B1" s="1881"/>
      <c r="C1" s="1881"/>
      <c r="D1" s="1881"/>
      <c r="E1" s="1881"/>
      <c r="F1" s="1881"/>
      <c r="G1" s="1881"/>
      <c r="H1" s="1881"/>
      <c r="I1" s="1881"/>
      <c r="J1" s="1881"/>
      <c r="K1" s="1881"/>
      <c r="L1" s="1881"/>
      <c r="M1" s="1881"/>
      <c r="N1" s="1881"/>
      <c r="O1" s="1881"/>
      <c r="P1" s="1881"/>
      <c r="Q1" s="1881"/>
      <c r="R1" s="1881"/>
      <c r="S1" s="1881"/>
      <c r="T1" s="1881"/>
      <c r="U1" s="1881"/>
      <c r="V1" s="1881"/>
      <c r="W1" s="1881"/>
      <c r="X1" s="1881"/>
    </row>
    <row r="2" spans="1:24" ht="20.25" x14ac:dyDescent="0.3">
      <c r="A2" s="1881" t="s">
        <v>412</v>
      </c>
      <c r="B2" s="1881"/>
      <c r="C2" s="1881"/>
      <c r="D2" s="1881"/>
      <c r="E2" s="1881"/>
      <c r="F2" s="1881"/>
      <c r="G2" s="1881"/>
      <c r="H2" s="1881"/>
      <c r="I2" s="1881"/>
      <c r="J2" s="1881"/>
      <c r="K2" s="1881"/>
      <c r="L2" s="1881"/>
      <c r="M2" s="1881"/>
      <c r="N2" s="1881"/>
      <c r="O2" s="1881"/>
      <c r="P2" s="1881"/>
      <c r="Q2" s="1881"/>
      <c r="R2" s="1881"/>
      <c r="S2" s="1881"/>
      <c r="T2" s="1881"/>
      <c r="U2" s="1881"/>
      <c r="V2" s="1881"/>
      <c r="W2" s="1881"/>
      <c r="X2" s="1881"/>
    </row>
    <row r="3" spans="1:24" ht="20.25" x14ac:dyDescent="0.3">
      <c r="A3" s="1882" t="s">
        <v>413</v>
      </c>
      <c r="B3" s="1882"/>
      <c r="C3" s="1882"/>
      <c r="D3" s="1882"/>
      <c r="E3" s="1882"/>
      <c r="F3" s="1882"/>
      <c r="G3" s="1882"/>
      <c r="H3" s="1882"/>
      <c r="I3" s="1882"/>
      <c r="J3" s="1882"/>
      <c r="K3" s="1882"/>
      <c r="L3" s="1882"/>
      <c r="M3" s="1882"/>
      <c r="N3" s="1882"/>
      <c r="O3" s="1882"/>
      <c r="P3" s="1882"/>
      <c r="Q3" s="1882"/>
      <c r="R3" s="1882"/>
      <c r="S3" s="1882"/>
      <c r="T3" s="1882"/>
      <c r="U3" s="1882"/>
      <c r="V3" s="1882"/>
      <c r="W3" s="1882"/>
      <c r="X3" s="1882"/>
    </row>
    <row r="4" spans="1:24" ht="20.25" x14ac:dyDescent="0.3">
      <c r="A4" s="1881" t="s">
        <v>1140</v>
      </c>
      <c r="B4" s="1881"/>
      <c r="C4" s="1881"/>
      <c r="D4" s="1881"/>
      <c r="E4" s="1881"/>
      <c r="F4" s="1881"/>
      <c r="G4" s="1881"/>
      <c r="H4" s="1881"/>
      <c r="I4" s="1881"/>
      <c r="J4" s="1881"/>
      <c r="K4" s="1881"/>
      <c r="L4" s="1881"/>
      <c r="M4" s="1881"/>
      <c r="N4" s="1881"/>
      <c r="O4" s="1881"/>
      <c r="P4" s="1881"/>
      <c r="Q4" s="1881"/>
      <c r="R4" s="1881"/>
      <c r="S4" s="1881"/>
      <c r="T4" s="1881"/>
      <c r="U4" s="1881"/>
      <c r="V4" s="1881"/>
      <c r="W4" s="1881"/>
      <c r="X4" s="1881"/>
    </row>
    <row r="5" spans="1:24" ht="20.25" x14ac:dyDescent="0.3">
      <c r="A5" s="1881" t="s">
        <v>1141</v>
      </c>
      <c r="B5" s="1881"/>
      <c r="C5" s="1881"/>
      <c r="D5" s="1881"/>
      <c r="E5" s="1881"/>
      <c r="F5" s="1881"/>
      <c r="G5" s="1881"/>
      <c r="H5" s="1881"/>
      <c r="I5" s="1881"/>
      <c r="J5" s="1881"/>
      <c r="K5" s="1881"/>
      <c r="L5" s="1881"/>
      <c r="M5" s="1881"/>
      <c r="N5" s="1881"/>
      <c r="O5" s="1881"/>
      <c r="P5" s="1881"/>
      <c r="Q5" s="1881"/>
      <c r="R5" s="1881"/>
      <c r="S5" s="1881"/>
      <c r="T5" s="1881"/>
      <c r="U5" s="1881"/>
      <c r="V5" s="1881"/>
      <c r="W5" s="1881"/>
      <c r="X5" s="1881"/>
    </row>
    <row r="6" spans="1:24" ht="20.25" x14ac:dyDescent="0.3">
      <c r="A6" s="1881" t="s">
        <v>1142</v>
      </c>
      <c r="B6" s="1881"/>
      <c r="C6" s="1881"/>
      <c r="D6" s="1881"/>
      <c r="E6" s="1881"/>
      <c r="F6" s="1881"/>
      <c r="G6" s="1881"/>
      <c r="H6" s="1881"/>
      <c r="I6" s="1881"/>
      <c r="J6" s="1881"/>
      <c r="K6" s="1881"/>
      <c r="L6" s="1881"/>
      <c r="M6" s="1881"/>
      <c r="N6" s="1881"/>
      <c r="O6" s="1881"/>
      <c r="P6" s="1881"/>
      <c r="Q6" s="1881"/>
      <c r="R6" s="1881"/>
      <c r="S6" s="1881"/>
      <c r="T6" s="1881"/>
      <c r="U6" s="1881"/>
      <c r="V6" s="1881"/>
      <c r="W6" s="1881"/>
      <c r="X6" s="1881"/>
    </row>
    <row r="7" spans="1:24" x14ac:dyDescent="0.25">
      <c r="A7" s="1829"/>
      <c r="B7" s="1829"/>
      <c r="C7" s="1829"/>
      <c r="D7" s="1829"/>
      <c r="E7" s="1829"/>
      <c r="F7" s="1829"/>
      <c r="G7" s="1829"/>
      <c r="H7" s="1829"/>
      <c r="I7" s="1829"/>
      <c r="J7" s="1829"/>
      <c r="K7" s="1829"/>
      <c r="L7" s="1829"/>
      <c r="M7" s="1829"/>
      <c r="N7" s="1829"/>
      <c r="O7" s="1829"/>
      <c r="P7" s="1829"/>
      <c r="Q7" s="1829"/>
      <c r="R7" s="1829"/>
      <c r="S7" s="1829"/>
      <c r="T7" s="1829"/>
      <c r="U7" s="1829"/>
      <c r="V7" s="1566"/>
      <c r="W7" s="1566"/>
      <c r="X7" s="320"/>
    </row>
    <row r="8" spans="1:24" x14ac:dyDescent="0.25">
      <c r="A8" s="1829"/>
      <c r="B8" s="1829"/>
      <c r="C8" s="1829"/>
      <c r="D8" s="1829"/>
      <c r="E8" s="1829"/>
      <c r="F8" s="1829"/>
      <c r="G8" s="1829"/>
      <c r="H8" s="1829"/>
      <c r="I8" s="1829"/>
      <c r="J8" s="1829"/>
      <c r="K8" s="1829"/>
      <c r="L8" s="1829"/>
      <c r="M8" s="1829"/>
      <c r="N8" s="1829"/>
      <c r="O8" s="1829"/>
      <c r="P8" s="1829"/>
      <c r="Q8" s="1829"/>
      <c r="R8" s="1829"/>
      <c r="S8" s="1829"/>
      <c r="T8" s="1829"/>
      <c r="U8" s="1829"/>
      <c r="V8" s="1566"/>
      <c r="W8" s="1566"/>
      <c r="X8" s="319"/>
    </row>
    <row r="9" spans="1:24" x14ac:dyDescent="0.25">
      <c r="A9" s="318" t="s">
        <v>417</v>
      </c>
      <c r="B9" s="312"/>
      <c r="C9" s="312"/>
      <c r="D9" s="380"/>
      <c r="E9" s="379"/>
      <c r="F9" s="312"/>
      <c r="G9" s="312"/>
      <c r="H9" s="312"/>
      <c r="I9" s="312"/>
      <c r="J9" s="312"/>
      <c r="K9" s="311"/>
      <c r="L9" s="378" t="s">
        <v>418</v>
      </c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291"/>
    </row>
    <row r="10" spans="1:24" x14ac:dyDescent="0.25">
      <c r="A10" s="310" t="s">
        <v>1138</v>
      </c>
      <c r="B10" s="204"/>
      <c r="C10" s="204"/>
      <c r="D10" s="376"/>
      <c r="E10" s="375"/>
      <c r="F10" s="204"/>
      <c r="G10" s="204"/>
      <c r="H10" s="204"/>
      <c r="I10" s="204"/>
      <c r="J10" s="204"/>
      <c r="K10" s="204"/>
      <c r="L10" s="377" t="s">
        <v>421</v>
      </c>
      <c r="M10" s="312"/>
      <c r="N10" s="312" t="s">
        <v>422</v>
      </c>
      <c r="O10" s="312"/>
      <c r="P10" s="312"/>
      <c r="Q10" s="312"/>
      <c r="R10" s="312"/>
      <c r="S10" s="312"/>
      <c r="T10" s="312"/>
      <c r="U10" s="311"/>
      <c r="V10" s="311"/>
      <c r="W10" s="311"/>
      <c r="X10" s="311"/>
    </row>
    <row r="11" spans="1:24" x14ac:dyDescent="0.25">
      <c r="A11" s="310"/>
      <c r="B11" s="204"/>
      <c r="C11" s="204"/>
      <c r="D11" s="376"/>
      <c r="E11" s="375"/>
      <c r="F11" s="204"/>
      <c r="G11" s="204"/>
      <c r="H11" s="204"/>
      <c r="I11" s="204"/>
      <c r="J11" s="204"/>
      <c r="K11" s="204"/>
      <c r="L11" s="372"/>
      <c r="M11" s="307" t="s">
        <v>423</v>
      </c>
      <c r="N11" s="204" t="s">
        <v>535</v>
      </c>
      <c r="O11" s="307" t="s">
        <v>424</v>
      </c>
      <c r="P11" s="307"/>
      <c r="Q11" s="307"/>
      <c r="R11" s="204"/>
      <c r="S11" s="204"/>
      <c r="T11" s="204"/>
      <c r="U11" s="306"/>
      <c r="V11" s="306"/>
      <c r="W11" s="306"/>
      <c r="X11" s="306"/>
    </row>
    <row r="12" spans="1:24" x14ac:dyDescent="0.25">
      <c r="A12" s="310"/>
      <c r="B12" s="204"/>
      <c r="C12" s="204"/>
      <c r="D12" s="376"/>
      <c r="E12" s="375"/>
      <c r="F12" s="204"/>
      <c r="G12" s="204"/>
      <c r="H12" s="204"/>
      <c r="I12" s="204"/>
      <c r="J12" s="204"/>
      <c r="K12" s="204"/>
      <c r="L12" s="372"/>
      <c r="M12" s="307" t="s">
        <v>426</v>
      </c>
      <c r="N12" s="307"/>
      <c r="O12" s="307" t="s">
        <v>427</v>
      </c>
      <c r="P12" s="307"/>
      <c r="Q12" s="307"/>
      <c r="R12" s="204"/>
      <c r="S12" s="204"/>
      <c r="T12" s="204"/>
      <c r="U12" s="306"/>
      <c r="V12" s="306"/>
      <c r="W12" s="306"/>
      <c r="X12" s="306"/>
    </row>
    <row r="13" spans="1:24" x14ac:dyDescent="0.25">
      <c r="A13" s="305"/>
      <c r="B13" s="298"/>
      <c r="C13" s="298"/>
      <c r="D13" s="374"/>
      <c r="E13" s="373"/>
      <c r="F13" s="298"/>
      <c r="G13" s="298"/>
      <c r="H13" s="298"/>
      <c r="I13" s="298"/>
      <c r="J13" s="298"/>
      <c r="K13" s="298"/>
      <c r="L13" s="372" t="s">
        <v>425</v>
      </c>
      <c r="M13" s="299" t="s">
        <v>428</v>
      </c>
      <c r="N13" s="300" t="s">
        <v>425</v>
      </c>
      <c r="O13" s="299" t="s">
        <v>429</v>
      </c>
      <c r="P13" s="299"/>
      <c r="Q13" s="299"/>
      <c r="R13" s="298"/>
      <c r="S13" s="298"/>
      <c r="T13" s="298"/>
      <c r="U13" s="297"/>
      <c r="V13" s="297"/>
      <c r="W13" s="297"/>
      <c r="X13" s="297"/>
    </row>
    <row r="14" spans="1:24" x14ac:dyDescent="0.25">
      <c r="A14" s="291"/>
      <c r="B14" s="291"/>
      <c r="C14" s="291"/>
      <c r="D14" s="371"/>
      <c r="E14" s="370"/>
      <c r="F14" s="291"/>
      <c r="G14" s="291"/>
      <c r="H14" s="291"/>
      <c r="I14" s="291"/>
      <c r="J14" s="291"/>
      <c r="K14" s="291"/>
      <c r="L14" s="369"/>
      <c r="M14" s="292"/>
      <c r="N14" s="292"/>
      <c r="O14" s="292"/>
      <c r="P14" s="292"/>
      <c r="Q14" s="292"/>
      <c r="R14" s="292"/>
      <c r="S14" s="292"/>
      <c r="T14" s="292"/>
      <c r="U14" s="292"/>
      <c r="V14" s="292"/>
      <c r="W14" s="292"/>
      <c r="X14" s="291"/>
    </row>
    <row r="15" spans="1:24" x14ac:dyDescent="0.25">
      <c r="A15" s="1870" t="s">
        <v>432</v>
      </c>
      <c r="B15" s="1814" t="s">
        <v>1143</v>
      </c>
      <c r="C15" s="1887" t="s">
        <v>1099</v>
      </c>
      <c r="D15" s="1890" t="s">
        <v>434</v>
      </c>
      <c r="E15" s="1891" t="s">
        <v>435</v>
      </c>
      <c r="F15" s="1814" t="s">
        <v>436</v>
      </c>
      <c r="G15" s="1857" t="s">
        <v>1144</v>
      </c>
      <c r="H15" s="1871"/>
      <c r="I15" s="1872"/>
      <c r="J15" s="1859" t="s">
        <v>438</v>
      </c>
      <c r="K15" s="1860"/>
      <c r="L15" s="1861" t="s">
        <v>439</v>
      </c>
      <c r="M15" s="1859" t="s">
        <v>440</v>
      </c>
      <c r="N15" s="1864"/>
      <c r="O15" s="1864"/>
      <c r="P15" s="1864"/>
      <c r="Q15" s="1864"/>
      <c r="R15" s="1864"/>
      <c r="S15" s="1864"/>
      <c r="T15" s="1864"/>
      <c r="U15" s="1864"/>
      <c r="V15" s="1864"/>
      <c r="W15" s="1864"/>
      <c r="X15" s="1860"/>
    </row>
    <row r="16" spans="1:24" x14ac:dyDescent="0.25">
      <c r="A16" s="1870"/>
      <c r="B16" s="1814"/>
      <c r="C16" s="1888"/>
      <c r="D16" s="1890"/>
      <c r="E16" s="1891"/>
      <c r="F16" s="1814"/>
      <c r="G16" s="1873"/>
      <c r="H16" s="1874"/>
      <c r="I16" s="1875"/>
      <c r="J16" s="1814" t="s">
        <v>441</v>
      </c>
      <c r="K16" s="1814" t="s">
        <v>442</v>
      </c>
      <c r="L16" s="1862"/>
      <c r="M16" s="1865" t="s">
        <v>1145</v>
      </c>
      <c r="N16" s="1866"/>
      <c r="O16" s="1867"/>
      <c r="P16" s="368"/>
      <c r="Q16" s="368"/>
      <c r="R16" s="1865" t="s">
        <v>444</v>
      </c>
      <c r="S16" s="1868"/>
      <c r="T16" s="1868"/>
      <c r="U16" s="1869"/>
      <c r="V16" s="1572"/>
      <c r="W16" s="1572"/>
      <c r="X16" s="1870" t="s">
        <v>937</v>
      </c>
    </row>
    <row r="17" spans="1:24" x14ac:dyDescent="0.25">
      <c r="A17" s="1870"/>
      <c r="B17" s="1814"/>
      <c r="C17" s="1888"/>
      <c r="D17" s="1890"/>
      <c r="E17" s="1891"/>
      <c r="F17" s="1814"/>
      <c r="G17" s="1858"/>
      <c r="H17" s="1876"/>
      <c r="I17" s="1877"/>
      <c r="J17" s="1814"/>
      <c r="K17" s="1814"/>
      <c r="L17" s="1862"/>
      <c r="M17" s="1857" t="s">
        <v>1146</v>
      </c>
      <c r="N17" s="1880" t="s">
        <v>1102</v>
      </c>
      <c r="O17" s="1880"/>
      <c r="P17" s="1849"/>
      <c r="Q17" s="1848" t="s">
        <v>1103</v>
      </c>
      <c r="R17" s="1880"/>
      <c r="S17" s="1814" t="s">
        <v>447</v>
      </c>
      <c r="T17" s="1814" t="s">
        <v>453</v>
      </c>
      <c r="U17" s="1848" t="s">
        <v>1102</v>
      </c>
      <c r="V17" s="1849"/>
      <c r="W17" s="1878" t="s">
        <v>447</v>
      </c>
      <c r="X17" s="1870"/>
    </row>
    <row r="18" spans="1:24" ht="24" x14ac:dyDescent="0.25">
      <c r="A18" s="1870"/>
      <c r="B18" s="1814"/>
      <c r="C18" s="1889"/>
      <c r="D18" s="1890"/>
      <c r="E18" s="1891"/>
      <c r="F18" s="1814"/>
      <c r="G18" s="1573" t="s">
        <v>448</v>
      </c>
      <c r="H18" s="1573" t="s">
        <v>449</v>
      </c>
      <c r="I18" s="367" t="s">
        <v>447</v>
      </c>
      <c r="J18" s="1814"/>
      <c r="K18" s="1814"/>
      <c r="L18" s="1863"/>
      <c r="M18" s="1858"/>
      <c r="N18" s="1560" t="s">
        <v>868</v>
      </c>
      <c r="O18" s="1560" t="s">
        <v>449</v>
      </c>
      <c r="P18" s="1560" t="s">
        <v>447</v>
      </c>
      <c r="Q18" s="1560" t="s">
        <v>868</v>
      </c>
      <c r="R18" s="366" t="s">
        <v>449</v>
      </c>
      <c r="S18" s="1814"/>
      <c r="T18" s="1814"/>
      <c r="U18" s="365" t="s">
        <v>868</v>
      </c>
      <c r="V18" s="1560" t="s">
        <v>449</v>
      </c>
      <c r="W18" s="1879"/>
      <c r="X18" s="1870"/>
    </row>
    <row r="19" spans="1:24" x14ac:dyDescent="0.25">
      <c r="A19" s="287" t="s">
        <v>1106</v>
      </c>
      <c r="B19" s="287" t="s">
        <v>1107</v>
      </c>
      <c r="C19" s="287" t="s">
        <v>1108</v>
      </c>
      <c r="D19" s="364" t="s">
        <v>1109</v>
      </c>
      <c r="E19" s="363" t="s">
        <v>1110</v>
      </c>
      <c r="F19" s="287" t="s">
        <v>1111</v>
      </c>
      <c r="G19" s="287" t="s">
        <v>1112</v>
      </c>
      <c r="H19" s="287" t="s">
        <v>1113</v>
      </c>
      <c r="I19" s="287" t="s">
        <v>1147</v>
      </c>
      <c r="J19" s="287" t="s">
        <v>1115</v>
      </c>
      <c r="K19" s="287" t="s">
        <v>1116</v>
      </c>
      <c r="L19" s="362" t="s">
        <v>1086</v>
      </c>
      <c r="M19" s="287" t="s">
        <v>1117</v>
      </c>
      <c r="N19" s="287" t="s">
        <v>1118</v>
      </c>
      <c r="O19" s="287" t="s">
        <v>1119</v>
      </c>
      <c r="P19" s="287" t="s">
        <v>1082</v>
      </c>
      <c r="Q19" s="287" t="s">
        <v>1120</v>
      </c>
      <c r="R19" s="287" t="s">
        <v>1121</v>
      </c>
      <c r="S19" s="287" t="s">
        <v>1122</v>
      </c>
      <c r="T19" s="287" t="s">
        <v>1123</v>
      </c>
      <c r="U19" s="287" t="s">
        <v>1124</v>
      </c>
      <c r="V19" s="287" t="s">
        <v>1125</v>
      </c>
      <c r="W19" s="287" t="s">
        <v>1126</v>
      </c>
      <c r="X19" s="287" t="s">
        <v>1127</v>
      </c>
    </row>
    <row r="20" spans="1:24" x14ac:dyDescent="0.25">
      <c r="A20" s="361" t="s">
        <v>470</v>
      </c>
      <c r="B20" s="360"/>
      <c r="C20" s="284"/>
      <c r="D20" s="356">
        <f>D21+D31</f>
        <v>4539</v>
      </c>
      <c r="E20" s="356">
        <f>E21+E31</f>
        <v>20219.849999999999</v>
      </c>
      <c r="F20" s="284"/>
      <c r="G20" s="356">
        <f>G21+G31</f>
        <v>276.84000000000003</v>
      </c>
      <c r="H20" s="356">
        <f>H21+H31</f>
        <v>5195.13</v>
      </c>
      <c r="I20" s="359">
        <f t="shared" ref="I20:I51" si="0">SUM(G20+H20)</f>
        <v>5471.97</v>
      </c>
      <c r="J20" s="356">
        <f>J21</f>
        <v>0</v>
      </c>
      <c r="K20" s="356">
        <f>K21</f>
        <v>0</v>
      </c>
      <c r="L20" s="358"/>
      <c r="M20" s="356"/>
      <c r="N20" s="356">
        <f>N21+N31</f>
        <v>2426320</v>
      </c>
      <c r="O20" s="356">
        <f>O21+O31</f>
        <v>3273135</v>
      </c>
      <c r="P20" s="357">
        <f>N20+O20</f>
        <v>5699455</v>
      </c>
      <c r="Q20" s="356">
        <f>Q21+Q31</f>
        <v>10</v>
      </c>
      <c r="R20" s="356">
        <f>R21+R31</f>
        <v>2835.4631999999997</v>
      </c>
      <c r="S20" s="357">
        <f>Q20+R20</f>
        <v>2845.4631999999997</v>
      </c>
      <c r="T20" s="356">
        <f>T21</f>
        <v>0</v>
      </c>
      <c r="U20" s="356">
        <f>U21+U31</f>
        <v>0</v>
      </c>
      <c r="V20" s="356">
        <f>V21+V31</f>
        <v>44651872.350000001</v>
      </c>
      <c r="W20" s="357">
        <f t="shared" ref="W20:W51" si="1">SUM(U20+V20)</f>
        <v>44651872.350000001</v>
      </c>
      <c r="X20" s="356">
        <f>W20+P20</f>
        <v>50351327.350000001</v>
      </c>
    </row>
    <row r="21" spans="1:24" x14ac:dyDescent="0.25">
      <c r="A21" s="279" t="s">
        <v>537</v>
      </c>
      <c r="B21" s="278"/>
      <c r="C21" s="278"/>
      <c r="D21" s="272">
        <f>D22</f>
        <v>0</v>
      </c>
      <c r="E21" s="272">
        <f>E22</f>
        <v>0</v>
      </c>
      <c r="F21" s="276"/>
      <c r="G21" s="272">
        <f>G22+G24+G26+G28</f>
        <v>2</v>
      </c>
      <c r="H21" s="272">
        <f>H22+H24+H26+H28</f>
        <v>283.10000000000002</v>
      </c>
      <c r="I21" s="272">
        <f t="shared" si="0"/>
        <v>285.10000000000002</v>
      </c>
      <c r="J21" s="272"/>
      <c r="K21" s="272"/>
      <c r="L21" s="355"/>
      <c r="M21" s="273"/>
      <c r="N21" s="272">
        <f>N22</f>
        <v>0</v>
      </c>
      <c r="O21" s="272">
        <f>O22</f>
        <v>0</v>
      </c>
      <c r="P21" s="272">
        <f>N21+O21</f>
        <v>0</v>
      </c>
      <c r="Q21" s="272">
        <f>Q22+Q24+Q26+Q28</f>
        <v>10</v>
      </c>
      <c r="R21" s="272">
        <f>R22+R24+R26+R28</f>
        <v>212.32499999999999</v>
      </c>
      <c r="S21" s="272">
        <f>Q21+R21</f>
        <v>222.32499999999999</v>
      </c>
      <c r="T21" s="272"/>
      <c r="U21" s="272">
        <f>U22+U24+U26+U28</f>
        <v>0</v>
      </c>
      <c r="V21" s="272">
        <f>V22+V24+V26+V28</f>
        <v>3184875</v>
      </c>
      <c r="W21" s="272">
        <f t="shared" si="1"/>
        <v>3184875</v>
      </c>
      <c r="X21" s="272">
        <f>P21+W21</f>
        <v>3184875</v>
      </c>
    </row>
    <row r="22" spans="1:24" ht="15.75" x14ac:dyDescent="0.25">
      <c r="A22" s="342" t="s">
        <v>829</v>
      </c>
      <c r="B22" s="270"/>
      <c r="C22" s="270"/>
      <c r="D22" s="348">
        <f>SUM(D23)</f>
        <v>0</v>
      </c>
      <c r="E22" s="348">
        <f>SUM(E23)</f>
        <v>0</v>
      </c>
      <c r="F22" s="347"/>
      <c r="G22" s="345">
        <f>SUM(G23)</f>
        <v>0</v>
      </c>
      <c r="H22" s="345">
        <f>SUM(H23)</f>
        <v>2.1</v>
      </c>
      <c r="I22" s="345">
        <f t="shared" si="0"/>
        <v>2.1</v>
      </c>
      <c r="J22" s="268"/>
      <c r="K22" s="268"/>
      <c r="L22" s="352"/>
      <c r="M22" s="264"/>
      <c r="N22" s="263">
        <f>SUM(N23)</f>
        <v>0</v>
      </c>
      <c r="O22" s="345">
        <f>SUM(O23)</f>
        <v>0</v>
      </c>
      <c r="P22" s="345">
        <f>SUM(O22+N22)</f>
        <v>0</v>
      </c>
      <c r="Q22" s="345">
        <f>SUM(Q23)</f>
        <v>0</v>
      </c>
      <c r="R22" s="345">
        <f>SUM(R23)</f>
        <v>1.575</v>
      </c>
      <c r="S22" s="345">
        <f t="shared" ref="S22:S30" si="2">SUM(R22+Q22)</f>
        <v>1.575</v>
      </c>
      <c r="T22" s="263"/>
      <c r="U22" s="345">
        <f>SUM(U23)</f>
        <v>0</v>
      </c>
      <c r="V22" s="345">
        <f>SUM(V23)</f>
        <v>23625</v>
      </c>
      <c r="W22" s="263">
        <f t="shared" si="1"/>
        <v>23625</v>
      </c>
      <c r="X22" s="345">
        <f t="shared" ref="X22:X30" si="3">SUM(W22+P22)</f>
        <v>23625</v>
      </c>
    </row>
    <row r="23" spans="1:24" ht="15.75" x14ac:dyDescent="0.25">
      <c r="A23" s="342"/>
      <c r="B23" s="344" t="s">
        <v>713</v>
      </c>
      <c r="C23" s="344" t="s">
        <v>473</v>
      </c>
      <c r="D23" s="1570"/>
      <c r="E23" s="1570"/>
      <c r="F23" s="342" t="s">
        <v>474</v>
      </c>
      <c r="G23" s="337"/>
      <c r="H23" s="351">
        <v>2.1</v>
      </c>
      <c r="I23" s="337">
        <f t="shared" si="0"/>
        <v>2.1</v>
      </c>
      <c r="J23" s="351">
        <v>5</v>
      </c>
      <c r="K23" s="349">
        <f>J23-(J23*L23)</f>
        <v>4.25</v>
      </c>
      <c r="L23" s="350">
        <v>0.15</v>
      </c>
      <c r="M23" s="349"/>
      <c r="N23" s="349">
        <f>M23*L23*G23</f>
        <v>0</v>
      </c>
      <c r="O23" s="349"/>
      <c r="P23" s="349"/>
      <c r="Q23" s="349"/>
      <c r="R23" s="339">
        <f>SUM(L23*I23*J23)</f>
        <v>1.575</v>
      </c>
      <c r="S23" s="339">
        <f t="shared" si="2"/>
        <v>1.575</v>
      </c>
      <c r="T23" s="337">
        <v>15</v>
      </c>
      <c r="U23" s="337"/>
      <c r="V23" s="337">
        <f>SUM(S23*T23)*1000</f>
        <v>23625</v>
      </c>
      <c r="W23" s="338">
        <f t="shared" si="1"/>
        <v>23625</v>
      </c>
      <c r="X23" s="337">
        <f t="shared" si="3"/>
        <v>23625</v>
      </c>
    </row>
    <row r="24" spans="1:24" ht="15.75" x14ac:dyDescent="0.25">
      <c r="A24" s="342" t="s">
        <v>720</v>
      </c>
      <c r="B24" s="270"/>
      <c r="C24" s="270"/>
      <c r="D24" s="348">
        <f>SUM(D25)</f>
        <v>0</v>
      </c>
      <c r="E24" s="348">
        <f>SUM(E25)</f>
        <v>0</v>
      </c>
      <c r="F24" s="347"/>
      <c r="G24" s="345">
        <f>SUM(G25)</f>
        <v>0</v>
      </c>
      <c r="H24" s="345">
        <f>SUM(H25)</f>
        <v>120</v>
      </c>
      <c r="I24" s="345">
        <f t="shared" si="0"/>
        <v>120</v>
      </c>
      <c r="J24" s="268"/>
      <c r="K24" s="268"/>
      <c r="L24" s="352"/>
      <c r="M24" s="264"/>
      <c r="N24" s="263">
        <f>SUM(N25)</f>
        <v>0</v>
      </c>
      <c r="O24" s="345">
        <f>SUM(O25)</f>
        <v>0</v>
      </c>
      <c r="P24" s="345">
        <f>SUM(O24+N24)</f>
        <v>0</v>
      </c>
      <c r="Q24" s="345">
        <f>SUM(Q25)</f>
        <v>0</v>
      </c>
      <c r="R24" s="345">
        <f>SUM(R25)</f>
        <v>90</v>
      </c>
      <c r="S24" s="345">
        <f t="shared" si="2"/>
        <v>90</v>
      </c>
      <c r="T24" s="263"/>
      <c r="U24" s="345">
        <f>SUM(U25)</f>
        <v>0</v>
      </c>
      <c r="V24" s="345">
        <f>SUM(V25)</f>
        <v>1350000</v>
      </c>
      <c r="W24" s="263">
        <f t="shared" si="1"/>
        <v>1350000</v>
      </c>
      <c r="X24" s="345">
        <f t="shared" si="3"/>
        <v>1350000</v>
      </c>
    </row>
    <row r="25" spans="1:24" ht="15.75" x14ac:dyDescent="0.25">
      <c r="A25" s="342"/>
      <c r="B25" s="344" t="s">
        <v>713</v>
      </c>
      <c r="C25" s="344" t="s">
        <v>473</v>
      </c>
      <c r="D25" s="1570"/>
      <c r="E25" s="1570"/>
      <c r="F25" s="342" t="s">
        <v>474</v>
      </c>
      <c r="G25" s="337"/>
      <c r="H25" s="351">
        <v>120</v>
      </c>
      <c r="I25" s="337">
        <f t="shared" si="0"/>
        <v>120</v>
      </c>
      <c r="J25" s="351">
        <v>5</v>
      </c>
      <c r="K25" s="349">
        <f>J25-(J25*L25)</f>
        <v>4.25</v>
      </c>
      <c r="L25" s="350">
        <v>0.15</v>
      </c>
      <c r="M25" s="349"/>
      <c r="N25" s="349">
        <f>M25*L25*G25</f>
        <v>0</v>
      </c>
      <c r="O25" s="349"/>
      <c r="P25" s="349"/>
      <c r="Q25" s="349"/>
      <c r="R25" s="339">
        <f>SUM(L25*I25*J25)</f>
        <v>90</v>
      </c>
      <c r="S25" s="339">
        <f t="shared" si="2"/>
        <v>90</v>
      </c>
      <c r="T25" s="337">
        <v>15</v>
      </c>
      <c r="U25" s="337"/>
      <c r="V25" s="337">
        <f>SUM(S25*T25)*1000</f>
        <v>1350000</v>
      </c>
      <c r="W25" s="338">
        <f t="shared" si="1"/>
        <v>1350000</v>
      </c>
      <c r="X25" s="337">
        <f t="shared" si="3"/>
        <v>1350000</v>
      </c>
    </row>
    <row r="26" spans="1:24" ht="15.75" x14ac:dyDescent="0.25">
      <c r="A26" s="342" t="s">
        <v>570</v>
      </c>
      <c r="B26" s="270"/>
      <c r="C26" s="270"/>
      <c r="D26" s="348">
        <f>SUM(D27)</f>
        <v>0</v>
      </c>
      <c r="E26" s="348">
        <f>SUM(E27)</f>
        <v>0</v>
      </c>
      <c r="F26" s="347"/>
      <c r="G26" s="345">
        <f>SUM(G27)</f>
        <v>0</v>
      </c>
      <c r="H26" s="345">
        <f>SUM(H27)</f>
        <v>75</v>
      </c>
      <c r="I26" s="345">
        <f t="shared" si="0"/>
        <v>75</v>
      </c>
      <c r="J26" s="268"/>
      <c r="K26" s="268"/>
      <c r="L26" s="352"/>
      <c r="M26" s="264"/>
      <c r="N26" s="263">
        <f>SUM(N27)</f>
        <v>0</v>
      </c>
      <c r="O26" s="345">
        <f>SUM(O27)</f>
        <v>0</v>
      </c>
      <c r="P26" s="345">
        <f>SUM(O26+N26)</f>
        <v>0</v>
      </c>
      <c r="Q26" s="345">
        <f>SUM(Q27)</f>
        <v>0</v>
      </c>
      <c r="R26" s="345">
        <f>SUM(R27)</f>
        <v>56.25</v>
      </c>
      <c r="S26" s="345">
        <f t="shared" si="2"/>
        <v>56.25</v>
      </c>
      <c r="T26" s="263"/>
      <c r="U26" s="345">
        <f>SUM(U27)</f>
        <v>0</v>
      </c>
      <c r="V26" s="345">
        <f>SUM(V27)</f>
        <v>843750</v>
      </c>
      <c r="W26" s="263">
        <f t="shared" si="1"/>
        <v>843750</v>
      </c>
      <c r="X26" s="345">
        <f t="shared" si="3"/>
        <v>843750</v>
      </c>
    </row>
    <row r="27" spans="1:24" ht="15.75" x14ac:dyDescent="0.25">
      <c r="A27" s="342"/>
      <c r="B27" s="344" t="s">
        <v>713</v>
      </c>
      <c r="C27" s="344" t="s">
        <v>473</v>
      </c>
      <c r="D27" s="1570"/>
      <c r="E27" s="1570"/>
      <c r="F27" s="342" t="s">
        <v>474</v>
      </c>
      <c r="G27" s="337"/>
      <c r="H27" s="351">
        <v>75</v>
      </c>
      <c r="I27" s="337">
        <f t="shared" si="0"/>
        <v>75</v>
      </c>
      <c r="J27" s="351">
        <v>5</v>
      </c>
      <c r="K27" s="349">
        <f>J27-(J27*L27)</f>
        <v>4.25</v>
      </c>
      <c r="L27" s="350">
        <v>0.15</v>
      </c>
      <c r="M27" s="349"/>
      <c r="N27" s="349">
        <f>M27*L27*G27</f>
        <v>0</v>
      </c>
      <c r="O27" s="349"/>
      <c r="P27" s="349"/>
      <c r="Q27" s="349"/>
      <c r="R27" s="339">
        <f>SUM(L27*I27*J27)</f>
        <v>56.25</v>
      </c>
      <c r="S27" s="339">
        <f t="shared" si="2"/>
        <v>56.25</v>
      </c>
      <c r="T27" s="337">
        <v>15</v>
      </c>
      <c r="U27" s="337"/>
      <c r="V27" s="337">
        <f>SUM(S27*T27)*1000</f>
        <v>843750</v>
      </c>
      <c r="W27" s="338">
        <f t="shared" si="1"/>
        <v>843750</v>
      </c>
      <c r="X27" s="337">
        <f t="shared" si="3"/>
        <v>843750</v>
      </c>
    </row>
    <row r="28" spans="1:24" ht="15.75" x14ac:dyDescent="0.25">
      <c r="A28" s="342" t="s">
        <v>718</v>
      </c>
      <c r="B28" s="270"/>
      <c r="C28" s="270"/>
      <c r="D28" s="348">
        <f>SUM(D29)</f>
        <v>0</v>
      </c>
      <c r="E28" s="348">
        <f>SUM(E29)</f>
        <v>0</v>
      </c>
      <c r="F28" s="347"/>
      <c r="G28" s="345">
        <f>SUM(G29:G30)</f>
        <v>2</v>
      </c>
      <c r="H28" s="345">
        <f>SUM(H29:H30)</f>
        <v>86</v>
      </c>
      <c r="I28" s="345">
        <f t="shared" si="0"/>
        <v>88</v>
      </c>
      <c r="J28" s="268"/>
      <c r="K28" s="268"/>
      <c r="L28" s="352"/>
      <c r="M28" s="264"/>
      <c r="N28" s="263">
        <f>SUM(N29)</f>
        <v>0</v>
      </c>
      <c r="O28" s="345">
        <f>SUM(O29)</f>
        <v>0</v>
      </c>
      <c r="P28" s="345">
        <f>SUM(O28+N28)</f>
        <v>0</v>
      </c>
      <c r="Q28" s="345">
        <f>SUM(Q29:Q30)</f>
        <v>10</v>
      </c>
      <c r="R28" s="345">
        <f>SUM(R29:R30)</f>
        <v>64.5</v>
      </c>
      <c r="S28" s="345">
        <f t="shared" si="2"/>
        <v>74.5</v>
      </c>
      <c r="T28" s="263"/>
      <c r="U28" s="345">
        <f>SUM(U29)</f>
        <v>0</v>
      </c>
      <c r="V28" s="345">
        <f>SUM(V29:V30)</f>
        <v>967500</v>
      </c>
      <c r="W28" s="263">
        <f t="shared" si="1"/>
        <v>967500</v>
      </c>
      <c r="X28" s="345">
        <f t="shared" si="3"/>
        <v>967500</v>
      </c>
    </row>
    <row r="29" spans="1:24" ht="15.75" x14ac:dyDescent="0.25">
      <c r="A29" s="342"/>
      <c r="B29" s="344" t="s">
        <v>713</v>
      </c>
      <c r="C29" s="344" t="s">
        <v>473</v>
      </c>
      <c r="D29" s="1570"/>
      <c r="E29" s="1570"/>
      <c r="F29" s="342" t="s">
        <v>474</v>
      </c>
      <c r="G29" s="337"/>
      <c r="H29" s="351">
        <v>86</v>
      </c>
      <c r="I29" s="337">
        <f t="shared" si="0"/>
        <v>86</v>
      </c>
      <c r="J29" s="351">
        <v>5</v>
      </c>
      <c r="K29" s="349">
        <f>J29-(J29*L29)</f>
        <v>4.25</v>
      </c>
      <c r="L29" s="350">
        <v>0.15</v>
      </c>
      <c r="M29" s="349"/>
      <c r="N29" s="349">
        <f>M29*L29*G29</f>
        <v>0</v>
      </c>
      <c r="O29" s="349"/>
      <c r="P29" s="349"/>
      <c r="Q29" s="349"/>
      <c r="R29" s="339">
        <f>SUM(L29*I29*J29)</f>
        <v>64.5</v>
      </c>
      <c r="S29" s="339">
        <f t="shared" si="2"/>
        <v>64.5</v>
      </c>
      <c r="T29" s="337">
        <v>15</v>
      </c>
      <c r="U29" s="337"/>
      <c r="V29" s="337">
        <f>SUM(S29*T29)*1000</f>
        <v>967500</v>
      </c>
      <c r="W29" s="338">
        <f t="shared" si="1"/>
        <v>967500</v>
      </c>
      <c r="X29" s="337">
        <f t="shared" si="3"/>
        <v>967500</v>
      </c>
    </row>
    <row r="30" spans="1:24" ht="15.75" x14ac:dyDescent="0.25">
      <c r="A30" s="342"/>
      <c r="B30" s="344" t="s">
        <v>713</v>
      </c>
      <c r="C30" s="344" t="s">
        <v>473</v>
      </c>
      <c r="D30" s="1570"/>
      <c r="E30" s="1570"/>
      <c r="F30" s="342" t="s">
        <v>474</v>
      </c>
      <c r="G30" s="337">
        <v>2</v>
      </c>
      <c r="H30" s="351"/>
      <c r="I30" s="337">
        <f t="shared" si="0"/>
        <v>2</v>
      </c>
      <c r="J30" s="351">
        <v>5</v>
      </c>
      <c r="K30" s="349">
        <f>J30-(J30*L30)</f>
        <v>0</v>
      </c>
      <c r="L30" s="350">
        <v>1</v>
      </c>
      <c r="M30" s="349"/>
      <c r="N30" s="349">
        <f>M30*L30*G30</f>
        <v>0</v>
      </c>
      <c r="O30" s="349"/>
      <c r="P30" s="349"/>
      <c r="Q30" s="349">
        <f>SUM(L30*J30*G30)</f>
        <v>10</v>
      </c>
      <c r="R30" s="339"/>
      <c r="S30" s="339">
        <f t="shared" si="2"/>
        <v>10</v>
      </c>
      <c r="T30" s="337">
        <v>15</v>
      </c>
      <c r="U30" s="337">
        <f>S30*T30*1000</f>
        <v>150000</v>
      </c>
      <c r="V30" s="337"/>
      <c r="W30" s="338">
        <f t="shared" si="1"/>
        <v>150000</v>
      </c>
      <c r="X30" s="337">
        <f t="shared" si="3"/>
        <v>150000</v>
      </c>
    </row>
    <row r="31" spans="1:24" x14ac:dyDescent="0.25">
      <c r="A31" s="279" t="s">
        <v>478</v>
      </c>
      <c r="B31" s="278"/>
      <c r="C31" s="278"/>
      <c r="D31" s="272">
        <f>D32+D35+D40+D38+D43+D52+D47+D56+D59+D72+D77+D82+D88+D90+D95+D97+D100+D103+D107+D111</f>
        <v>4539</v>
      </c>
      <c r="E31" s="272">
        <f>E32+E35+E40+E38+E43+E52+E47+E56+E59+E72+E77+E82+E88+E90+E95+E97+E100+E103+E107+E111</f>
        <v>20219.849999999999</v>
      </c>
      <c r="F31" s="276"/>
      <c r="G31" s="272">
        <f>G32+G35+G40+G38+G43+G52+G47+G56+G59+G72+G77+G82+G88+G90+G95+G97+G100+G103+G107+G111</f>
        <v>274.84000000000003</v>
      </c>
      <c r="H31" s="272">
        <f>H32+H35+H40+H38+H43+H52+H47+H56+H59+H72+H77+H82+H88+H90+H95+H97+H100+H103+H107+H111</f>
        <v>4912.03</v>
      </c>
      <c r="I31" s="272">
        <f t="shared" si="0"/>
        <v>5186.87</v>
      </c>
      <c r="J31" s="272"/>
      <c r="K31" s="272"/>
      <c r="L31" s="355"/>
      <c r="M31" s="273"/>
      <c r="N31" s="272">
        <f>N32+N35+N40+N38+N43+N52+N47+N56+N59+N72+N77+N82+N88+N90+N95+N97+N100+N103+N107+N111</f>
        <v>2426320</v>
      </c>
      <c r="O31" s="272">
        <f>O32+O35+O40+O38+O43+O52+O47+O56+O59+O72+O77+O82+O88+O90+O95+O97+O100+O103+O107+O111</f>
        <v>3273135</v>
      </c>
      <c r="P31" s="272">
        <f>N31+O31</f>
        <v>5699455</v>
      </c>
      <c r="Q31" s="272">
        <f>Q32+Q35+Q40+Q38+Q43+Q52+Q47+Q56+Q59+Q72+Q77+Q82+Q88+Q90+Q95+Q97+Q100+Q103+Q107+Q111</f>
        <v>0</v>
      </c>
      <c r="R31" s="272">
        <f>R32+R35+R40+R38+R43+R52+R47+R56+R59+R72+R77+R82+R88+R90+R95+R97+R100+R103+R107+R111</f>
        <v>2623.1381999999999</v>
      </c>
      <c r="S31" s="272">
        <f>Q31+R31</f>
        <v>2623.1381999999999</v>
      </c>
      <c r="T31" s="272"/>
      <c r="U31" s="272">
        <f>U32+U35+U40+U38+U43+U52+U47+U56+U59+U72+U77+U82+U88+U90+U95+U97+U100+U103+U107+U111</f>
        <v>0</v>
      </c>
      <c r="V31" s="272">
        <f>V32+V35+V40+V38+V43+V52+V47+V56+V59+V72+V77+V82+V88+V90+V95+V97+V100+V103+V107+V111</f>
        <v>41466997.350000001</v>
      </c>
      <c r="W31" s="272">
        <f t="shared" si="1"/>
        <v>41466997.350000001</v>
      </c>
      <c r="X31" s="272">
        <f>P31+W31</f>
        <v>47166452.350000001</v>
      </c>
    </row>
    <row r="32" spans="1:24" ht="15.75" x14ac:dyDescent="0.25">
      <c r="A32" s="342" t="s">
        <v>479</v>
      </c>
      <c r="B32" s="270"/>
      <c r="C32" s="270"/>
      <c r="D32" s="348">
        <f>SUM(D33:D34)</f>
        <v>52</v>
      </c>
      <c r="E32" s="348">
        <f>SUM(E33)</f>
        <v>396</v>
      </c>
      <c r="F32" s="347"/>
      <c r="G32" s="348">
        <f>SUM(G33:G34)</f>
        <v>0</v>
      </c>
      <c r="H32" s="348">
        <f>SUM(H33:H34)</f>
        <v>49.7</v>
      </c>
      <c r="I32" s="345">
        <f t="shared" si="0"/>
        <v>49.7</v>
      </c>
      <c r="J32" s="268"/>
      <c r="K32" s="268"/>
      <c r="L32" s="352"/>
      <c r="M32" s="264"/>
      <c r="N32" s="348">
        <f>SUM(N33:N34)</f>
        <v>0</v>
      </c>
      <c r="O32" s="348">
        <f>SUM(O33:O34)</f>
        <v>0</v>
      </c>
      <c r="P32" s="345">
        <f>SUM(O32+N32)</f>
        <v>0</v>
      </c>
      <c r="Q32" s="348">
        <f>SUM(Q33:Q34)</f>
        <v>0</v>
      </c>
      <c r="R32" s="348">
        <f>SUM(R33:R34)</f>
        <v>79.415000000000006</v>
      </c>
      <c r="S32" s="345">
        <f t="shared" ref="S32:S63" si="4">SUM(R32+Q32)</f>
        <v>79.415000000000006</v>
      </c>
      <c r="T32" s="263"/>
      <c r="U32" s="348">
        <f>SUM(U33:U34)</f>
        <v>0</v>
      </c>
      <c r="V32" s="348">
        <f>SUM(V33:V34)</f>
        <v>1270640</v>
      </c>
      <c r="W32" s="263">
        <f t="shared" si="1"/>
        <v>1270640</v>
      </c>
      <c r="X32" s="345">
        <f t="shared" ref="X32:X63" si="5">SUM(W32+P32)</f>
        <v>1270640</v>
      </c>
    </row>
    <row r="33" spans="1:24" ht="15.75" x14ac:dyDescent="0.25">
      <c r="A33" s="342"/>
      <c r="B33" s="344" t="s">
        <v>716</v>
      </c>
      <c r="C33" s="344" t="s">
        <v>473</v>
      </c>
      <c r="D33" s="1570">
        <v>35</v>
      </c>
      <c r="E33" s="1855">
        <v>396</v>
      </c>
      <c r="F33" s="342" t="s">
        <v>586</v>
      </c>
      <c r="G33" s="337"/>
      <c r="H33" s="351">
        <v>33.200000000000003</v>
      </c>
      <c r="I33" s="337">
        <f t="shared" si="0"/>
        <v>33.200000000000003</v>
      </c>
      <c r="J33" s="351">
        <v>4.3</v>
      </c>
      <c r="K33" s="349">
        <f>J33-(J33*L33)</f>
        <v>3.2249999999999996</v>
      </c>
      <c r="L33" s="350">
        <v>0.25</v>
      </c>
      <c r="M33" s="349"/>
      <c r="N33" s="349">
        <f>M33*L33*G33</f>
        <v>0</v>
      </c>
      <c r="O33" s="349"/>
      <c r="P33" s="349"/>
      <c r="Q33" s="349"/>
      <c r="R33" s="339">
        <f>SUM(L33*I33*J33)</f>
        <v>35.690000000000005</v>
      </c>
      <c r="S33" s="339">
        <f t="shared" si="4"/>
        <v>35.690000000000005</v>
      </c>
      <c r="T33" s="337">
        <v>16</v>
      </c>
      <c r="U33" s="337"/>
      <c r="V33" s="337">
        <f>SUM(S33*T33)*1000</f>
        <v>571040.00000000012</v>
      </c>
      <c r="W33" s="338">
        <f t="shared" si="1"/>
        <v>571040.00000000012</v>
      </c>
      <c r="X33" s="337">
        <f t="shared" si="5"/>
        <v>571040.00000000012</v>
      </c>
    </row>
    <row r="34" spans="1:24" ht="15.75" x14ac:dyDescent="0.25">
      <c r="A34" s="342"/>
      <c r="B34" s="344" t="s">
        <v>713</v>
      </c>
      <c r="C34" s="344" t="s">
        <v>1148</v>
      </c>
      <c r="D34" s="1570">
        <v>17</v>
      </c>
      <c r="E34" s="1856"/>
      <c r="F34" s="342" t="s">
        <v>586</v>
      </c>
      <c r="G34" s="337"/>
      <c r="H34" s="351">
        <v>16.5</v>
      </c>
      <c r="I34" s="337">
        <f t="shared" si="0"/>
        <v>16.5</v>
      </c>
      <c r="J34" s="351">
        <v>5.3</v>
      </c>
      <c r="K34" s="349">
        <f>J34-(J34*L34)</f>
        <v>2.65</v>
      </c>
      <c r="L34" s="350">
        <v>0.5</v>
      </c>
      <c r="M34" s="349"/>
      <c r="N34" s="349">
        <f>M34*L34*G34</f>
        <v>0</v>
      </c>
      <c r="O34" s="349"/>
      <c r="P34" s="349"/>
      <c r="Q34" s="349"/>
      <c r="R34" s="339">
        <f>SUM(L34*I34*J34)</f>
        <v>43.725000000000001</v>
      </c>
      <c r="S34" s="339">
        <f t="shared" si="4"/>
        <v>43.725000000000001</v>
      </c>
      <c r="T34" s="337">
        <v>16</v>
      </c>
      <c r="U34" s="337"/>
      <c r="V34" s="337">
        <f>SUM(S34*T34)*1000</f>
        <v>699600</v>
      </c>
      <c r="W34" s="338">
        <f t="shared" si="1"/>
        <v>699600</v>
      </c>
      <c r="X34" s="337">
        <f t="shared" si="5"/>
        <v>699600</v>
      </c>
    </row>
    <row r="35" spans="1:24" ht="15.75" x14ac:dyDescent="0.25">
      <c r="A35" s="342" t="s">
        <v>570</v>
      </c>
      <c r="B35" s="270"/>
      <c r="C35" s="270"/>
      <c r="D35" s="348">
        <f>SUM(D36:D37)</f>
        <v>420</v>
      </c>
      <c r="E35" s="348">
        <f>SUM(E36)</f>
        <v>630</v>
      </c>
      <c r="F35" s="347"/>
      <c r="G35" s="348">
        <f>SUM(G36:G37)</f>
        <v>0</v>
      </c>
      <c r="H35" s="348">
        <f>SUM(H36:H37)</f>
        <v>225</v>
      </c>
      <c r="I35" s="345">
        <f t="shared" si="0"/>
        <v>225</v>
      </c>
      <c r="J35" s="268"/>
      <c r="K35" s="268"/>
      <c r="L35" s="352"/>
      <c r="M35" s="264"/>
      <c r="N35" s="348">
        <f>SUM(N36:N37)</f>
        <v>0</v>
      </c>
      <c r="O35" s="348">
        <f>SUM(O36:O37)</f>
        <v>0</v>
      </c>
      <c r="P35" s="345">
        <f>SUM(O35+N35)</f>
        <v>0</v>
      </c>
      <c r="Q35" s="348">
        <f>SUM(Q36:Q37)</f>
        <v>0</v>
      </c>
      <c r="R35" s="348">
        <f>SUM(R36:R37)</f>
        <v>50.725000000000001</v>
      </c>
      <c r="S35" s="345">
        <f t="shared" si="4"/>
        <v>50.725000000000001</v>
      </c>
      <c r="T35" s="263"/>
      <c r="U35" s="348">
        <f>SUM(U36:U37)</f>
        <v>0</v>
      </c>
      <c r="V35" s="348">
        <f>SUM(V36:V37)</f>
        <v>786237.50000000012</v>
      </c>
      <c r="W35" s="263">
        <f t="shared" si="1"/>
        <v>786237.50000000012</v>
      </c>
      <c r="X35" s="345">
        <f t="shared" si="5"/>
        <v>786237.50000000012</v>
      </c>
    </row>
    <row r="36" spans="1:24" ht="15.75" x14ac:dyDescent="0.25">
      <c r="A36" s="342"/>
      <c r="B36" s="344" t="s">
        <v>713</v>
      </c>
      <c r="C36" s="344" t="s">
        <v>1148</v>
      </c>
      <c r="D36" s="1850">
        <v>420</v>
      </c>
      <c r="E36" s="1850">
        <v>630</v>
      </c>
      <c r="F36" s="342" t="s">
        <v>501</v>
      </c>
      <c r="G36" s="337"/>
      <c r="H36" s="351">
        <v>47</v>
      </c>
      <c r="I36" s="337">
        <f t="shared" si="0"/>
        <v>47</v>
      </c>
      <c r="J36" s="351">
        <v>5.3</v>
      </c>
      <c r="K36" s="349">
        <f>J36-(J36*L36)</f>
        <v>5.0350000000000001</v>
      </c>
      <c r="L36" s="350">
        <v>0.05</v>
      </c>
      <c r="M36" s="349"/>
      <c r="N36" s="349">
        <f>M36*L36*G36</f>
        <v>0</v>
      </c>
      <c r="O36" s="349"/>
      <c r="P36" s="349"/>
      <c r="Q36" s="349"/>
      <c r="R36" s="339">
        <f>SUM(L36*I36*J36)</f>
        <v>12.455</v>
      </c>
      <c r="S36" s="339">
        <f t="shared" si="4"/>
        <v>12.455</v>
      </c>
      <c r="T36" s="337">
        <v>15.5</v>
      </c>
      <c r="U36" s="337"/>
      <c r="V36" s="337">
        <f>SUM(S36*T36)*1000</f>
        <v>193052.5</v>
      </c>
      <c r="W36" s="338">
        <f t="shared" si="1"/>
        <v>193052.5</v>
      </c>
      <c r="X36" s="337">
        <f t="shared" si="5"/>
        <v>193052.5</v>
      </c>
    </row>
    <row r="37" spans="1:24" ht="15.75" x14ac:dyDescent="0.25">
      <c r="A37" s="342"/>
      <c r="B37" s="344" t="s">
        <v>713</v>
      </c>
      <c r="C37" s="344" t="s">
        <v>1149</v>
      </c>
      <c r="D37" s="1852"/>
      <c r="E37" s="1852"/>
      <c r="F37" s="342" t="s">
        <v>501</v>
      </c>
      <c r="G37" s="337"/>
      <c r="H37" s="351">
        <v>178</v>
      </c>
      <c r="I37" s="337">
        <f t="shared" si="0"/>
        <v>178</v>
      </c>
      <c r="J37" s="351">
        <v>4.3</v>
      </c>
      <c r="K37" s="349">
        <f>J37-(J37*L37)</f>
        <v>4.085</v>
      </c>
      <c r="L37" s="350">
        <v>0.05</v>
      </c>
      <c r="M37" s="349"/>
      <c r="N37" s="349"/>
      <c r="O37" s="349"/>
      <c r="P37" s="349"/>
      <c r="Q37" s="349"/>
      <c r="R37" s="339">
        <f>SUM(L37*I37*J37)</f>
        <v>38.270000000000003</v>
      </c>
      <c r="S37" s="339">
        <f t="shared" si="4"/>
        <v>38.270000000000003</v>
      </c>
      <c r="T37" s="337">
        <v>15.5</v>
      </c>
      <c r="U37" s="337"/>
      <c r="V37" s="337">
        <f>SUM(S37*T37)*1000</f>
        <v>593185.00000000012</v>
      </c>
      <c r="W37" s="338">
        <f t="shared" si="1"/>
        <v>593185.00000000012</v>
      </c>
      <c r="X37" s="337">
        <f t="shared" si="5"/>
        <v>593185.00000000012</v>
      </c>
    </row>
    <row r="38" spans="1:24" ht="15.75" x14ac:dyDescent="0.25">
      <c r="A38" s="342" t="s">
        <v>614</v>
      </c>
      <c r="B38" s="270"/>
      <c r="C38" s="270"/>
      <c r="D38" s="348">
        <f>D39</f>
        <v>0</v>
      </c>
      <c r="E38" s="348">
        <f>E39</f>
        <v>0</v>
      </c>
      <c r="F38" s="347"/>
      <c r="G38" s="345">
        <f>G39</f>
        <v>0</v>
      </c>
      <c r="H38" s="345">
        <f>H39</f>
        <v>37.380000000000003</v>
      </c>
      <c r="I38" s="345">
        <f t="shared" si="0"/>
        <v>37.380000000000003</v>
      </c>
      <c r="J38" s="268"/>
      <c r="K38" s="268"/>
      <c r="L38" s="352"/>
      <c r="M38" s="264"/>
      <c r="N38" s="263">
        <f>N39</f>
        <v>0</v>
      </c>
      <c r="O38" s="345">
        <f>O39</f>
        <v>0</v>
      </c>
      <c r="P38" s="345">
        <f>SUM(O38+N38)</f>
        <v>0</v>
      </c>
      <c r="Q38" s="345">
        <f>Q39</f>
        <v>0</v>
      </c>
      <c r="R38" s="345">
        <f>R39</f>
        <v>8.0366999999999997</v>
      </c>
      <c r="S38" s="345">
        <f t="shared" si="4"/>
        <v>8.0366999999999997</v>
      </c>
      <c r="T38" s="263"/>
      <c r="U38" s="345">
        <f>U39</f>
        <v>0</v>
      </c>
      <c r="V38" s="345">
        <f>V39</f>
        <v>124568.84999999999</v>
      </c>
      <c r="W38" s="263">
        <f t="shared" si="1"/>
        <v>124568.84999999999</v>
      </c>
      <c r="X38" s="345">
        <f t="shared" si="5"/>
        <v>124568.84999999999</v>
      </c>
    </row>
    <row r="39" spans="1:24" ht="15.75" x14ac:dyDescent="0.25">
      <c r="A39" s="342"/>
      <c r="B39" s="344" t="s">
        <v>713</v>
      </c>
      <c r="C39" s="344" t="s">
        <v>1149</v>
      </c>
      <c r="D39" s="348"/>
      <c r="E39" s="348"/>
      <c r="F39" s="342" t="s">
        <v>501</v>
      </c>
      <c r="G39" s="337"/>
      <c r="H39" s="351">
        <v>37.380000000000003</v>
      </c>
      <c r="I39" s="337">
        <f t="shared" si="0"/>
        <v>37.380000000000003</v>
      </c>
      <c r="J39" s="351">
        <v>4.3</v>
      </c>
      <c r="K39" s="349">
        <f>J39-(J39*L39)</f>
        <v>4.085</v>
      </c>
      <c r="L39" s="350">
        <v>0.05</v>
      </c>
      <c r="M39" s="349"/>
      <c r="N39" s="349"/>
      <c r="O39" s="349"/>
      <c r="P39" s="349"/>
      <c r="Q39" s="349"/>
      <c r="R39" s="339">
        <f>SUM(L39*I39*J39)</f>
        <v>8.0366999999999997</v>
      </c>
      <c r="S39" s="339">
        <f t="shared" si="4"/>
        <v>8.0366999999999997</v>
      </c>
      <c r="T39" s="337">
        <v>15.5</v>
      </c>
      <c r="U39" s="337"/>
      <c r="V39" s="337">
        <f>SUM(S39*T39)*1000</f>
        <v>124568.84999999999</v>
      </c>
      <c r="W39" s="338">
        <f t="shared" si="1"/>
        <v>124568.84999999999</v>
      </c>
      <c r="X39" s="337">
        <f t="shared" si="5"/>
        <v>124568.84999999999</v>
      </c>
    </row>
    <row r="40" spans="1:24" ht="15.75" x14ac:dyDescent="0.25">
      <c r="A40" s="342" t="s">
        <v>618</v>
      </c>
      <c r="B40" s="270"/>
      <c r="C40" s="270"/>
      <c r="D40" s="348">
        <f>SUM(D41:D42)</f>
        <v>16</v>
      </c>
      <c r="E40" s="348">
        <f>SUM(E41:E42)</f>
        <v>2512</v>
      </c>
      <c r="F40" s="347"/>
      <c r="G40" s="348">
        <f>SUM(G41:G42)</f>
        <v>0</v>
      </c>
      <c r="H40" s="348">
        <f>SUM(H41:H42)</f>
        <v>25</v>
      </c>
      <c r="I40" s="345">
        <f t="shared" si="0"/>
        <v>25</v>
      </c>
      <c r="J40" s="268"/>
      <c r="K40" s="268"/>
      <c r="L40" s="352"/>
      <c r="M40" s="264"/>
      <c r="N40" s="348">
        <f>SUM(N41:N42)</f>
        <v>0</v>
      </c>
      <c r="O40" s="348">
        <f>SUM(O41:O42)</f>
        <v>1750</v>
      </c>
      <c r="P40" s="345">
        <f>SUM(O40+N40)</f>
        <v>1750</v>
      </c>
      <c r="Q40" s="348">
        <f>SUM(Q41:Q42)</f>
        <v>0</v>
      </c>
      <c r="R40" s="348">
        <f>SUM(R41:R42)</f>
        <v>4.3</v>
      </c>
      <c r="S40" s="345">
        <f t="shared" si="4"/>
        <v>4.3</v>
      </c>
      <c r="T40" s="263"/>
      <c r="U40" s="348">
        <f>SUM(U41:U42)</f>
        <v>0</v>
      </c>
      <c r="V40" s="348">
        <f>SUM(V41:V42)</f>
        <v>66649.999999999985</v>
      </c>
      <c r="W40" s="263">
        <f t="shared" si="1"/>
        <v>66649.999999999985</v>
      </c>
      <c r="X40" s="345">
        <f t="shared" si="5"/>
        <v>68399.999999999985</v>
      </c>
    </row>
    <row r="41" spans="1:24" ht="15.75" x14ac:dyDescent="0.25">
      <c r="A41" s="342"/>
      <c r="B41" s="344" t="s">
        <v>713</v>
      </c>
      <c r="C41" s="344" t="s">
        <v>1150</v>
      </c>
      <c r="D41" s="348"/>
      <c r="E41" s="348"/>
      <c r="F41" s="342" t="s">
        <v>501</v>
      </c>
      <c r="G41" s="337"/>
      <c r="H41" s="351">
        <v>20</v>
      </c>
      <c r="I41" s="337">
        <f t="shared" si="0"/>
        <v>20</v>
      </c>
      <c r="J41" s="351">
        <v>4.3</v>
      </c>
      <c r="K41" s="349">
        <f>J41-(J41*L41)</f>
        <v>4.085</v>
      </c>
      <c r="L41" s="350">
        <v>0.05</v>
      </c>
      <c r="M41" s="349"/>
      <c r="N41" s="349"/>
      <c r="O41" s="349"/>
      <c r="P41" s="349"/>
      <c r="Q41" s="349"/>
      <c r="R41" s="339">
        <f>SUM(L41*I41*J41)</f>
        <v>4.3</v>
      </c>
      <c r="S41" s="339">
        <f t="shared" si="4"/>
        <v>4.3</v>
      </c>
      <c r="T41" s="337">
        <v>15.5</v>
      </c>
      <c r="U41" s="337"/>
      <c r="V41" s="337">
        <f>SUM(S41*T41)*1000</f>
        <v>66649.999999999985</v>
      </c>
      <c r="W41" s="338">
        <f t="shared" si="1"/>
        <v>66649.999999999985</v>
      </c>
      <c r="X41" s="337">
        <f t="shared" si="5"/>
        <v>66649.999999999985</v>
      </c>
    </row>
    <row r="42" spans="1:24" ht="15.75" x14ac:dyDescent="0.25">
      <c r="A42" s="342"/>
      <c r="B42" s="344" t="s">
        <v>713</v>
      </c>
      <c r="C42" s="344" t="s">
        <v>1150</v>
      </c>
      <c r="D42" s="1570">
        <v>16</v>
      </c>
      <c r="E42" s="353">
        <v>2512</v>
      </c>
      <c r="F42" s="342" t="s">
        <v>1151</v>
      </c>
      <c r="G42" s="337"/>
      <c r="H42" s="351">
        <v>5</v>
      </c>
      <c r="I42" s="337">
        <f t="shared" si="0"/>
        <v>5</v>
      </c>
      <c r="J42" s="351">
        <v>4.3</v>
      </c>
      <c r="K42" s="349">
        <f>J42-(J42*L42)</f>
        <v>3.8699999999999997</v>
      </c>
      <c r="L42" s="350">
        <v>0.1</v>
      </c>
      <c r="M42" s="349">
        <v>3500</v>
      </c>
      <c r="N42" s="349">
        <f>M42*L42*G42</f>
        <v>0</v>
      </c>
      <c r="O42" s="349">
        <f>M42*L42*I42</f>
        <v>1750</v>
      </c>
      <c r="P42" s="349">
        <f>N42+O42</f>
        <v>1750</v>
      </c>
      <c r="Q42" s="349"/>
      <c r="R42" s="339"/>
      <c r="S42" s="339">
        <f t="shared" si="4"/>
        <v>0</v>
      </c>
      <c r="T42" s="337"/>
      <c r="U42" s="337"/>
      <c r="V42" s="337">
        <f>SUM(S42*T42)*1000</f>
        <v>0</v>
      </c>
      <c r="W42" s="338">
        <f t="shared" si="1"/>
        <v>0</v>
      </c>
      <c r="X42" s="337">
        <f t="shared" si="5"/>
        <v>1750</v>
      </c>
    </row>
    <row r="43" spans="1:24" ht="15.75" x14ac:dyDescent="0.25">
      <c r="A43" s="342" t="s">
        <v>613</v>
      </c>
      <c r="B43" s="270"/>
      <c r="C43" s="270"/>
      <c r="D43" s="348">
        <f>SUM(D44:D46)</f>
        <v>55</v>
      </c>
      <c r="E43" s="348">
        <f>SUM(E44)</f>
        <v>118</v>
      </c>
      <c r="F43" s="347"/>
      <c r="G43" s="348">
        <f>SUM(G44:G46)</f>
        <v>0</v>
      </c>
      <c r="H43" s="348">
        <f>SUM(H44:H46)</f>
        <v>65</v>
      </c>
      <c r="I43" s="345">
        <f t="shared" si="0"/>
        <v>65</v>
      </c>
      <c r="J43" s="268"/>
      <c r="K43" s="268"/>
      <c r="L43" s="352"/>
      <c r="M43" s="264"/>
      <c r="N43" s="348">
        <f>SUM(N44:N46)</f>
        <v>0</v>
      </c>
      <c r="O43" s="348">
        <f>SUM(O44:O46)</f>
        <v>0</v>
      </c>
      <c r="P43" s="345">
        <f>SUM(O43+N43)</f>
        <v>0</v>
      </c>
      <c r="Q43" s="348">
        <f>SUM(Q44:Q46)</f>
        <v>0</v>
      </c>
      <c r="R43" s="348">
        <f>SUM(R44:R46)</f>
        <v>58.300000000000004</v>
      </c>
      <c r="S43" s="345">
        <f t="shared" si="4"/>
        <v>58.300000000000004</v>
      </c>
      <c r="T43" s="263"/>
      <c r="U43" s="348">
        <f>SUM(U44:U46)</f>
        <v>0</v>
      </c>
      <c r="V43" s="348">
        <f>SUM(V44:V46)</f>
        <v>874500</v>
      </c>
      <c r="W43" s="263">
        <f t="shared" si="1"/>
        <v>874500</v>
      </c>
      <c r="X43" s="345">
        <f t="shared" si="5"/>
        <v>874500</v>
      </c>
    </row>
    <row r="44" spans="1:24" ht="15.75" x14ac:dyDescent="0.25">
      <c r="A44" s="342"/>
      <c r="B44" s="344" t="s">
        <v>713</v>
      </c>
      <c r="C44" s="344" t="s">
        <v>1148</v>
      </c>
      <c r="D44" s="354">
        <v>10</v>
      </c>
      <c r="E44" s="1850">
        <v>118</v>
      </c>
      <c r="F44" s="342" t="s">
        <v>474</v>
      </c>
      <c r="G44" s="337"/>
      <c r="H44" s="351">
        <v>12</v>
      </c>
      <c r="I44" s="337">
        <f t="shared" si="0"/>
        <v>12</v>
      </c>
      <c r="J44" s="351">
        <v>5.3</v>
      </c>
      <c r="K44" s="349">
        <f>J44-(J44*L44)</f>
        <v>4.24</v>
      </c>
      <c r="L44" s="350">
        <v>0.2</v>
      </c>
      <c r="M44" s="349"/>
      <c r="N44" s="349">
        <f>M44*L44*G44</f>
        <v>0</v>
      </c>
      <c r="O44" s="349"/>
      <c r="P44" s="349"/>
      <c r="Q44" s="349"/>
      <c r="R44" s="339">
        <f>SUM(L44*I44*J44)</f>
        <v>12.72</v>
      </c>
      <c r="S44" s="339">
        <f t="shared" si="4"/>
        <v>12.72</v>
      </c>
      <c r="T44" s="337">
        <v>15</v>
      </c>
      <c r="U44" s="337"/>
      <c r="V44" s="337">
        <f>SUM(S44*T44)*1000</f>
        <v>190800</v>
      </c>
      <c r="W44" s="338">
        <f t="shared" si="1"/>
        <v>190800</v>
      </c>
      <c r="X44" s="337">
        <f t="shared" si="5"/>
        <v>190800</v>
      </c>
    </row>
    <row r="45" spans="1:24" ht="15.75" x14ac:dyDescent="0.25">
      <c r="A45" s="342"/>
      <c r="B45" s="344" t="s">
        <v>713</v>
      </c>
      <c r="C45" s="344" t="s">
        <v>1149</v>
      </c>
      <c r="D45" s="354">
        <v>25</v>
      </c>
      <c r="E45" s="1851"/>
      <c r="F45" s="342" t="s">
        <v>474</v>
      </c>
      <c r="G45" s="337"/>
      <c r="H45" s="351">
        <v>28</v>
      </c>
      <c r="I45" s="337">
        <f t="shared" si="0"/>
        <v>28</v>
      </c>
      <c r="J45" s="351">
        <v>4.3</v>
      </c>
      <c r="K45" s="349">
        <f>J45-(J45*L45)</f>
        <v>3.44</v>
      </c>
      <c r="L45" s="350">
        <v>0.2</v>
      </c>
      <c r="M45" s="349"/>
      <c r="N45" s="349"/>
      <c r="O45" s="349"/>
      <c r="P45" s="349"/>
      <c r="Q45" s="349"/>
      <c r="R45" s="339">
        <f>SUM(L45*I45*J45)</f>
        <v>24.080000000000002</v>
      </c>
      <c r="S45" s="339">
        <f t="shared" si="4"/>
        <v>24.080000000000002</v>
      </c>
      <c r="T45" s="337">
        <v>15</v>
      </c>
      <c r="U45" s="337"/>
      <c r="V45" s="337">
        <f>SUM(S45*T45)*1000</f>
        <v>361200.00000000006</v>
      </c>
      <c r="W45" s="338">
        <f t="shared" si="1"/>
        <v>361200.00000000006</v>
      </c>
      <c r="X45" s="337">
        <f t="shared" si="5"/>
        <v>361200.00000000006</v>
      </c>
    </row>
    <row r="46" spans="1:24" ht="15.75" x14ac:dyDescent="0.25">
      <c r="A46" s="342"/>
      <c r="B46" s="344" t="s">
        <v>716</v>
      </c>
      <c r="C46" s="344" t="s">
        <v>1149</v>
      </c>
      <c r="D46" s="354">
        <v>20</v>
      </c>
      <c r="E46" s="1852"/>
      <c r="F46" s="342" t="s">
        <v>474</v>
      </c>
      <c r="G46" s="337"/>
      <c r="H46" s="351">
        <v>25</v>
      </c>
      <c r="I46" s="337">
        <f t="shared" si="0"/>
        <v>25</v>
      </c>
      <c r="J46" s="351">
        <v>4.3</v>
      </c>
      <c r="K46" s="349">
        <f>J46-(J46*L46)</f>
        <v>3.44</v>
      </c>
      <c r="L46" s="350">
        <v>0.2</v>
      </c>
      <c r="M46" s="349"/>
      <c r="N46" s="349"/>
      <c r="O46" s="349"/>
      <c r="P46" s="349"/>
      <c r="Q46" s="349"/>
      <c r="R46" s="339">
        <f>SUM(L46*I46*J46)</f>
        <v>21.5</v>
      </c>
      <c r="S46" s="339">
        <f t="shared" si="4"/>
        <v>21.5</v>
      </c>
      <c r="T46" s="337">
        <v>15</v>
      </c>
      <c r="U46" s="337"/>
      <c r="V46" s="337">
        <f>SUM(S46*T46)*1000</f>
        <v>322500</v>
      </c>
      <c r="W46" s="338">
        <f t="shared" si="1"/>
        <v>322500</v>
      </c>
      <c r="X46" s="337">
        <f t="shared" si="5"/>
        <v>322500</v>
      </c>
    </row>
    <row r="47" spans="1:24" ht="15.75" x14ac:dyDescent="0.25">
      <c r="A47" s="342" t="s">
        <v>623</v>
      </c>
      <c r="B47" s="270"/>
      <c r="C47" s="270"/>
      <c r="D47" s="348">
        <f>SUM(D48:D51)</f>
        <v>210</v>
      </c>
      <c r="E47" s="348">
        <f>SUM(E48:E51)</f>
        <v>2512</v>
      </c>
      <c r="F47" s="347"/>
      <c r="G47" s="348">
        <f>SUM(G48:G51)</f>
        <v>28</v>
      </c>
      <c r="H47" s="348">
        <f>SUM(H48:H51)</f>
        <v>210</v>
      </c>
      <c r="I47" s="345">
        <f t="shared" si="0"/>
        <v>238</v>
      </c>
      <c r="J47" s="268"/>
      <c r="K47" s="268"/>
      <c r="L47" s="352"/>
      <c r="M47" s="264"/>
      <c r="N47" s="348">
        <f>SUM(N48:N51)</f>
        <v>140500</v>
      </c>
      <c r="O47" s="348">
        <f>SUM(O48:O51)</f>
        <v>0</v>
      </c>
      <c r="P47" s="345">
        <f>SUM(O47+N47)</f>
        <v>140500</v>
      </c>
      <c r="Q47" s="348">
        <f>SUM(Q48:Q51)</f>
        <v>0</v>
      </c>
      <c r="R47" s="348">
        <f>SUM(R48:R51)</f>
        <v>72.927999999999997</v>
      </c>
      <c r="S47" s="345">
        <f t="shared" si="4"/>
        <v>72.927999999999997</v>
      </c>
      <c r="T47" s="263"/>
      <c r="U47" s="348">
        <f>SUM(U48:U51)</f>
        <v>0</v>
      </c>
      <c r="V47" s="348">
        <f>SUM(V48:V51)</f>
        <v>1093920</v>
      </c>
      <c r="W47" s="263">
        <f t="shared" si="1"/>
        <v>1093920</v>
      </c>
      <c r="X47" s="345">
        <f t="shared" si="5"/>
        <v>1234420</v>
      </c>
    </row>
    <row r="48" spans="1:24" ht="15.75" x14ac:dyDescent="0.25">
      <c r="A48" s="342"/>
      <c r="B48" s="344" t="s">
        <v>713</v>
      </c>
      <c r="C48" s="344" t="s">
        <v>1150</v>
      </c>
      <c r="D48" s="1570">
        <v>16</v>
      </c>
      <c r="E48" s="1850">
        <v>2512</v>
      </c>
      <c r="F48" s="342" t="s">
        <v>1151</v>
      </c>
      <c r="G48" s="337">
        <v>23</v>
      </c>
      <c r="H48" s="351"/>
      <c r="I48" s="337">
        <f t="shared" si="0"/>
        <v>23</v>
      </c>
      <c r="J48" s="351">
        <v>4.3</v>
      </c>
      <c r="K48" s="349">
        <f>J48-(J48*L48)</f>
        <v>0</v>
      </c>
      <c r="L48" s="350">
        <v>1</v>
      </c>
      <c r="M48" s="349">
        <v>3500</v>
      </c>
      <c r="N48" s="349">
        <f>M48*L48*G48</f>
        <v>80500</v>
      </c>
      <c r="O48" s="349"/>
      <c r="P48" s="349">
        <f>N48+O48</f>
        <v>80500</v>
      </c>
      <c r="Q48" s="349"/>
      <c r="R48" s="339"/>
      <c r="S48" s="339">
        <f t="shared" si="4"/>
        <v>0</v>
      </c>
      <c r="T48" s="337"/>
      <c r="U48" s="337"/>
      <c r="V48" s="337">
        <f>SUM(S48*T48)*1000</f>
        <v>0</v>
      </c>
      <c r="W48" s="338">
        <f t="shared" si="1"/>
        <v>0</v>
      </c>
      <c r="X48" s="337">
        <f t="shared" si="5"/>
        <v>80500</v>
      </c>
    </row>
    <row r="49" spans="1:24" ht="15.75" x14ac:dyDescent="0.25">
      <c r="A49" s="342"/>
      <c r="B49" s="344" t="s">
        <v>713</v>
      </c>
      <c r="C49" s="344" t="s">
        <v>1150</v>
      </c>
      <c r="D49" s="1570">
        <v>4</v>
      </c>
      <c r="E49" s="1851"/>
      <c r="F49" s="342" t="s">
        <v>799</v>
      </c>
      <c r="G49" s="337">
        <v>5</v>
      </c>
      <c r="H49" s="351"/>
      <c r="I49" s="337">
        <f t="shared" si="0"/>
        <v>5</v>
      </c>
      <c r="J49" s="351">
        <v>4.3</v>
      </c>
      <c r="K49" s="349">
        <f>J49-(J49*L49)</f>
        <v>0</v>
      </c>
      <c r="L49" s="350">
        <v>1</v>
      </c>
      <c r="M49" s="349">
        <v>12000</v>
      </c>
      <c r="N49" s="349">
        <f>M49*L49*G49</f>
        <v>60000</v>
      </c>
      <c r="O49" s="349"/>
      <c r="P49" s="349">
        <f>N49+O49</f>
        <v>60000</v>
      </c>
      <c r="Q49" s="349"/>
      <c r="R49" s="339"/>
      <c r="S49" s="339">
        <f t="shared" si="4"/>
        <v>0</v>
      </c>
      <c r="T49" s="337"/>
      <c r="U49" s="337"/>
      <c r="V49" s="337">
        <f>SUM(S49*T49)*1000</f>
        <v>0</v>
      </c>
      <c r="W49" s="338">
        <f t="shared" si="1"/>
        <v>0</v>
      </c>
      <c r="X49" s="337">
        <f t="shared" si="5"/>
        <v>60000</v>
      </c>
    </row>
    <row r="50" spans="1:24" ht="15.75" x14ac:dyDescent="0.25">
      <c r="A50" s="342"/>
      <c r="B50" s="344" t="s">
        <v>713</v>
      </c>
      <c r="C50" s="344" t="s">
        <v>1149</v>
      </c>
      <c r="D50" s="354">
        <v>90</v>
      </c>
      <c r="E50" s="1851"/>
      <c r="F50" s="342" t="s">
        <v>474</v>
      </c>
      <c r="G50" s="337"/>
      <c r="H50" s="351">
        <v>101</v>
      </c>
      <c r="I50" s="337">
        <f t="shared" si="0"/>
        <v>101</v>
      </c>
      <c r="J50" s="351">
        <v>4.3</v>
      </c>
      <c r="K50" s="349">
        <f>J50-(J50*L50)</f>
        <v>4.0419999999999998</v>
      </c>
      <c r="L50" s="350">
        <v>0.06</v>
      </c>
      <c r="M50" s="349"/>
      <c r="N50" s="349"/>
      <c r="O50" s="349"/>
      <c r="P50" s="349"/>
      <c r="Q50" s="349"/>
      <c r="R50" s="339">
        <f>SUM(L50*I50*J50)</f>
        <v>26.057999999999996</v>
      </c>
      <c r="S50" s="339">
        <f t="shared" si="4"/>
        <v>26.057999999999996</v>
      </c>
      <c r="T50" s="337">
        <v>15</v>
      </c>
      <c r="U50" s="337"/>
      <c r="V50" s="337">
        <f>SUM(S50*T50)*1000</f>
        <v>390869.99999999994</v>
      </c>
      <c r="W50" s="338">
        <f t="shared" si="1"/>
        <v>390869.99999999994</v>
      </c>
      <c r="X50" s="337">
        <f t="shared" si="5"/>
        <v>390869.99999999994</v>
      </c>
    </row>
    <row r="51" spans="1:24" ht="15.75" x14ac:dyDescent="0.25">
      <c r="A51" s="342"/>
      <c r="B51" s="344" t="s">
        <v>716</v>
      </c>
      <c r="C51" s="344" t="s">
        <v>1149</v>
      </c>
      <c r="D51" s="354">
        <v>100</v>
      </c>
      <c r="E51" s="1852"/>
      <c r="F51" s="342" t="s">
        <v>474</v>
      </c>
      <c r="G51" s="337"/>
      <c r="H51" s="351">
        <v>109</v>
      </c>
      <c r="I51" s="337">
        <f t="shared" si="0"/>
        <v>109</v>
      </c>
      <c r="J51" s="351">
        <v>4.3</v>
      </c>
      <c r="K51" s="349">
        <f>J51-(J51*L51)</f>
        <v>3.8699999999999997</v>
      </c>
      <c r="L51" s="350">
        <v>0.1</v>
      </c>
      <c r="M51" s="349"/>
      <c r="N51" s="349"/>
      <c r="O51" s="349"/>
      <c r="P51" s="349"/>
      <c r="Q51" s="349"/>
      <c r="R51" s="339">
        <f>SUM(L51*I51*J51)</f>
        <v>46.87</v>
      </c>
      <c r="S51" s="339">
        <f t="shared" si="4"/>
        <v>46.87</v>
      </c>
      <c r="T51" s="337">
        <v>15</v>
      </c>
      <c r="U51" s="337"/>
      <c r="V51" s="337">
        <f>SUM(S51*T51)*1000</f>
        <v>703050</v>
      </c>
      <c r="W51" s="338">
        <f t="shared" si="1"/>
        <v>703050</v>
      </c>
      <c r="X51" s="337">
        <f t="shared" si="5"/>
        <v>703050</v>
      </c>
    </row>
    <row r="52" spans="1:24" ht="15.75" x14ac:dyDescent="0.25">
      <c r="A52" s="342" t="s">
        <v>480</v>
      </c>
      <c r="B52" s="270"/>
      <c r="C52" s="270"/>
      <c r="D52" s="348">
        <f>SUM(D53:D55)</f>
        <v>305</v>
      </c>
      <c r="E52" s="348">
        <f>SUM(E53:E55)</f>
        <v>1637</v>
      </c>
      <c r="F52" s="347"/>
      <c r="G52" s="348">
        <f>SUM(G53:G55)</f>
        <v>0</v>
      </c>
      <c r="H52" s="348">
        <f>SUM(H53:H55)</f>
        <v>329</v>
      </c>
      <c r="I52" s="345">
        <f t="shared" ref="I52:I83" si="6">SUM(G52+H52)</f>
        <v>329</v>
      </c>
      <c r="J52" s="268"/>
      <c r="K52" s="268"/>
      <c r="L52" s="352"/>
      <c r="M52" s="264"/>
      <c r="N52" s="348">
        <f>SUM(N53:N55)</f>
        <v>0</v>
      </c>
      <c r="O52" s="348">
        <f>SUM(O53:O55)</f>
        <v>424050</v>
      </c>
      <c r="P52" s="345">
        <f>SUM(O52+N52)</f>
        <v>424050</v>
      </c>
      <c r="Q52" s="348">
        <f>SUM(Q53:Q55)</f>
        <v>0</v>
      </c>
      <c r="R52" s="348">
        <f>SUM(R53:R55)</f>
        <v>43.75</v>
      </c>
      <c r="S52" s="345">
        <f t="shared" si="4"/>
        <v>43.75</v>
      </c>
      <c r="T52" s="263"/>
      <c r="U52" s="348">
        <f>SUM(U53:U55)</f>
        <v>0</v>
      </c>
      <c r="V52" s="348">
        <f>SUM(V53:V55)</f>
        <v>656250</v>
      </c>
      <c r="W52" s="263">
        <f t="shared" ref="W52:W83" si="7">SUM(U52+V52)</f>
        <v>656250</v>
      </c>
      <c r="X52" s="345">
        <f t="shared" si="5"/>
        <v>1080300</v>
      </c>
    </row>
    <row r="53" spans="1:24" ht="15.75" x14ac:dyDescent="0.25">
      <c r="A53" s="342"/>
      <c r="B53" s="344" t="s">
        <v>713</v>
      </c>
      <c r="C53" s="344" t="s">
        <v>1149</v>
      </c>
      <c r="D53" s="354">
        <v>80</v>
      </c>
      <c r="E53" s="1853">
        <v>1060</v>
      </c>
      <c r="F53" s="342" t="s">
        <v>521</v>
      </c>
      <c r="G53" s="337"/>
      <c r="H53" s="351">
        <v>65</v>
      </c>
      <c r="I53" s="337">
        <f t="shared" si="6"/>
        <v>65</v>
      </c>
      <c r="J53" s="351">
        <v>4.3</v>
      </c>
      <c r="K53" s="349">
        <f>J53-(J53*L53)</f>
        <v>3.8699999999999997</v>
      </c>
      <c r="L53" s="350">
        <v>0.1</v>
      </c>
      <c r="M53" s="349">
        <v>18000</v>
      </c>
      <c r="N53" s="349">
        <f>M53*L53*G53</f>
        <v>0</v>
      </c>
      <c r="O53" s="349">
        <f>M53*L53*I53</f>
        <v>117000</v>
      </c>
      <c r="P53" s="349">
        <f>N53+O53</f>
        <v>117000</v>
      </c>
      <c r="Q53" s="349"/>
      <c r="R53" s="339"/>
      <c r="S53" s="339">
        <f t="shared" si="4"/>
        <v>0</v>
      </c>
      <c r="T53" s="337"/>
      <c r="U53" s="337"/>
      <c r="V53" s="337">
        <f>SUM(S53*T53)*1000</f>
        <v>0</v>
      </c>
      <c r="W53" s="338">
        <f t="shared" si="7"/>
        <v>0</v>
      </c>
      <c r="X53" s="337">
        <f t="shared" si="5"/>
        <v>117000</v>
      </c>
    </row>
    <row r="54" spans="1:24" ht="15.75" x14ac:dyDescent="0.25">
      <c r="A54" s="342"/>
      <c r="B54" s="344" t="s">
        <v>713</v>
      </c>
      <c r="C54" s="344" t="s">
        <v>473</v>
      </c>
      <c r="D54" s="354">
        <v>60</v>
      </c>
      <c r="E54" s="1853"/>
      <c r="F54" s="342" t="s">
        <v>539</v>
      </c>
      <c r="G54" s="337"/>
      <c r="H54" s="351">
        <v>89</v>
      </c>
      <c r="I54" s="337">
        <f t="shared" si="6"/>
        <v>89</v>
      </c>
      <c r="J54" s="351">
        <v>4.3</v>
      </c>
      <c r="K54" s="349">
        <f>J54-(J54*L54)</f>
        <v>3.6549999999999998</v>
      </c>
      <c r="L54" s="350">
        <v>0.15</v>
      </c>
      <c r="M54" s="349">
        <v>23000</v>
      </c>
      <c r="N54" s="349">
        <f>M54*L54*G54</f>
        <v>0</v>
      </c>
      <c r="O54" s="349">
        <f>M54*L54*I54</f>
        <v>307050</v>
      </c>
      <c r="P54" s="349">
        <f>N54+O54</f>
        <v>307050</v>
      </c>
      <c r="Q54" s="349"/>
      <c r="R54" s="339"/>
      <c r="S54" s="339">
        <f t="shared" si="4"/>
        <v>0</v>
      </c>
      <c r="T54" s="337"/>
      <c r="U54" s="337"/>
      <c r="V54" s="337">
        <f>SUM(S54*T54)*1000</f>
        <v>0</v>
      </c>
      <c r="W54" s="338">
        <f t="shared" si="7"/>
        <v>0</v>
      </c>
      <c r="X54" s="337">
        <f t="shared" si="5"/>
        <v>307050</v>
      </c>
    </row>
    <row r="55" spans="1:24" ht="15.75" x14ac:dyDescent="0.25">
      <c r="A55" s="342"/>
      <c r="B55" s="344" t="s">
        <v>713</v>
      </c>
      <c r="C55" s="344" t="s">
        <v>473</v>
      </c>
      <c r="D55" s="354">
        <v>165</v>
      </c>
      <c r="E55" s="1570">
        <v>577</v>
      </c>
      <c r="F55" s="342" t="s">
        <v>586</v>
      </c>
      <c r="G55" s="337"/>
      <c r="H55" s="351">
        <v>175</v>
      </c>
      <c r="I55" s="337">
        <f t="shared" si="6"/>
        <v>175</v>
      </c>
      <c r="J55" s="351">
        <v>5</v>
      </c>
      <c r="K55" s="349">
        <f>J55-(J55*L55)</f>
        <v>4.75</v>
      </c>
      <c r="L55" s="350">
        <v>0.05</v>
      </c>
      <c r="M55" s="349"/>
      <c r="N55" s="349">
        <f>M55*L55*G55</f>
        <v>0</v>
      </c>
      <c r="O55" s="349"/>
      <c r="P55" s="349"/>
      <c r="Q55" s="349"/>
      <c r="R55" s="339">
        <f>SUM(L55*I55*J55)</f>
        <v>43.75</v>
      </c>
      <c r="S55" s="339">
        <f t="shared" si="4"/>
        <v>43.75</v>
      </c>
      <c r="T55" s="337">
        <v>15</v>
      </c>
      <c r="U55" s="337"/>
      <c r="V55" s="337">
        <f>SUM(S55*T55)*1000</f>
        <v>656250</v>
      </c>
      <c r="W55" s="338">
        <f t="shared" si="7"/>
        <v>656250</v>
      </c>
      <c r="X55" s="337">
        <f t="shared" si="5"/>
        <v>656250</v>
      </c>
    </row>
    <row r="56" spans="1:24" ht="15.75" x14ac:dyDescent="0.25">
      <c r="A56" s="342" t="s">
        <v>483</v>
      </c>
      <c r="B56" s="270"/>
      <c r="C56" s="270"/>
      <c r="D56" s="348">
        <f>SUM(D57:D58)</f>
        <v>181</v>
      </c>
      <c r="E56" s="348">
        <f>SUM(E57:E58)</f>
        <v>577</v>
      </c>
      <c r="F56" s="347"/>
      <c r="G56" s="348">
        <f>G57</f>
        <v>7</v>
      </c>
      <c r="H56" s="348">
        <f>H57</f>
        <v>0</v>
      </c>
      <c r="I56" s="345">
        <f t="shared" si="6"/>
        <v>7</v>
      </c>
      <c r="J56" s="268"/>
      <c r="K56" s="268"/>
      <c r="L56" s="352"/>
      <c r="M56" s="264"/>
      <c r="N56" s="348">
        <f>SUM(N57:N58)</f>
        <v>24500</v>
      </c>
      <c r="O56" s="348">
        <f>SUM(O57:O58)</f>
        <v>0</v>
      </c>
      <c r="P56" s="345">
        <f>SUM(O56+N56)</f>
        <v>24500</v>
      </c>
      <c r="Q56" s="348">
        <f>SUM(Q57:Q58)</f>
        <v>0</v>
      </c>
      <c r="R56" s="348">
        <f>SUM(R57:R58)</f>
        <v>4.3</v>
      </c>
      <c r="S56" s="345">
        <f t="shared" si="4"/>
        <v>4.3</v>
      </c>
      <c r="T56" s="263"/>
      <c r="U56" s="348">
        <f>SUM(U57:U58)</f>
        <v>0</v>
      </c>
      <c r="V56" s="348">
        <f>SUM(V57:V58)</f>
        <v>64500</v>
      </c>
      <c r="W56" s="263">
        <f t="shared" si="7"/>
        <v>64500</v>
      </c>
      <c r="X56" s="345">
        <f t="shared" si="5"/>
        <v>89000</v>
      </c>
    </row>
    <row r="57" spans="1:24" ht="15.75" x14ac:dyDescent="0.25">
      <c r="A57" s="342"/>
      <c r="B57" s="344" t="s">
        <v>713</v>
      </c>
      <c r="C57" s="344" t="s">
        <v>1150</v>
      </c>
      <c r="D57" s="1570">
        <v>16</v>
      </c>
      <c r="E57" s="348"/>
      <c r="F57" s="342" t="s">
        <v>1151</v>
      </c>
      <c r="G57" s="337">
        <v>7</v>
      </c>
      <c r="H57" s="351"/>
      <c r="I57" s="337">
        <f t="shared" si="6"/>
        <v>7</v>
      </c>
      <c r="J57" s="351">
        <v>4.3</v>
      </c>
      <c r="K57" s="349">
        <f>J57-(J57*L57)</f>
        <v>0</v>
      </c>
      <c r="L57" s="350">
        <v>1</v>
      </c>
      <c r="M57" s="349">
        <v>3500</v>
      </c>
      <c r="N57" s="349">
        <f>M57*L57*G57</f>
        <v>24500</v>
      </c>
      <c r="O57" s="349"/>
      <c r="P57" s="349">
        <f>N57+O57</f>
        <v>24500</v>
      </c>
      <c r="Q57" s="349"/>
      <c r="R57" s="339"/>
      <c r="S57" s="339">
        <f t="shared" si="4"/>
        <v>0</v>
      </c>
      <c r="T57" s="337"/>
      <c r="U57" s="337"/>
      <c r="V57" s="337">
        <f>SUM(S57*T57)*1000</f>
        <v>0</v>
      </c>
      <c r="W57" s="338">
        <f t="shared" si="7"/>
        <v>0</v>
      </c>
      <c r="X57" s="337">
        <f t="shared" si="5"/>
        <v>24500</v>
      </c>
    </row>
    <row r="58" spans="1:24" ht="15.75" x14ac:dyDescent="0.25">
      <c r="A58" s="342"/>
      <c r="B58" s="344" t="s">
        <v>713</v>
      </c>
      <c r="C58" s="344" t="s">
        <v>473</v>
      </c>
      <c r="D58" s="354">
        <v>165</v>
      </c>
      <c r="E58" s="1570">
        <v>577</v>
      </c>
      <c r="F58" s="342" t="s">
        <v>586</v>
      </c>
      <c r="G58" s="337"/>
      <c r="H58" s="351">
        <v>5</v>
      </c>
      <c r="I58" s="337">
        <f t="shared" si="6"/>
        <v>5</v>
      </c>
      <c r="J58" s="351">
        <v>4.3</v>
      </c>
      <c r="K58" s="349">
        <f>J58-(J58*L58)</f>
        <v>3.44</v>
      </c>
      <c r="L58" s="350">
        <v>0.2</v>
      </c>
      <c r="M58" s="349"/>
      <c r="N58" s="349">
        <f>M58*L58*G58</f>
        <v>0</v>
      </c>
      <c r="O58" s="349"/>
      <c r="P58" s="349"/>
      <c r="Q58" s="349"/>
      <c r="R58" s="339">
        <f>SUM(L58*I58*J58)</f>
        <v>4.3</v>
      </c>
      <c r="S58" s="339">
        <f t="shared" si="4"/>
        <v>4.3</v>
      </c>
      <c r="T58" s="337">
        <v>15</v>
      </c>
      <c r="U58" s="337"/>
      <c r="V58" s="337">
        <f>SUM(S58*T58)*1000</f>
        <v>64500</v>
      </c>
      <c r="W58" s="338">
        <f t="shared" si="7"/>
        <v>64500</v>
      </c>
      <c r="X58" s="337">
        <f t="shared" si="5"/>
        <v>64500</v>
      </c>
    </row>
    <row r="59" spans="1:24" ht="15.75" x14ac:dyDescent="0.25">
      <c r="A59" s="342" t="s">
        <v>624</v>
      </c>
      <c r="B59" s="270"/>
      <c r="C59" s="270"/>
      <c r="D59" s="345">
        <f>SUM(D60:D71)</f>
        <v>2500</v>
      </c>
      <c r="E59" s="345">
        <f>SUM(E60:E71)</f>
        <v>7813</v>
      </c>
      <c r="F59" s="347"/>
      <c r="G59" s="345">
        <f>SUM(G60:G71)</f>
        <v>0</v>
      </c>
      <c r="H59" s="345">
        <f>SUM(H60:H71)</f>
        <v>3032.0499999999997</v>
      </c>
      <c r="I59" s="345">
        <f t="shared" si="6"/>
        <v>3032.0499999999997</v>
      </c>
      <c r="J59" s="268"/>
      <c r="K59" s="268"/>
      <c r="L59" s="352"/>
      <c r="M59" s="264"/>
      <c r="N59" s="345">
        <f>SUM(N60:N71)</f>
        <v>0</v>
      </c>
      <c r="O59" s="345">
        <f>SUM(O60:O71)</f>
        <v>1521910</v>
      </c>
      <c r="P59" s="345">
        <f>SUM(O59+N59)</f>
        <v>1521910</v>
      </c>
      <c r="Q59" s="345">
        <f>SUM(Q60:Q71)</f>
        <v>0</v>
      </c>
      <c r="R59" s="345">
        <f>SUM(R60:R71)</f>
        <v>2084.7660000000001</v>
      </c>
      <c r="S59" s="345">
        <f t="shared" si="4"/>
        <v>2084.7660000000001</v>
      </c>
      <c r="T59" s="263"/>
      <c r="U59" s="345">
        <f>SUM(U60:U71)</f>
        <v>0</v>
      </c>
      <c r="V59" s="345">
        <f>SUM(V60:V71)</f>
        <v>33212421</v>
      </c>
      <c r="W59" s="263">
        <f t="shared" si="7"/>
        <v>33212421</v>
      </c>
      <c r="X59" s="345">
        <f t="shared" si="5"/>
        <v>34734331</v>
      </c>
    </row>
    <row r="60" spans="1:24" ht="15.75" x14ac:dyDescent="0.25">
      <c r="A60" s="342"/>
      <c r="B60" s="344" t="s">
        <v>713</v>
      </c>
      <c r="C60" s="344" t="s">
        <v>1150</v>
      </c>
      <c r="D60" s="1883">
        <v>2000</v>
      </c>
      <c r="E60" s="1884">
        <v>2457</v>
      </c>
      <c r="F60" s="342" t="s">
        <v>474</v>
      </c>
      <c r="G60" s="337"/>
      <c r="H60" s="351">
        <v>9</v>
      </c>
      <c r="I60" s="337">
        <f t="shared" si="6"/>
        <v>9</v>
      </c>
      <c r="J60" s="351">
        <v>4.3</v>
      </c>
      <c r="K60" s="349">
        <f t="shared" ref="K60:K71" si="8">J60-(J60*L60)</f>
        <v>3.6549999999999998</v>
      </c>
      <c r="L60" s="350">
        <v>0.15</v>
      </c>
      <c r="M60" s="349"/>
      <c r="N60" s="349"/>
      <c r="O60" s="349"/>
      <c r="P60" s="349"/>
      <c r="Q60" s="349"/>
      <c r="R60" s="339">
        <f t="shared" ref="R60:R65" si="9">SUM(L60*I60*J60)</f>
        <v>5.8049999999999988</v>
      </c>
      <c r="S60" s="339">
        <f t="shared" si="4"/>
        <v>5.8049999999999988</v>
      </c>
      <c r="T60" s="337">
        <v>15</v>
      </c>
      <c r="U60" s="337"/>
      <c r="V60" s="337">
        <f t="shared" ref="V60:V71" si="10">SUM(S60*T60)*1000</f>
        <v>87074.999999999985</v>
      </c>
      <c r="W60" s="338">
        <f t="shared" si="7"/>
        <v>87074.999999999985</v>
      </c>
      <c r="X60" s="337">
        <f t="shared" si="5"/>
        <v>87074.999999999985</v>
      </c>
    </row>
    <row r="61" spans="1:24" ht="15.75" x14ac:dyDescent="0.25">
      <c r="A61" s="342"/>
      <c r="B61" s="344" t="s">
        <v>716</v>
      </c>
      <c r="C61" s="344" t="s">
        <v>1150</v>
      </c>
      <c r="D61" s="1851"/>
      <c r="E61" s="1885"/>
      <c r="F61" s="342" t="s">
        <v>474</v>
      </c>
      <c r="G61" s="337"/>
      <c r="H61" s="351">
        <v>214</v>
      </c>
      <c r="I61" s="337">
        <f t="shared" si="6"/>
        <v>214</v>
      </c>
      <c r="J61" s="351">
        <v>4.3</v>
      </c>
      <c r="K61" s="349">
        <f t="shared" si="8"/>
        <v>3.6549999999999998</v>
      </c>
      <c r="L61" s="350">
        <v>0.15</v>
      </c>
      <c r="M61" s="349"/>
      <c r="N61" s="349"/>
      <c r="O61" s="349"/>
      <c r="P61" s="349"/>
      <c r="Q61" s="349"/>
      <c r="R61" s="339">
        <f t="shared" si="9"/>
        <v>138.03</v>
      </c>
      <c r="S61" s="339">
        <f t="shared" si="4"/>
        <v>138.03</v>
      </c>
      <c r="T61" s="337">
        <v>15</v>
      </c>
      <c r="U61" s="337"/>
      <c r="V61" s="337">
        <f t="shared" si="10"/>
        <v>2070449.9999999998</v>
      </c>
      <c r="W61" s="338">
        <f t="shared" si="7"/>
        <v>2070449.9999999998</v>
      </c>
      <c r="X61" s="337">
        <f t="shared" si="5"/>
        <v>2070449.9999999998</v>
      </c>
    </row>
    <row r="62" spans="1:24" ht="15.75" x14ac:dyDescent="0.25">
      <c r="A62" s="342"/>
      <c r="B62" s="344" t="s">
        <v>713</v>
      </c>
      <c r="C62" s="344" t="s">
        <v>1150</v>
      </c>
      <c r="D62" s="1851"/>
      <c r="E62" s="1885"/>
      <c r="F62" s="342" t="s">
        <v>586</v>
      </c>
      <c r="G62" s="337"/>
      <c r="H62" s="351">
        <v>97</v>
      </c>
      <c r="I62" s="337">
        <f t="shared" si="6"/>
        <v>97</v>
      </c>
      <c r="J62" s="351">
        <v>4.3</v>
      </c>
      <c r="K62" s="349">
        <f t="shared" si="8"/>
        <v>3.44</v>
      </c>
      <c r="L62" s="350">
        <v>0.2</v>
      </c>
      <c r="M62" s="349"/>
      <c r="N62" s="349">
        <f t="shared" ref="N62:N71" si="11">M62*L62*G62</f>
        <v>0</v>
      </c>
      <c r="O62" s="349"/>
      <c r="P62" s="349"/>
      <c r="Q62" s="349"/>
      <c r="R62" s="339">
        <f t="shared" si="9"/>
        <v>83.42</v>
      </c>
      <c r="S62" s="339">
        <f t="shared" si="4"/>
        <v>83.42</v>
      </c>
      <c r="T62" s="337">
        <v>16</v>
      </c>
      <c r="U62" s="337"/>
      <c r="V62" s="337">
        <f t="shared" si="10"/>
        <v>1334720</v>
      </c>
      <c r="W62" s="338">
        <f t="shared" si="7"/>
        <v>1334720</v>
      </c>
      <c r="X62" s="337">
        <f t="shared" si="5"/>
        <v>1334720</v>
      </c>
    </row>
    <row r="63" spans="1:24" ht="15.75" x14ac:dyDescent="0.25">
      <c r="A63" s="342"/>
      <c r="B63" s="344" t="s">
        <v>716</v>
      </c>
      <c r="C63" s="344" t="s">
        <v>1150</v>
      </c>
      <c r="D63" s="1851"/>
      <c r="E63" s="1885"/>
      <c r="F63" s="342" t="s">
        <v>586</v>
      </c>
      <c r="G63" s="337"/>
      <c r="H63" s="351">
        <v>1898.85</v>
      </c>
      <c r="I63" s="337">
        <f t="shared" si="6"/>
        <v>1898.85</v>
      </c>
      <c r="J63" s="351">
        <v>4.3</v>
      </c>
      <c r="K63" s="349">
        <f t="shared" si="8"/>
        <v>3.44</v>
      </c>
      <c r="L63" s="350">
        <v>0.2</v>
      </c>
      <c r="M63" s="349"/>
      <c r="N63" s="349">
        <f t="shared" si="11"/>
        <v>0</v>
      </c>
      <c r="O63" s="349"/>
      <c r="P63" s="349"/>
      <c r="Q63" s="349"/>
      <c r="R63" s="339">
        <f t="shared" si="9"/>
        <v>1633.011</v>
      </c>
      <c r="S63" s="339">
        <f t="shared" si="4"/>
        <v>1633.011</v>
      </c>
      <c r="T63" s="337">
        <v>16</v>
      </c>
      <c r="U63" s="337"/>
      <c r="V63" s="337">
        <f t="shared" si="10"/>
        <v>26128176</v>
      </c>
      <c r="W63" s="338">
        <f t="shared" si="7"/>
        <v>26128176</v>
      </c>
      <c r="X63" s="337">
        <f t="shared" si="5"/>
        <v>26128176</v>
      </c>
    </row>
    <row r="64" spans="1:24" ht="15.75" x14ac:dyDescent="0.25">
      <c r="A64" s="342"/>
      <c r="B64" s="344" t="s">
        <v>713</v>
      </c>
      <c r="C64" s="344" t="s">
        <v>1152</v>
      </c>
      <c r="D64" s="1851"/>
      <c r="E64" s="1885"/>
      <c r="F64" s="342" t="s">
        <v>586</v>
      </c>
      <c r="G64" s="337"/>
      <c r="H64" s="351">
        <v>57</v>
      </c>
      <c r="I64" s="337">
        <f t="shared" si="6"/>
        <v>57</v>
      </c>
      <c r="J64" s="351">
        <v>5</v>
      </c>
      <c r="K64" s="349">
        <f t="shared" si="8"/>
        <v>4</v>
      </c>
      <c r="L64" s="350">
        <v>0.2</v>
      </c>
      <c r="M64" s="349"/>
      <c r="N64" s="349">
        <f t="shared" si="11"/>
        <v>0</v>
      </c>
      <c r="O64" s="349"/>
      <c r="P64" s="349"/>
      <c r="Q64" s="349"/>
      <c r="R64" s="339">
        <f t="shared" si="9"/>
        <v>57</v>
      </c>
      <c r="S64" s="339">
        <f t="shared" ref="S64:S95" si="12">SUM(R64+Q64)</f>
        <v>57</v>
      </c>
      <c r="T64" s="337">
        <v>16</v>
      </c>
      <c r="U64" s="337"/>
      <c r="V64" s="337">
        <f t="shared" si="10"/>
        <v>912000</v>
      </c>
      <c r="W64" s="338">
        <f t="shared" si="7"/>
        <v>912000</v>
      </c>
      <c r="X64" s="337">
        <f t="shared" ref="X64:X95" si="13">SUM(W64+P64)</f>
        <v>912000</v>
      </c>
    </row>
    <row r="65" spans="1:24" ht="15.75" x14ac:dyDescent="0.25">
      <c r="A65" s="342"/>
      <c r="B65" s="344" t="s">
        <v>716</v>
      </c>
      <c r="C65" s="344" t="s">
        <v>1152</v>
      </c>
      <c r="D65" s="1852"/>
      <c r="E65" s="1886"/>
      <c r="F65" s="342" t="s">
        <v>586</v>
      </c>
      <c r="G65" s="337"/>
      <c r="H65" s="351">
        <v>167.5</v>
      </c>
      <c r="I65" s="337">
        <f t="shared" si="6"/>
        <v>167.5</v>
      </c>
      <c r="J65" s="351">
        <v>5</v>
      </c>
      <c r="K65" s="349">
        <f t="shared" si="8"/>
        <v>4</v>
      </c>
      <c r="L65" s="350">
        <v>0.2</v>
      </c>
      <c r="M65" s="349"/>
      <c r="N65" s="349">
        <f t="shared" si="11"/>
        <v>0</v>
      </c>
      <c r="O65" s="349"/>
      <c r="P65" s="349"/>
      <c r="Q65" s="349"/>
      <c r="R65" s="339">
        <f t="shared" si="9"/>
        <v>167.5</v>
      </c>
      <c r="S65" s="339">
        <f t="shared" si="12"/>
        <v>167.5</v>
      </c>
      <c r="T65" s="337">
        <v>16</v>
      </c>
      <c r="U65" s="337"/>
      <c r="V65" s="337">
        <f t="shared" si="10"/>
        <v>2680000</v>
      </c>
      <c r="W65" s="338">
        <f t="shared" si="7"/>
        <v>2680000</v>
      </c>
      <c r="X65" s="337">
        <f t="shared" si="13"/>
        <v>2680000</v>
      </c>
    </row>
    <row r="66" spans="1:24" ht="15.75" x14ac:dyDescent="0.25">
      <c r="A66" s="342"/>
      <c r="B66" s="344" t="s">
        <v>713</v>
      </c>
      <c r="C66" s="344" t="s">
        <v>1150</v>
      </c>
      <c r="D66" s="1850">
        <v>500</v>
      </c>
      <c r="E66" s="1883">
        <v>5356</v>
      </c>
      <c r="F66" s="342" t="s">
        <v>539</v>
      </c>
      <c r="G66" s="337"/>
      <c r="H66" s="351">
        <v>97</v>
      </c>
      <c r="I66" s="337">
        <f t="shared" si="6"/>
        <v>97</v>
      </c>
      <c r="J66" s="351">
        <v>4.3</v>
      </c>
      <c r="K66" s="349">
        <f t="shared" si="8"/>
        <v>3.6549999999999998</v>
      </c>
      <c r="L66" s="350">
        <v>0.15</v>
      </c>
      <c r="M66" s="349">
        <v>23000</v>
      </c>
      <c r="N66" s="349">
        <f t="shared" si="11"/>
        <v>0</v>
      </c>
      <c r="O66" s="349">
        <f t="shared" ref="O66:O71" si="14">M66*L66*I66</f>
        <v>334650</v>
      </c>
      <c r="P66" s="349">
        <f t="shared" ref="P66:P71" si="15">N66+O66</f>
        <v>334650</v>
      </c>
      <c r="Q66" s="349"/>
      <c r="R66" s="339"/>
      <c r="S66" s="339">
        <f t="shared" si="12"/>
        <v>0</v>
      </c>
      <c r="T66" s="337"/>
      <c r="U66" s="337"/>
      <c r="V66" s="337">
        <f t="shared" si="10"/>
        <v>0</v>
      </c>
      <c r="W66" s="338">
        <f t="shared" si="7"/>
        <v>0</v>
      </c>
      <c r="X66" s="337">
        <f t="shared" si="13"/>
        <v>334650</v>
      </c>
    </row>
    <row r="67" spans="1:24" ht="15.75" x14ac:dyDescent="0.25">
      <c r="A67" s="342"/>
      <c r="B67" s="344" t="s">
        <v>716</v>
      </c>
      <c r="C67" s="344" t="s">
        <v>1150</v>
      </c>
      <c r="D67" s="1851"/>
      <c r="E67" s="1851"/>
      <c r="F67" s="342" t="s">
        <v>539</v>
      </c>
      <c r="G67" s="337"/>
      <c r="H67" s="351">
        <v>354.7</v>
      </c>
      <c r="I67" s="337">
        <f t="shared" si="6"/>
        <v>354.7</v>
      </c>
      <c r="J67" s="351">
        <v>4.3</v>
      </c>
      <c r="K67" s="349">
        <f t="shared" si="8"/>
        <v>3.8699999999999997</v>
      </c>
      <c r="L67" s="350">
        <v>0.1</v>
      </c>
      <c r="M67" s="349">
        <v>23000</v>
      </c>
      <c r="N67" s="349">
        <f t="shared" si="11"/>
        <v>0</v>
      </c>
      <c r="O67" s="349">
        <f t="shared" si="14"/>
        <v>815810</v>
      </c>
      <c r="P67" s="349">
        <f t="shared" si="15"/>
        <v>815810</v>
      </c>
      <c r="Q67" s="349"/>
      <c r="R67" s="339"/>
      <c r="S67" s="339">
        <f t="shared" si="12"/>
        <v>0</v>
      </c>
      <c r="T67" s="337"/>
      <c r="U67" s="337"/>
      <c r="V67" s="337">
        <f t="shared" si="10"/>
        <v>0</v>
      </c>
      <c r="W67" s="338">
        <f t="shared" si="7"/>
        <v>0</v>
      </c>
      <c r="X67" s="337">
        <f t="shared" si="13"/>
        <v>815810</v>
      </c>
    </row>
    <row r="68" spans="1:24" ht="15.75" x14ac:dyDescent="0.25">
      <c r="A68" s="342"/>
      <c r="B68" s="344" t="s">
        <v>713</v>
      </c>
      <c r="C68" s="344" t="s">
        <v>1152</v>
      </c>
      <c r="D68" s="1851"/>
      <c r="E68" s="1851"/>
      <c r="F68" s="342" t="s">
        <v>539</v>
      </c>
      <c r="G68" s="337"/>
      <c r="H68" s="351">
        <v>57</v>
      </c>
      <c r="I68" s="337">
        <f t="shared" si="6"/>
        <v>57</v>
      </c>
      <c r="J68" s="351">
        <v>5</v>
      </c>
      <c r="K68" s="349">
        <f t="shared" si="8"/>
        <v>4.25</v>
      </c>
      <c r="L68" s="350">
        <v>0.15</v>
      </c>
      <c r="M68" s="349">
        <v>27000</v>
      </c>
      <c r="N68" s="349">
        <f t="shared" si="11"/>
        <v>0</v>
      </c>
      <c r="O68" s="349">
        <f t="shared" si="14"/>
        <v>230850</v>
      </c>
      <c r="P68" s="349">
        <f t="shared" si="15"/>
        <v>230850</v>
      </c>
      <c r="Q68" s="349"/>
      <c r="R68" s="339"/>
      <c r="S68" s="339">
        <f t="shared" si="12"/>
        <v>0</v>
      </c>
      <c r="T68" s="337"/>
      <c r="U68" s="337"/>
      <c r="V68" s="337">
        <f t="shared" si="10"/>
        <v>0</v>
      </c>
      <c r="W68" s="338">
        <f t="shared" si="7"/>
        <v>0</v>
      </c>
      <c r="X68" s="337">
        <f t="shared" si="13"/>
        <v>230850</v>
      </c>
    </row>
    <row r="69" spans="1:24" ht="15.75" x14ac:dyDescent="0.25">
      <c r="A69" s="342"/>
      <c r="B69" s="344" t="s">
        <v>716</v>
      </c>
      <c r="C69" s="344" t="s">
        <v>1152</v>
      </c>
      <c r="D69" s="1851"/>
      <c r="E69" s="1851"/>
      <c r="F69" s="342" t="s">
        <v>539</v>
      </c>
      <c r="G69" s="337"/>
      <c r="H69" s="351">
        <v>22</v>
      </c>
      <c r="I69" s="337">
        <f t="shared" si="6"/>
        <v>22</v>
      </c>
      <c r="J69" s="351">
        <v>5</v>
      </c>
      <c r="K69" s="349">
        <f t="shared" si="8"/>
        <v>4.5</v>
      </c>
      <c r="L69" s="350">
        <v>0.1</v>
      </c>
      <c r="M69" s="349">
        <v>27000</v>
      </c>
      <c r="N69" s="349">
        <f t="shared" si="11"/>
        <v>0</v>
      </c>
      <c r="O69" s="349">
        <f t="shared" si="14"/>
        <v>59400</v>
      </c>
      <c r="P69" s="349">
        <f t="shared" si="15"/>
        <v>59400</v>
      </c>
      <c r="Q69" s="349"/>
      <c r="R69" s="339"/>
      <c r="S69" s="339">
        <f t="shared" si="12"/>
        <v>0</v>
      </c>
      <c r="T69" s="337"/>
      <c r="U69" s="337"/>
      <c r="V69" s="337">
        <f t="shared" si="10"/>
        <v>0</v>
      </c>
      <c r="W69" s="338">
        <f t="shared" si="7"/>
        <v>0</v>
      </c>
      <c r="X69" s="337">
        <f t="shared" si="13"/>
        <v>59400</v>
      </c>
    </row>
    <row r="70" spans="1:24" ht="15.75" x14ac:dyDescent="0.25">
      <c r="A70" s="342"/>
      <c r="B70" s="344" t="s">
        <v>713</v>
      </c>
      <c r="C70" s="344" t="s">
        <v>1150</v>
      </c>
      <c r="D70" s="1851"/>
      <c r="E70" s="1851"/>
      <c r="F70" s="342" t="s">
        <v>1151</v>
      </c>
      <c r="G70" s="337"/>
      <c r="H70" s="351">
        <v>20</v>
      </c>
      <c r="I70" s="337">
        <f t="shared" si="6"/>
        <v>20</v>
      </c>
      <c r="J70" s="351">
        <v>4.3</v>
      </c>
      <c r="K70" s="349">
        <f t="shared" si="8"/>
        <v>2.58</v>
      </c>
      <c r="L70" s="350">
        <v>0.4</v>
      </c>
      <c r="M70" s="349">
        <v>3500</v>
      </c>
      <c r="N70" s="349">
        <f t="shared" si="11"/>
        <v>0</v>
      </c>
      <c r="O70" s="349">
        <f t="shared" si="14"/>
        <v>28000</v>
      </c>
      <c r="P70" s="349">
        <f t="shared" si="15"/>
        <v>28000</v>
      </c>
      <c r="Q70" s="349"/>
      <c r="R70" s="339"/>
      <c r="S70" s="339">
        <f t="shared" si="12"/>
        <v>0</v>
      </c>
      <c r="T70" s="337"/>
      <c r="U70" s="337"/>
      <c r="V70" s="337">
        <f t="shared" si="10"/>
        <v>0</v>
      </c>
      <c r="W70" s="338">
        <f t="shared" si="7"/>
        <v>0</v>
      </c>
      <c r="X70" s="337">
        <f t="shared" si="13"/>
        <v>28000</v>
      </c>
    </row>
    <row r="71" spans="1:24" ht="15.75" x14ac:dyDescent="0.25">
      <c r="A71" s="342"/>
      <c r="B71" s="344" t="s">
        <v>716</v>
      </c>
      <c r="C71" s="344" t="s">
        <v>1150</v>
      </c>
      <c r="D71" s="1852"/>
      <c r="E71" s="1852"/>
      <c r="F71" s="342" t="s">
        <v>1151</v>
      </c>
      <c r="G71" s="337"/>
      <c r="H71" s="351">
        <v>38</v>
      </c>
      <c r="I71" s="337">
        <f t="shared" si="6"/>
        <v>38</v>
      </c>
      <c r="J71" s="351">
        <v>4.3</v>
      </c>
      <c r="K71" s="349">
        <f t="shared" si="8"/>
        <v>2.58</v>
      </c>
      <c r="L71" s="350">
        <v>0.4</v>
      </c>
      <c r="M71" s="349">
        <v>3500</v>
      </c>
      <c r="N71" s="349">
        <f t="shared" si="11"/>
        <v>0</v>
      </c>
      <c r="O71" s="349">
        <f t="shared" si="14"/>
        <v>53200</v>
      </c>
      <c r="P71" s="349">
        <f t="shared" si="15"/>
        <v>53200</v>
      </c>
      <c r="Q71" s="349"/>
      <c r="R71" s="339"/>
      <c r="S71" s="339">
        <f t="shared" si="12"/>
        <v>0</v>
      </c>
      <c r="T71" s="337"/>
      <c r="U71" s="337"/>
      <c r="V71" s="337">
        <f t="shared" si="10"/>
        <v>0</v>
      </c>
      <c r="W71" s="338">
        <f t="shared" si="7"/>
        <v>0</v>
      </c>
      <c r="X71" s="337">
        <f t="shared" si="13"/>
        <v>53200</v>
      </c>
    </row>
    <row r="72" spans="1:24" ht="15.75" x14ac:dyDescent="0.25">
      <c r="A72" s="342" t="s">
        <v>627</v>
      </c>
      <c r="B72" s="270"/>
      <c r="C72" s="270"/>
      <c r="D72" s="348">
        <f>SUM(D73)</f>
        <v>0</v>
      </c>
      <c r="E72" s="348">
        <f>SUM(E73)</f>
        <v>500</v>
      </c>
      <c r="F72" s="347"/>
      <c r="G72" s="345">
        <f>SUM(G73:G76)</f>
        <v>85.84</v>
      </c>
      <c r="H72" s="345">
        <f>SUM(H73:H76)</f>
        <v>98.6</v>
      </c>
      <c r="I72" s="345">
        <f t="shared" si="6"/>
        <v>184.44</v>
      </c>
      <c r="J72" s="268"/>
      <c r="K72" s="268"/>
      <c r="L72" s="352"/>
      <c r="M72" s="264"/>
      <c r="N72" s="345">
        <f>SUM(N73:N76)</f>
        <v>1591820</v>
      </c>
      <c r="O72" s="345">
        <f>SUM(O73:O76)</f>
        <v>932880</v>
      </c>
      <c r="P72" s="345">
        <f>SUM(O72+N72)</f>
        <v>2524700</v>
      </c>
      <c r="Q72" s="345">
        <f>SUM(Q73:Q76)</f>
        <v>0</v>
      </c>
      <c r="R72" s="345">
        <f>SUM(R73:R76)</f>
        <v>0</v>
      </c>
      <c r="S72" s="345">
        <f t="shared" si="12"/>
        <v>0</v>
      </c>
      <c r="T72" s="263"/>
      <c r="U72" s="345">
        <f>SUM(U73:U76)</f>
        <v>0</v>
      </c>
      <c r="V72" s="345">
        <f>SUM(V73:V76)</f>
        <v>0</v>
      </c>
      <c r="W72" s="263">
        <f t="shared" si="7"/>
        <v>0</v>
      </c>
      <c r="X72" s="345">
        <f t="shared" si="13"/>
        <v>2524700</v>
      </c>
    </row>
    <row r="73" spans="1:24" ht="15.75" x14ac:dyDescent="0.25">
      <c r="A73" s="342"/>
      <c r="B73" s="344" t="s">
        <v>713</v>
      </c>
      <c r="C73" s="344" t="s">
        <v>1150</v>
      </c>
      <c r="D73" s="1850"/>
      <c r="E73" s="1850">
        <v>500</v>
      </c>
      <c r="F73" s="342" t="s">
        <v>521</v>
      </c>
      <c r="G73" s="337"/>
      <c r="H73" s="351">
        <v>50.6</v>
      </c>
      <c r="I73" s="337">
        <f t="shared" si="6"/>
        <v>50.6</v>
      </c>
      <c r="J73" s="351">
        <v>4.3</v>
      </c>
      <c r="K73" s="349">
        <f>J73-(J73*L73)</f>
        <v>1.7200000000000002</v>
      </c>
      <c r="L73" s="350">
        <v>0.6</v>
      </c>
      <c r="M73" s="349">
        <v>18000</v>
      </c>
      <c r="N73" s="349">
        <f>M73*L73*G73</f>
        <v>0</v>
      </c>
      <c r="O73" s="349">
        <f>M73*L73*I73</f>
        <v>546480</v>
      </c>
      <c r="P73" s="349">
        <f>N73+O73</f>
        <v>546480</v>
      </c>
      <c r="Q73" s="349"/>
      <c r="R73" s="339"/>
      <c r="S73" s="339">
        <f t="shared" si="12"/>
        <v>0</v>
      </c>
      <c r="T73" s="337"/>
      <c r="U73" s="337"/>
      <c r="V73" s="337">
        <f>SUM(S73*T73)*1000</f>
        <v>0</v>
      </c>
      <c r="W73" s="338">
        <f t="shared" si="7"/>
        <v>0</v>
      </c>
      <c r="X73" s="337">
        <f t="shared" si="13"/>
        <v>546480</v>
      </c>
    </row>
    <row r="74" spans="1:24" ht="15.75" x14ac:dyDescent="0.25">
      <c r="A74" s="342"/>
      <c r="B74" s="344" t="s">
        <v>713</v>
      </c>
      <c r="C74" s="344" t="s">
        <v>1150</v>
      </c>
      <c r="D74" s="1851"/>
      <c r="E74" s="1851"/>
      <c r="F74" s="342" t="s">
        <v>521</v>
      </c>
      <c r="G74" s="337">
        <v>76.5</v>
      </c>
      <c r="H74" s="351"/>
      <c r="I74" s="337">
        <f t="shared" si="6"/>
        <v>76.5</v>
      </c>
      <c r="J74" s="351">
        <v>4.3</v>
      </c>
      <c r="K74" s="349">
        <f>J74-(J74*L74)</f>
        <v>0</v>
      </c>
      <c r="L74" s="350">
        <v>1</v>
      </c>
      <c r="M74" s="349">
        <v>18000</v>
      </c>
      <c r="N74" s="349">
        <f>M74*L74*G74</f>
        <v>1377000</v>
      </c>
      <c r="O74" s="349"/>
      <c r="P74" s="349">
        <f>N74+O74</f>
        <v>1377000</v>
      </c>
      <c r="Q74" s="349"/>
      <c r="R74" s="339"/>
      <c r="S74" s="339">
        <f t="shared" si="12"/>
        <v>0</v>
      </c>
      <c r="T74" s="337"/>
      <c r="U74" s="337"/>
      <c r="V74" s="337">
        <f>SUM(S74*T74)*1000</f>
        <v>0</v>
      </c>
      <c r="W74" s="338">
        <f t="shared" si="7"/>
        <v>0</v>
      </c>
      <c r="X74" s="337">
        <f t="shared" si="13"/>
        <v>1377000</v>
      </c>
    </row>
    <row r="75" spans="1:24" ht="15.75" x14ac:dyDescent="0.25">
      <c r="A75" s="342"/>
      <c r="B75" s="344" t="s">
        <v>713</v>
      </c>
      <c r="C75" s="344" t="s">
        <v>1150</v>
      </c>
      <c r="D75" s="1851"/>
      <c r="E75" s="1851"/>
      <c r="F75" s="342" t="s">
        <v>539</v>
      </c>
      <c r="G75" s="337"/>
      <c r="H75" s="351">
        <v>48</v>
      </c>
      <c r="I75" s="337">
        <f t="shared" si="6"/>
        <v>48</v>
      </c>
      <c r="J75" s="351">
        <v>4.3</v>
      </c>
      <c r="K75" s="349">
        <f>J75-(J75*L75)</f>
        <v>2.7949999999999999</v>
      </c>
      <c r="L75" s="350">
        <v>0.35</v>
      </c>
      <c r="M75" s="349">
        <v>23000</v>
      </c>
      <c r="N75" s="349">
        <f>M75*L75*G75</f>
        <v>0</v>
      </c>
      <c r="O75" s="349">
        <f>M75*L75*I75</f>
        <v>386399.99999999994</v>
      </c>
      <c r="P75" s="349">
        <f>N75+O75</f>
        <v>386399.99999999994</v>
      </c>
      <c r="Q75" s="349"/>
      <c r="R75" s="339"/>
      <c r="S75" s="339">
        <f t="shared" si="12"/>
        <v>0</v>
      </c>
      <c r="T75" s="337"/>
      <c r="U75" s="337"/>
      <c r="V75" s="337">
        <f>SUM(S75*T75)*1000</f>
        <v>0</v>
      </c>
      <c r="W75" s="338">
        <f t="shared" si="7"/>
        <v>0</v>
      </c>
      <c r="X75" s="337">
        <f t="shared" si="13"/>
        <v>386399.99999999994</v>
      </c>
    </row>
    <row r="76" spans="1:24" ht="15.75" x14ac:dyDescent="0.25">
      <c r="A76" s="342"/>
      <c r="B76" s="344" t="s">
        <v>713</v>
      </c>
      <c r="C76" s="344" t="s">
        <v>1150</v>
      </c>
      <c r="D76" s="1851"/>
      <c r="E76" s="1851"/>
      <c r="F76" s="342" t="s">
        <v>539</v>
      </c>
      <c r="G76" s="337">
        <v>9.34</v>
      </c>
      <c r="H76" s="351"/>
      <c r="I76" s="337">
        <f t="shared" si="6"/>
        <v>9.34</v>
      </c>
      <c r="J76" s="351">
        <v>4.3</v>
      </c>
      <c r="K76" s="349">
        <f>J76-(J76*L76)</f>
        <v>0</v>
      </c>
      <c r="L76" s="350">
        <v>1</v>
      </c>
      <c r="M76" s="349">
        <v>23000</v>
      </c>
      <c r="N76" s="349">
        <f>M76*L76*G76</f>
        <v>214820</v>
      </c>
      <c r="O76" s="349"/>
      <c r="P76" s="349">
        <f>N76+O76</f>
        <v>214820</v>
      </c>
      <c r="Q76" s="349"/>
      <c r="R76" s="339"/>
      <c r="S76" s="339">
        <f t="shared" si="12"/>
        <v>0</v>
      </c>
      <c r="T76" s="337"/>
      <c r="U76" s="337"/>
      <c r="V76" s="337">
        <f>SUM(S76*T76)*1000</f>
        <v>0</v>
      </c>
      <c r="W76" s="338">
        <f t="shared" si="7"/>
        <v>0</v>
      </c>
      <c r="X76" s="337">
        <f t="shared" si="13"/>
        <v>214820</v>
      </c>
    </row>
    <row r="77" spans="1:24" ht="15.75" x14ac:dyDescent="0.25">
      <c r="A77" s="342" t="s">
        <v>628</v>
      </c>
      <c r="B77" s="270"/>
      <c r="C77" s="270"/>
      <c r="D77" s="348">
        <f>SUM(D78)</f>
        <v>0</v>
      </c>
      <c r="E77" s="348">
        <f>SUM(E78)</f>
        <v>142</v>
      </c>
      <c r="F77" s="347"/>
      <c r="G77" s="345">
        <f>SUM(G78:G79)</f>
        <v>0</v>
      </c>
      <c r="H77" s="345">
        <f>SUM(H78:H79)</f>
        <v>148</v>
      </c>
      <c r="I77" s="345">
        <f t="shared" si="6"/>
        <v>148</v>
      </c>
      <c r="J77" s="268"/>
      <c r="K77" s="268"/>
      <c r="L77" s="352"/>
      <c r="M77" s="264"/>
      <c r="N77" s="345">
        <f>SUM(N78:N79)</f>
        <v>0</v>
      </c>
      <c r="O77" s="345">
        <f>SUM(O78:O79)</f>
        <v>64700</v>
      </c>
      <c r="P77" s="345">
        <f>SUM(O77+N77)</f>
        <v>64700</v>
      </c>
      <c r="Q77" s="345">
        <f>SUM(Q78)</f>
        <v>0</v>
      </c>
      <c r="R77" s="345">
        <f>SUM(R78)</f>
        <v>0</v>
      </c>
      <c r="S77" s="345">
        <f t="shared" si="12"/>
        <v>0</v>
      </c>
      <c r="T77" s="263"/>
      <c r="U77" s="345">
        <f>SUM(U78)</f>
        <v>0</v>
      </c>
      <c r="V77" s="345">
        <f>SUM(V78)</f>
        <v>0</v>
      </c>
      <c r="W77" s="263">
        <f t="shared" si="7"/>
        <v>0</v>
      </c>
      <c r="X77" s="345">
        <f t="shared" si="13"/>
        <v>64700</v>
      </c>
    </row>
    <row r="78" spans="1:24" ht="15.75" x14ac:dyDescent="0.25">
      <c r="A78" s="342"/>
      <c r="B78" s="344" t="s">
        <v>713</v>
      </c>
      <c r="C78" s="344" t="s">
        <v>1150</v>
      </c>
      <c r="D78" s="1855"/>
      <c r="E78" s="1850">
        <v>142</v>
      </c>
      <c r="F78" s="342" t="s">
        <v>1151</v>
      </c>
      <c r="G78" s="337"/>
      <c r="H78" s="351">
        <v>62</v>
      </c>
      <c r="I78" s="337">
        <f t="shared" si="6"/>
        <v>62</v>
      </c>
      <c r="J78" s="351">
        <v>4.3</v>
      </c>
      <c r="K78" s="349">
        <f>J78-(J78*L78)</f>
        <v>3.8699999999999997</v>
      </c>
      <c r="L78" s="350">
        <v>0.1</v>
      </c>
      <c r="M78" s="349">
        <v>3500</v>
      </c>
      <c r="N78" s="349">
        <f>M78*L78*G78</f>
        <v>0</v>
      </c>
      <c r="O78" s="349">
        <f>M78*L78*I78</f>
        <v>21700</v>
      </c>
      <c r="P78" s="349">
        <f>N78+O78</f>
        <v>21700</v>
      </c>
      <c r="Q78" s="349"/>
      <c r="R78" s="339"/>
      <c r="S78" s="339">
        <f t="shared" si="12"/>
        <v>0</v>
      </c>
      <c r="T78" s="337"/>
      <c r="U78" s="337"/>
      <c r="V78" s="337">
        <f>SUM(S78*T78)*1000</f>
        <v>0</v>
      </c>
      <c r="W78" s="338">
        <f t="shared" si="7"/>
        <v>0</v>
      </c>
      <c r="X78" s="337">
        <f t="shared" si="13"/>
        <v>21700</v>
      </c>
    </row>
    <row r="79" spans="1:24" ht="15.75" x14ac:dyDescent="0.25">
      <c r="A79" s="342"/>
      <c r="B79" s="344" t="s">
        <v>713</v>
      </c>
      <c r="C79" s="344" t="s">
        <v>1153</v>
      </c>
      <c r="D79" s="1856"/>
      <c r="E79" s="1852"/>
      <c r="F79" s="342" t="s">
        <v>1151</v>
      </c>
      <c r="G79" s="337"/>
      <c r="H79" s="351">
        <v>86</v>
      </c>
      <c r="I79" s="337">
        <f t="shared" si="6"/>
        <v>86</v>
      </c>
      <c r="J79" s="351">
        <v>5</v>
      </c>
      <c r="K79" s="349">
        <f>J79-(J79*L79)</f>
        <v>4.5</v>
      </c>
      <c r="L79" s="350">
        <v>0.1</v>
      </c>
      <c r="M79" s="349">
        <v>5000</v>
      </c>
      <c r="N79" s="349">
        <f>M79*L79*G79</f>
        <v>0</v>
      </c>
      <c r="O79" s="349">
        <f>M79*L79*I79</f>
        <v>43000</v>
      </c>
      <c r="P79" s="349">
        <f>N79+O79</f>
        <v>43000</v>
      </c>
      <c r="Q79" s="349"/>
      <c r="R79" s="339"/>
      <c r="S79" s="339">
        <f t="shared" si="12"/>
        <v>0</v>
      </c>
      <c r="T79" s="337"/>
      <c r="U79" s="337"/>
      <c r="V79" s="337">
        <f>SUM(S79*T79)*1000</f>
        <v>0</v>
      </c>
      <c r="W79" s="338">
        <f t="shared" si="7"/>
        <v>0</v>
      </c>
      <c r="X79" s="337">
        <f t="shared" si="13"/>
        <v>43000</v>
      </c>
    </row>
    <row r="80" spans="1:24" ht="15.75" x14ac:dyDescent="0.25">
      <c r="A80" s="342" t="s">
        <v>385</v>
      </c>
      <c r="B80" s="270"/>
      <c r="C80" s="270"/>
      <c r="D80" s="348">
        <f>SUM(D81)</f>
        <v>0</v>
      </c>
      <c r="E80" s="348">
        <f>SUM(E81)</f>
        <v>0</v>
      </c>
      <c r="F80" s="347"/>
      <c r="G80" s="345">
        <f>SUM(G81)</f>
        <v>0</v>
      </c>
      <c r="H80" s="345">
        <f>SUM(H81)</f>
        <v>10</v>
      </c>
      <c r="I80" s="345">
        <f t="shared" si="6"/>
        <v>10</v>
      </c>
      <c r="J80" s="268"/>
      <c r="K80" s="268"/>
      <c r="L80" s="352"/>
      <c r="M80" s="264"/>
      <c r="N80" s="345">
        <f>SUM(N81)</f>
        <v>0</v>
      </c>
      <c r="O80" s="345">
        <f>SUM(O81)</f>
        <v>3500</v>
      </c>
      <c r="P80" s="345">
        <f>SUM(O80+N80)</f>
        <v>3500</v>
      </c>
      <c r="Q80" s="345">
        <f>SUM(Q81)</f>
        <v>0</v>
      </c>
      <c r="R80" s="345">
        <f>SUM(R81)</f>
        <v>0</v>
      </c>
      <c r="S80" s="345">
        <f t="shared" si="12"/>
        <v>0</v>
      </c>
      <c r="T80" s="263"/>
      <c r="U80" s="345">
        <f>SUM(U81)</f>
        <v>0</v>
      </c>
      <c r="V80" s="345">
        <f>SUM(V81)</f>
        <v>0</v>
      </c>
      <c r="W80" s="263">
        <f t="shared" si="7"/>
        <v>0</v>
      </c>
      <c r="X80" s="345">
        <f t="shared" si="13"/>
        <v>3500</v>
      </c>
    </row>
    <row r="81" spans="1:24" ht="15.75" x14ac:dyDescent="0.25">
      <c r="A81" s="342"/>
      <c r="B81" s="344" t="s">
        <v>713</v>
      </c>
      <c r="C81" s="344" t="s">
        <v>1150</v>
      </c>
      <c r="D81" s="1571"/>
      <c r="E81" s="1569"/>
      <c r="F81" s="342" t="s">
        <v>1151</v>
      </c>
      <c r="G81" s="337"/>
      <c r="H81" s="351">
        <v>10</v>
      </c>
      <c r="I81" s="337">
        <f t="shared" si="6"/>
        <v>10</v>
      </c>
      <c r="J81" s="351">
        <v>4.3</v>
      </c>
      <c r="K81" s="349">
        <f>J81-(J81*L81)</f>
        <v>3.8699999999999997</v>
      </c>
      <c r="L81" s="350">
        <v>0.1</v>
      </c>
      <c r="M81" s="349">
        <v>3500</v>
      </c>
      <c r="N81" s="349">
        <f>M81*L81*G81</f>
        <v>0</v>
      </c>
      <c r="O81" s="349">
        <f>M81*L81*I81</f>
        <v>3500</v>
      </c>
      <c r="P81" s="349">
        <f>N81+O81</f>
        <v>3500</v>
      </c>
      <c r="Q81" s="349"/>
      <c r="R81" s="339"/>
      <c r="S81" s="339">
        <f t="shared" si="12"/>
        <v>0</v>
      </c>
      <c r="T81" s="337"/>
      <c r="U81" s="337"/>
      <c r="V81" s="337">
        <f>SUM(S81*T81)*1000</f>
        <v>0</v>
      </c>
      <c r="W81" s="338">
        <f t="shared" si="7"/>
        <v>0</v>
      </c>
      <c r="X81" s="337">
        <f t="shared" si="13"/>
        <v>3500</v>
      </c>
    </row>
    <row r="82" spans="1:24" ht="15.75" x14ac:dyDescent="0.25">
      <c r="A82" s="342" t="s">
        <v>492</v>
      </c>
      <c r="B82" s="270"/>
      <c r="C82" s="270"/>
      <c r="D82" s="348">
        <f>SUM(D83)</f>
        <v>200</v>
      </c>
      <c r="E82" s="348">
        <f>SUM(E83)</f>
        <v>300</v>
      </c>
      <c r="F82" s="347"/>
      <c r="G82" s="345">
        <f>SUM(G83:G85)</f>
        <v>154</v>
      </c>
      <c r="H82" s="345">
        <f>SUM(H83:H85)</f>
        <v>49</v>
      </c>
      <c r="I82" s="345">
        <f t="shared" si="6"/>
        <v>203</v>
      </c>
      <c r="J82" s="268"/>
      <c r="K82" s="268"/>
      <c r="L82" s="352"/>
      <c r="M82" s="264"/>
      <c r="N82" s="345">
        <f>SUM(N83:N85)</f>
        <v>669500</v>
      </c>
      <c r="O82" s="345">
        <f>SUM(O83:O85)</f>
        <v>34300</v>
      </c>
      <c r="P82" s="345">
        <f>SUM(O82+N82)</f>
        <v>703800</v>
      </c>
      <c r="Q82" s="345">
        <f>SUM(Q83)</f>
        <v>0</v>
      </c>
      <c r="R82" s="345">
        <f>SUM(R83)</f>
        <v>0</v>
      </c>
      <c r="S82" s="345">
        <f t="shared" si="12"/>
        <v>0</v>
      </c>
      <c r="T82" s="263"/>
      <c r="U82" s="345">
        <f>SUM(U83:U85)</f>
        <v>0</v>
      </c>
      <c r="V82" s="345">
        <f>SUM(V83:V85)</f>
        <v>0</v>
      </c>
      <c r="W82" s="263">
        <f t="shared" si="7"/>
        <v>0</v>
      </c>
      <c r="X82" s="345">
        <f t="shared" si="13"/>
        <v>703800</v>
      </c>
    </row>
    <row r="83" spans="1:24" ht="15.75" x14ac:dyDescent="0.25">
      <c r="A83" s="342"/>
      <c r="B83" s="344" t="s">
        <v>713</v>
      </c>
      <c r="C83" s="344" t="s">
        <v>1150</v>
      </c>
      <c r="D83" s="1850">
        <v>200</v>
      </c>
      <c r="E83" s="1850">
        <v>300</v>
      </c>
      <c r="F83" s="342" t="s">
        <v>619</v>
      </c>
      <c r="G83" s="337">
        <v>67</v>
      </c>
      <c r="H83" s="351"/>
      <c r="I83" s="337">
        <f t="shared" si="6"/>
        <v>67</v>
      </c>
      <c r="J83" s="351">
        <v>4.3</v>
      </c>
      <c r="K83" s="349">
        <f>J83-(J83*L83)</f>
        <v>0</v>
      </c>
      <c r="L83" s="350">
        <v>1</v>
      </c>
      <c r="M83" s="349">
        <v>3500</v>
      </c>
      <c r="N83" s="349">
        <f>M83*L83*G83</f>
        <v>234500</v>
      </c>
      <c r="O83" s="349"/>
      <c r="P83" s="349">
        <f>N83+O83</f>
        <v>234500</v>
      </c>
      <c r="Q83" s="349"/>
      <c r="R83" s="339"/>
      <c r="S83" s="339">
        <f t="shared" si="12"/>
        <v>0</v>
      </c>
      <c r="T83" s="337"/>
      <c r="U83" s="337"/>
      <c r="V83" s="337">
        <f>SUM(S83*T83)*1000</f>
        <v>0</v>
      </c>
      <c r="W83" s="338">
        <f t="shared" si="7"/>
        <v>0</v>
      </c>
      <c r="X83" s="337">
        <f t="shared" si="13"/>
        <v>234500</v>
      </c>
    </row>
    <row r="84" spans="1:24" ht="15.75" x14ac:dyDescent="0.25">
      <c r="A84" s="342"/>
      <c r="B84" s="344" t="s">
        <v>713</v>
      </c>
      <c r="C84" s="344" t="s">
        <v>1150</v>
      </c>
      <c r="D84" s="1851"/>
      <c r="E84" s="1851"/>
      <c r="F84" s="342" t="s">
        <v>619</v>
      </c>
      <c r="G84" s="337"/>
      <c r="H84" s="351">
        <v>49</v>
      </c>
      <c r="I84" s="337">
        <f t="shared" ref="I84:I115" si="16">SUM(G84+H84)</f>
        <v>49</v>
      </c>
      <c r="J84" s="351">
        <v>4.3</v>
      </c>
      <c r="K84" s="349">
        <f>J84-(J84*L84)</f>
        <v>3.44</v>
      </c>
      <c r="L84" s="350">
        <v>0.2</v>
      </c>
      <c r="M84" s="349">
        <v>3500</v>
      </c>
      <c r="N84" s="349">
        <f>M84*L84*G84</f>
        <v>0</v>
      </c>
      <c r="O84" s="349">
        <f>M84*L84*I84</f>
        <v>34300</v>
      </c>
      <c r="P84" s="349">
        <f>N84+O84</f>
        <v>34300</v>
      </c>
      <c r="Q84" s="349"/>
      <c r="R84" s="339"/>
      <c r="S84" s="339">
        <f t="shared" si="12"/>
        <v>0</v>
      </c>
      <c r="T84" s="337"/>
      <c r="U84" s="337"/>
      <c r="V84" s="337">
        <f>SUM(S84*T84)*1000</f>
        <v>0</v>
      </c>
      <c r="W84" s="338">
        <f t="shared" ref="W84:W115" si="17">SUM(U84+V84)</f>
        <v>0</v>
      </c>
      <c r="X84" s="337">
        <f t="shared" si="13"/>
        <v>34300</v>
      </c>
    </row>
    <row r="85" spans="1:24" ht="15.75" x14ac:dyDescent="0.25">
      <c r="A85" s="342"/>
      <c r="B85" s="344" t="s">
        <v>713</v>
      </c>
      <c r="C85" s="344" t="s">
        <v>1153</v>
      </c>
      <c r="D85" s="1852"/>
      <c r="E85" s="1852"/>
      <c r="F85" s="342" t="s">
        <v>1151</v>
      </c>
      <c r="G85" s="337">
        <v>87</v>
      </c>
      <c r="H85" s="351"/>
      <c r="I85" s="337">
        <f t="shared" si="16"/>
        <v>87</v>
      </c>
      <c r="J85" s="351">
        <v>5</v>
      </c>
      <c r="K85" s="349">
        <f>J85-(J85*L85)</f>
        <v>0</v>
      </c>
      <c r="L85" s="350">
        <v>1</v>
      </c>
      <c r="M85" s="349">
        <v>5000</v>
      </c>
      <c r="N85" s="349">
        <f>M85*L85*G85</f>
        <v>435000</v>
      </c>
      <c r="O85" s="349"/>
      <c r="P85" s="349">
        <f>N85+O85</f>
        <v>435000</v>
      </c>
      <c r="Q85" s="349"/>
      <c r="R85" s="339"/>
      <c r="S85" s="339">
        <f t="shared" si="12"/>
        <v>0</v>
      </c>
      <c r="T85" s="337"/>
      <c r="U85" s="337"/>
      <c r="V85" s="337">
        <f>SUM(S85*T85)*1000</f>
        <v>0</v>
      </c>
      <c r="W85" s="338">
        <f t="shared" si="17"/>
        <v>0</v>
      </c>
      <c r="X85" s="337">
        <f t="shared" si="13"/>
        <v>435000</v>
      </c>
    </row>
    <row r="86" spans="1:24" ht="15.75" x14ac:dyDescent="0.25">
      <c r="A86" s="342" t="s">
        <v>639</v>
      </c>
      <c r="B86" s="270"/>
      <c r="C86" s="270"/>
      <c r="D86" s="348">
        <f>SUM(D87)</f>
        <v>0</v>
      </c>
      <c r="E86" s="348">
        <f>SUM(E87)</f>
        <v>0</v>
      </c>
      <c r="F86" s="347"/>
      <c r="G86" s="345">
        <f>SUM(G87)</f>
        <v>0</v>
      </c>
      <c r="H86" s="345">
        <f>SUM(H87)</f>
        <v>15</v>
      </c>
      <c r="I86" s="345">
        <f t="shared" si="16"/>
        <v>15</v>
      </c>
      <c r="J86" s="268"/>
      <c r="K86" s="268"/>
      <c r="L86" s="352"/>
      <c r="M86" s="264"/>
      <c r="N86" s="345">
        <f>SUM(N87)</f>
        <v>0</v>
      </c>
      <c r="O86" s="345">
        <f>SUM(O87)</f>
        <v>27000</v>
      </c>
      <c r="P86" s="345">
        <f>SUM(O86+N86)</f>
        <v>27000</v>
      </c>
      <c r="Q86" s="345">
        <f>SUM(Q87)</f>
        <v>0</v>
      </c>
      <c r="R86" s="345">
        <f>SUM(R87)</f>
        <v>0</v>
      </c>
      <c r="S86" s="345">
        <f t="shared" si="12"/>
        <v>0</v>
      </c>
      <c r="T86" s="263"/>
      <c r="U86" s="345">
        <f>SUM(U87)</f>
        <v>0</v>
      </c>
      <c r="V86" s="345">
        <f>SUM(V87)</f>
        <v>0</v>
      </c>
      <c r="W86" s="263">
        <f t="shared" si="17"/>
        <v>0</v>
      </c>
      <c r="X86" s="345">
        <f t="shared" si="13"/>
        <v>27000</v>
      </c>
    </row>
    <row r="87" spans="1:24" ht="15.75" x14ac:dyDescent="0.25">
      <c r="A87" s="342"/>
      <c r="B87" s="344" t="s">
        <v>713</v>
      </c>
      <c r="C87" s="344" t="s">
        <v>1150</v>
      </c>
      <c r="D87" s="1571"/>
      <c r="E87" s="1569"/>
      <c r="F87" s="342" t="s">
        <v>521</v>
      </c>
      <c r="G87" s="337"/>
      <c r="H87" s="351">
        <v>15</v>
      </c>
      <c r="I87" s="337">
        <f t="shared" si="16"/>
        <v>15</v>
      </c>
      <c r="J87" s="351">
        <v>4.3</v>
      </c>
      <c r="K87" s="349">
        <f>J87-(J87*L87)</f>
        <v>3.8699999999999997</v>
      </c>
      <c r="L87" s="350">
        <v>0.1</v>
      </c>
      <c r="M87" s="349">
        <v>18000</v>
      </c>
      <c r="N87" s="349">
        <f>M87*L87*G87</f>
        <v>0</v>
      </c>
      <c r="O87" s="349">
        <f>M87*L87*I87</f>
        <v>27000</v>
      </c>
      <c r="P87" s="349">
        <f>N87+O87</f>
        <v>27000</v>
      </c>
      <c r="Q87" s="349"/>
      <c r="R87" s="339"/>
      <c r="S87" s="339">
        <f t="shared" si="12"/>
        <v>0</v>
      </c>
      <c r="T87" s="337"/>
      <c r="U87" s="337"/>
      <c r="V87" s="337">
        <f>SUM(S87*T87)*1000</f>
        <v>0</v>
      </c>
      <c r="W87" s="338">
        <f t="shared" si="17"/>
        <v>0</v>
      </c>
      <c r="X87" s="337">
        <f t="shared" si="13"/>
        <v>27000</v>
      </c>
    </row>
    <row r="88" spans="1:24" ht="15.75" x14ac:dyDescent="0.25">
      <c r="A88" s="342" t="s">
        <v>499</v>
      </c>
      <c r="B88" s="270"/>
      <c r="C88" s="270"/>
      <c r="D88" s="348">
        <f>D89</f>
        <v>0</v>
      </c>
      <c r="E88" s="348">
        <f>E89</f>
        <v>0</v>
      </c>
      <c r="F88" s="347"/>
      <c r="G88" s="345">
        <f>G89</f>
        <v>0</v>
      </c>
      <c r="H88" s="345">
        <f>H89</f>
        <v>50</v>
      </c>
      <c r="I88" s="345">
        <f t="shared" si="16"/>
        <v>50</v>
      </c>
      <c r="J88" s="268"/>
      <c r="K88" s="268"/>
      <c r="L88" s="352"/>
      <c r="M88" s="264"/>
      <c r="N88" s="263">
        <f>N89</f>
        <v>0</v>
      </c>
      <c r="O88" s="345">
        <f>O89</f>
        <v>0</v>
      </c>
      <c r="P88" s="345">
        <f>SUM(O88+N88)</f>
        <v>0</v>
      </c>
      <c r="Q88" s="345">
        <f>Q89</f>
        <v>0</v>
      </c>
      <c r="R88" s="345">
        <f>R89</f>
        <v>32.25</v>
      </c>
      <c r="S88" s="345">
        <f t="shared" si="12"/>
        <v>32.25</v>
      </c>
      <c r="T88" s="263"/>
      <c r="U88" s="345">
        <f>U89</f>
        <v>0</v>
      </c>
      <c r="V88" s="345">
        <f>V89</f>
        <v>516000</v>
      </c>
      <c r="W88" s="263">
        <f t="shared" si="17"/>
        <v>516000</v>
      </c>
      <c r="X88" s="345">
        <f t="shared" si="13"/>
        <v>516000</v>
      </c>
    </row>
    <row r="89" spans="1:24" ht="15.75" x14ac:dyDescent="0.25">
      <c r="A89" s="342"/>
      <c r="B89" s="344" t="s">
        <v>713</v>
      </c>
      <c r="C89" s="344" t="s">
        <v>473</v>
      </c>
      <c r="D89" s="1570"/>
      <c r="E89" s="348"/>
      <c r="F89" s="342" t="s">
        <v>474</v>
      </c>
      <c r="G89" s="337"/>
      <c r="H89" s="351">
        <v>50</v>
      </c>
      <c r="I89" s="337">
        <f t="shared" si="16"/>
        <v>50</v>
      </c>
      <c r="J89" s="351">
        <v>4.3</v>
      </c>
      <c r="K89" s="349">
        <f>J89-(J89*L89)</f>
        <v>3.6549999999999998</v>
      </c>
      <c r="L89" s="350">
        <v>0.15</v>
      </c>
      <c r="M89" s="349"/>
      <c r="N89" s="349">
        <f>M89*L89*G89</f>
        <v>0</v>
      </c>
      <c r="O89" s="349"/>
      <c r="P89" s="349"/>
      <c r="Q89" s="349"/>
      <c r="R89" s="339">
        <f>SUM(L89*I89*J89)</f>
        <v>32.25</v>
      </c>
      <c r="S89" s="339">
        <f t="shared" si="12"/>
        <v>32.25</v>
      </c>
      <c r="T89" s="337">
        <v>16</v>
      </c>
      <c r="U89" s="337"/>
      <c r="V89" s="337">
        <f>SUM(S89*T89)*1000</f>
        <v>516000</v>
      </c>
      <c r="W89" s="338">
        <f t="shared" si="17"/>
        <v>516000</v>
      </c>
      <c r="X89" s="337">
        <f t="shared" si="13"/>
        <v>516000</v>
      </c>
    </row>
    <row r="90" spans="1:24" ht="15.75" x14ac:dyDescent="0.25">
      <c r="A90" s="342" t="s">
        <v>649</v>
      </c>
      <c r="B90" s="270"/>
      <c r="C90" s="270"/>
      <c r="D90" s="348">
        <f>D91</f>
        <v>70</v>
      </c>
      <c r="E90" s="348">
        <f>E91</f>
        <v>213</v>
      </c>
      <c r="F90" s="347"/>
      <c r="G90" s="345">
        <f>G91</f>
        <v>0</v>
      </c>
      <c r="H90" s="345">
        <f>H91</f>
        <v>78</v>
      </c>
      <c r="I90" s="345">
        <f t="shared" si="16"/>
        <v>78</v>
      </c>
      <c r="J90" s="268"/>
      <c r="K90" s="268"/>
      <c r="L90" s="352"/>
      <c r="M90" s="264"/>
      <c r="N90" s="263">
        <f>N91</f>
        <v>0</v>
      </c>
      <c r="O90" s="345">
        <f>O91</f>
        <v>0</v>
      </c>
      <c r="P90" s="345">
        <f>SUM(O90+N90)</f>
        <v>0</v>
      </c>
      <c r="Q90" s="345">
        <f>Q91</f>
        <v>0</v>
      </c>
      <c r="R90" s="345">
        <f>R91</f>
        <v>39</v>
      </c>
      <c r="S90" s="345">
        <f t="shared" si="12"/>
        <v>39</v>
      </c>
      <c r="T90" s="263"/>
      <c r="U90" s="345">
        <f>U91</f>
        <v>0</v>
      </c>
      <c r="V90" s="345">
        <f>V91</f>
        <v>585000</v>
      </c>
      <c r="W90" s="263">
        <f t="shared" si="17"/>
        <v>585000</v>
      </c>
      <c r="X90" s="345">
        <f t="shared" si="13"/>
        <v>585000</v>
      </c>
    </row>
    <row r="91" spans="1:24" ht="15.75" x14ac:dyDescent="0.25">
      <c r="A91" s="342"/>
      <c r="B91" s="344" t="s">
        <v>713</v>
      </c>
      <c r="C91" s="344" t="s">
        <v>473</v>
      </c>
      <c r="D91" s="1570">
        <v>70</v>
      </c>
      <c r="E91" s="343">
        <v>213</v>
      </c>
      <c r="F91" s="342" t="s">
        <v>501</v>
      </c>
      <c r="G91" s="337"/>
      <c r="H91" s="341">
        <v>78</v>
      </c>
      <c r="I91" s="337">
        <f t="shared" si="16"/>
        <v>78</v>
      </c>
      <c r="J91" s="341">
        <v>5</v>
      </c>
      <c r="K91" s="337">
        <f>J91-(J91*L91)</f>
        <v>4.5</v>
      </c>
      <c r="L91" s="340">
        <v>0.1</v>
      </c>
      <c r="M91" s="337"/>
      <c r="N91" s="337">
        <f>M91*L91*G91</f>
        <v>0</v>
      </c>
      <c r="O91" s="337"/>
      <c r="P91" s="337"/>
      <c r="Q91" s="337"/>
      <c r="R91" s="339">
        <f>SUM(L91*I91*J91)</f>
        <v>39</v>
      </c>
      <c r="S91" s="339">
        <f t="shared" si="12"/>
        <v>39</v>
      </c>
      <c r="T91" s="337">
        <v>15</v>
      </c>
      <c r="U91" s="337"/>
      <c r="V91" s="337">
        <f>SUM(S91*T91)*1000</f>
        <v>585000</v>
      </c>
      <c r="W91" s="338">
        <f t="shared" si="17"/>
        <v>585000</v>
      </c>
      <c r="X91" s="337">
        <f t="shared" si="13"/>
        <v>585000</v>
      </c>
    </row>
    <row r="92" spans="1:24" ht="15.75" x14ac:dyDescent="0.25">
      <c r="A92" s="342" t="s">
        <v>514</v>
      </c>
      <c r="B92" s="270"/>
      <c r="C92" s="270"/>
      <c r="D92" s="348">
        <f>SUM(D93:D94)</f>
        <v>16</v>
      </c>
      <c r="E92" s="348">
        <f>SUM(E93:E94)</f>
        <v>2512</v>
      </c>
      <c r="F92" s="347"/>
      <c r="G92" s="348">
        <f>SUM(G93:G94)</f>
        <v>0</v>
      </c>
      <c r="H92" s="348">
        <f>SUM(H93:H94)</f>
        <v>13</v>
      </c>
      <c r="I92" s="345">
        <f t="shared" si="16"/>
        <v>13</v>
      </c>
      <c r="J92" s="268"/>
      <c r="K92" s="268"/>
      <c r="L92" s="352"/>
      <c r="M92" s="264"/>
      <c r="N92" s="348">
        <f>SUM(N93:N94)</f>
        <v>0</v>
      </c>
      <c r="O92" s="348">
        <f>SUM(O93:O94)</f>
        <v>3500</v>
      </c>
      <c r="P92" s="345">
        <f>SUM(O92+N92)</f>
        <v>3500</v>
      </c>
      <c r="Q92" s="348">
        <f>SUM(Q93:Q94)</f>
        <v>0</v>
      </c>
      <c r="R92" s="348">
        <f>SUM(R93:R94)</f>
        <v>1.9349999999999998</v>
      </c>
      <c r="S92" s="345">
        <f t="shared" si="12"/>
        <v>1.9349999999999998</v>
      </c>
      <c r="T92" s="263"/>
      <c r="U92" s="348">
        <f>SUM(U93:U94)</f>
        <v>0</v>
      </c>
      <c r="V92" s="348">
        <f>SUM(V93:V94)</f>
        <v>29992.499999999996</v>
      </c>
      <c r="W92" s="263">
        <f t="shared" si="17"/>
        <v>29992.499999999996</v>
      </c>
      <c r="X92" s="345">
        <f t="shared" si="13"/>
        <v>33492.5</v>
      </c>
    </row>
    <row r="93" spans="1:24" ht="15.75" x14ac:dyDescent="0.25">
      <c r="A93" s="342"/>
      <c r="B93" s="344" t="s">
        <v>713</v>
      </c>
      <c r="C93" s="344" t="s">
        <v>1150</v>
      </c>
      <c r="D93" s="348"/>
      <c r="E93" s="348"/>
      <c r="F93" s="342" t="s">
        <v>501</v>
      </c>
      <c r="G93" s="337"/>
      <c r="H93" s="351">
        <v>3</v>
      </c>
      <c r="I93" s="337">
        <f t="shared" si="16"/>
        <v>3</v>
      </c>
      <c r="J93" s="351">
        <v>4.3</v>
      </c>
      <c r="K93" s="349">
        <f>J93-(J93*L93)</f>
        <v>3.6549999999999998</v>
      </c>
      <c r="L93" s="350">
        <v>0.15</v>
      </c>
      <c r="M93" s="349"/>
      <c r="N93" s="349"/>
      <c r="O93" s="349"/>
      <c r="P93" s="349"/>
      <c r="Q93" s="349"/>
      <c r="R93" s="339">
        <f>SUM(L93*I93*J93)</f>
        <v>1.9349999999999998</v>
      </c>
      <c r="S93" s="339">
        <f t="shared" si="12"/>
        <v>1.9349999999999998</v>
      </c>
      <c r="T93" s="337">
        <v>15.5</v>
      </c>
      <c r="U93" s="337"/>
      <c r="V93" s="337">
        <f>SUM(S93*T93)*1000</f>
        <v>29992.499999999996</v>
      </c>
      <c r="W93" s="338">
        <f t="shared" si="17"/>
        <v>29992.499999999996</v>
      </c>
      <c r="X93" s="337">
        <f t="shared" si="13"/>
        <v>29992.499999999996</v>
      </c>
    </row>
    <row r="94" spans="1:24" ht="15.75" x14ac:dyDescent="0.25">
      <c r="A94" s="342"/>
      <c r="B94" s="344" t="s">
        <v>713</v>
      </c>
      <c r="C94" s="344" t="s">
        <v>1150</v>
      </c>
      <c r="D94" s="1570">
        <v>16</v>
      </c>
      <c r="E94" s="353">
        <v>2512</v>
      </c>
      <c r="F94" s="342" t="s">
        <v>1151</v>
      </c>
      <c r="G94" s="337"/>
      <c r="H94" s="351">
        <v>10</v>
      </c>
      <c r="I94" s="337">
        <f t="shared" si="16"/>
        <v>10</v>
      </c>
      <c r="J94" s="351">
        <v>4.3</v>
      </c>
      <c r="K94" s="349">
        <f>J94-(J94*L94)</f>
        <v>3.8699999999999997</v>
      </c>
      <c r="L94" s="350">
        <v>0.1</v>
      </c>
      <c r="M94" s="349">
        <v>3500</v>
      </c>
      <c r="N94" s="349">
        <f>M94*L94*G94</f>
        <v>0</v>
      </c>
      <c r="O94" s="349">
        <f>M94*L94*I94</f>
        <v>3500</v>
      </c>
      <c r="P94" s="349">
        <f>N94+O94</f>
        <v>3500</v>
      </c>
      <c r="Q94" s="349"/>
      <c r="R94" s="339"/>
      <c r="S94" s="339">
        <f t="shared" si="12"/>
        <v>0</v>
      </c>
      <c r="T94" s="337"/>
      <c r="U94" s="337"/>
      <c r="V94" s="337">
        <f>SUM(S94*T94)*1000</f>
        <v>0</v>
      </c>
      <c r="W94" s="338">
        <f t="shared" si="17"/>
        <v>0</v>
      </c>
      <c r="X94" s="337">
        <f t="shared" si="13"/>
        <v>3500</v>
      </c>
    </row>
    <row r="95" spans="1:24" ht="15.75" x14ac:dyDescent="0.25">
      <c r="A95" s="342" t="s">
        <v>989</v>
      </c>
      <c r="B95" s="270"/>
      <c r="C95" s="270"/>
      <c r="D95" s="348">
        <f>D96</f>
        <v>10</v>
      </c>
      <c r="E95" s="348">
        <f>E96</f>
        <v>505</v>
      </c>
      <c r="F95" s="347"/>
      <c r="G95" s="345">
        <f>G96</f>
        <v>0</v>
      </c>
      <c r="H95" s="345">
        <f>H96</f>
        <v>9.6</v>
      </c>
      <c r="I95" s="345">
        <f t="shared" si="16"/>
        <v>9.6</v>
      </c>
      <c r="J95" s="263"/>
      <c r="K95" s="263"/>
      <c r="L95" s="346"/>
      <c r="M95" s="338"/>
      <c r="N95" s="263">
        <f>N96</f>
        <v>0</v>
      </c>
      <c r="O95" s="345">
        <f>O96</f>
        <v>0</v>
      </c>
      <c r="P95" s="345">
        <f>SUM(O95+N95)</f>
        <v>0</v>
      </c>
      <c r="Q95" s="345">
        <f>Q96</f>
        <v>0</v>
      </c>
      <c r="R95" s="345">
        <f>R96</f>
        <v>7.1999999999999993</v>
      </c>
      <c r="S95" s="345">
        <f t="shared" si="12"/>
        <v>7.1999999999999993</v>
      </c>
      <c r="T95" s="263"/>
      <c r="U95" s="345">
        <f>U96</f>
        <v>0</v>
      </c>
      <c r="V95" s="345">
        <f>V96</f>
        <v>107999.99999999999</v>
      </c>
      <c r="W95" s="263">
        <f t="shared" si="17"/>
        <v>107999.99999999999</v>
      </c>
      <c r="X95" s="345">
        <f t="shared" si="13"/>
        <v>107999.99999999999</v>
      </c>
    </row>
    <row r="96" spans="1:24" ht="15.75" x14ac:dyDescent="0.25">
      <c r="A96" s="342"/>
      <c r="B96" s="344" t="s">
        <v>713</v>
      </c>
      <c r="C96" s="344" t="s">
        <v>473</v>
      </c>
      <c r="D96" s="1570">
        <v>10</v>
      </c>
      <c r="E96" s="343">
        <v>505</v>
      </c>
      <c r="F96" s="342" t="s">
        <v>501</v>
      </c>
      <c r="G96" s="337"/>
      <c r="H96" s="341">
        <v>9.6</v>
      </c>
      <c r="I96" s="337">
        <f t="shared" si="16"/>
        <v>9.6</v>
      </c>
      <c r="J96" s="341">
        <v>5</v>
      </c>
      <c r="K96" s="337">
        <f>J96-(J96*L96)</f>
        <v>4.25</v>
      </c>
      <c r="L96" s="340">
        <v>0.15</v>
      </c>
      <c r="M96" s="337"/>
      <c r="N96" s="337">
        <f>M96*L96*G96</f>
        <v>0</v>
      </c>
      <c r="O96" s="337"/>
      <c r="P96" s="337"/>
      <c r="Q96" s="337"/>
      <c r="R96" s="339">
        <f>SUM(L96*I96*J96)</f>
        <v>7.1999999999999993</v>
      </c>
      <c r="S96" s="339">
        <f t="shared" ref="S96:S127" si="18">SUM(R96+Q96)</f>
        <v>7.1999999999999993</v>
      </c>
      <c r="T96" s="337">
        <v>15</v>
      </c>
      <c r="U96" s="337"/>
      <c r="V96" s="337">
        <f>SUM(S96*T96)*1000</f>
        <v>107999.99999999999</v>
      </c>
      <c r="W96" s="338">
        <f t="shared" si="17"/>
        <v>107999.99999999999</v>
      </c>
      <c r="X96" s="337">
        <f t="shared" ref="X96:X127" si="19">SUM(W96+P96)</f>
        <v>107999.99999999999</v>
      </c>
    </row>
    <row r="97" spans="1:24" ht="15.75" x14ac:dyDescent="0.25">
      <c r="A97" s="342" t="s">
        <v>511</v>
      </c>
      <c r="B97" s="270"/>
      <c r="C97" s="270"/>
      <c r="D97" s="348">
        <f>D98</f>
        <v>100</v>
      </c>
      <c r="E97" s="348">
        <f>E98</f>
        <v>375</v>
      </c>
      <c r="F97" s="347"/>
      <c r="G97" s="345">
        <f>G98</f>
        <v>0</v>
      </c>
      <c r="H97" s="345">
        <f>SUM(H98:H99)</f>
        <v>116.30000000000001</v>
      </c>
      <c r="I97" s="345">
        <f t="shared" si="16"/>
        <v>116.30000000000001</v>
      </c>
      <c r="J97" s="263"/>
      <c r="K97" s="263"/>
      <c r="L97" s="346"/>
      <c r="M97" s="338"/>
      <c r="N97" s="345">
        <f>SUM(N98:N99)</f>
        <v>0</v>
      </c>
      <c r="O97" s="345">
        <f>SUM(O98:O99)</f>
        <v>0</v>
      </c>
      <c r="P97" s="345">
        <f>SUM(O97+N97)</f>
        <v>0</v>
      </c>
      <c r="Q97" s="345">
        <f>SUM(Q98:Q99)</f>
        <v>0</v>
      </c>
      <c r="R97" s="345">
        <f>SUM(R98:R99)</f>
        <v>87.225000000000009</v>
      </c>
      <c r="S97" s="345">
        <f t="shared" si="18"/>
        <v>87.225000000000009</v>
      </c>
      <c r="T97" s="263"/>
      <c r="U97" s="345">
        <f>SUM(U98:U99)</f>
        <v>0</v>
      </c>
      <c r="V97" s="345">
        <f>SUM(V98:V99)</f>
        <v>1308375.0000000002</v>
      </c>
      <c r="W97" s="263">
        <f t="shared" si="17"/>
        <v>1308375.0000000002</v>
      </c>
      <c r="X97" s="345">
        <f t="shared" si="19"/>
        <v>1308375.0000000002</v>
      </c>
    </row>
    <row r="98" spans="1:24" ht="15.75" x14ac:dyDescent="0.25">
      <c r="A98" s="342"/>
      <c r="B98" s="344" t="s">
        <v>713</v>
      </c>
      <c r="C98" s="344" t="s">
        <v>473</v>
      </c>
      <c r="D98" s="1853">
        <v>100</v>
      </c>
      <c r="E98" s="1854">
        <v>375</v>
      </c>
      <c r="F98" s="342" t="s">
        <v>586</v>
      </c>
      <c r="G98" s="337"/>
      <c r="H98" s="341">
        <v>2.9</v>
      </c>
      <c r="I98" s="337">
        <f t="shared" si="16"/>
        <v>2.9</v>
      </c>
      <c r="J98" s="341">
        <v>5</v>
      </c>
      <c r="K98" s="337">
        <f>J98-(J98*L98)</f>
        <v>4.25</v>
      </c>
      <c r="L98" s="340">
        <v>0.15</v>
      </c>
      <c r="M98" s="337"/>
      <c r="N98" s="337">
        <f>M98*L98*G98</f>
        <v>0</v>
      </c>
      <c r="O98" s="337"/>
      <c r="P98" s="337"/>
      <c r="Q98" s="337"/>
      <c r="R98" s="339">
        <f>SUM(L98*I98*J98)</f>
        <v>2.1749999999999998</v>
      </c>
      <c r="S98" s="339">
        <f t="shared" si="18"/>
        <v>2.1749999999999998</v>
      </c>
      <c r="T98" s="337">
        <v>15</v>
      </c>
      <c r="U98" s="337"/>
      <c r="V98" s="337">
        <f>SUM(S98*T98)*1000</f>
        <v>32625</v>
      </c>
      <c r="W98" s="338">
        <f t="shared" si="17"/>
        <v>32625</v>
      </c>
      <c r="X98" s="337">
        <f t="shared" si="19"/>
        <v>32625</v>
      </c>
    </row>
    <row r="99" spans="1:24" ht="15.75" x14ac:dyDescent="0.25">
      <c r="A99" s="342"/>
      <c r="B99" s="344" t="s">
        <v>713</v>
      </c>
      <c r="C99" s="344" t="s">
        <v>473</v>
      </c>
      <c r="D99" s="1853"/>
      <c r="E99" s="1854"/>
      <c r="F99" s="342" t="s">
        <v>474</v>
      </c>
      <c r="G99" s="337"/>
      <c r="H99" s="341">
        <v>113.4</v>
      </c>
      <c r="I99" s="337">
        <f t="shared" si="16"/>
        <v>113.4</v>
      </c>
      <c r="J99" s="341">
        <v>5</v>
      </c>
      <c r="K99" s="337">
        <f>J99-(J99*L99)</f>
        <v>4.25</v>
      </c>
      <c r="L99" s="340">
        <v>0.15</v>
      </c>
      <c r="M99" s="337"/>
      <c r="N99" s="337">
        <f>M99*L99*G99</f>
        <v>0</v>
      </c>
      <c r="O99" s="337"/>
      <c r="P99" s="337"/>
      <c r="Q99" s="337"/>
      <c r="R99" s="339">
        <f>SUM(L99*I99*J99)</f>
        <v>85.050000000000011</v>
      </c>
      <c r="S99" s="339">
        <f t="shared" si="18"/>
        <v>85.050000000000011</v>
      </c>
      <c r="T99" s="337">
        <v>15</v>
      </c>
      <c r="U99" s="337"/>
      <c r="V99" s="337">
        <f>SUM(S99*T99)*1000</f>
        <v>1275750.0000000002</v>
      </c>
      <c r="W99" s="338">
        <f t="shared" si="17"/>
        <v>1275750.0000000002</v>
      </c>
      <c r="X99" s="337">
        <f t="shared" si="19"/>
        <v>1275750.0000000002</v>
      </c>
    </row>
    <row r="100" spans="1:24" ht="15.75" x14ac:dyDescent="0.25">
      <c r="A100" s="342" t="s">
        <v>655</v>
      </c>
      <c r="B100" s="270"/>
      <c r="C100" s="270"/>
      <c r="D100" s="348">
        <f>SUM(D101:D102)</f>
        <v>0</v>
      </c>
      <c r="E100" s="348">
        <f>SUM(E101:E102)</f>
        <v>0</v>
      </c>
      <c r="F100" s="347"/>
      <c r="G100" s="348">
        <f>SUM(G101:G102)</f>
        <v>0</v>
      </c>
      <c r="H100" s="348">
        <f>SUM(H101:H102)</f>
        <v>4</v>
      </c>
      <c r="I100" s="345">
        <f t="shared" si="16"/>
        <v>4</v>
      </c>
      <c r="J100" s="263"/>
      <c r="K100" s="263"/>
      <c r="L100" s="346"/>
      <c r="M100" s="338"/>
      <c r="N100" s="348">
        <f>SUM(N101:N102)</f>
        <v>0</v>
      </c>
      <c r="O100" s="348">
        <f>SUM(O101:O102)</f>
        <v>1875</v>
      </c>
      <c r="P100" s="345">
        <f>SUM(O100+N100)</f>
        <v>1875</v>
      </c>
      <c r="Q100" s="348">
        <f>SUM(Q101)</f>
        <v>0</v>
      </c>
      <c r="R100" s="348">
        <f>SUM(R101)</f>
        <v>0</v>
      </c>
      <c r="S100" s="345">
        <f t="shared" si="18"/>
        <v>0</v>
      </c>
      <c r="T100" s="263"/>
      <c r="U100" s="348">
        <f>SUM(U101:U102)</f>
        <v>0</v>
      </c>
      <c r="V100" s="348">
        <f>SUM(V101:V102)</f>
        <v>35797.500000000007</v>
      </c>
      <c r="W100" s="263">
        <f t="shared" si="17"/>
        <v>35797.500000000007</v>
      </c>
      <c r="X100" s="345">
        <f t="shared" si="19"/>
        <v>37672.500000000007</v>
      </c>
    </row>
    <row r="101" spans="1:24" ht="15.75" x14ac:dyDescent="0.25">
      <c r="A101" s="342"/>
      <c r="B101" s="344" t="s">
        <v>713</v>
      </c>
      <c r="C101" s="344" t="s">
        <v>1149</v>
      </c>
      <c r="D101" s="348"/>
      <c r="E101" s="348"/>
      <c r="F101" s="342" t="s">
        <v>743</v>
      </c>
      <c r="G101" s="337"/>
      <c r="H101" s="351">
        <v>0.3</v>
      </c>
      <c r="I101" s="337">
        <f t="shared" si="16"/>
        <v>0.3</v>
      </c>
      <c r="J101" s="351">
        <v>4.3</v>
      </c>
      <c r="K101" s="349">
        <f>J101-(J101*L101)</f>
        <v>3.2249999999999996</v>
      </c>
      <c r="L101" s="350">
        <v>0.25</v>
      </c>
      <c r="M101" s="349">
        <v>25000</v>
      </c>
      <c r="N101" s="349">
        <f>M101*L101*G101</f>
        <v>0</v>
      </c>
      <c r="O101" s="349">
        <f>M101*L101*I101</f>
        <v>1875</v>
      </c>
      <c r="P101" s="349">
        <f>N101+O101</f>
        <v>1875</v>
      </c>
      <c r="Q101" s="349"/>
      <c r="R101" s="339"/>
      <c r="S101" s="339">
        <f t="shared" si="18"/>
        <v>0</v>
      </c>
      <c r="T101" s="337"/>
      <c r="U101" s="337"/>
      <c r="V101" s="337">
        <f>SUM(S101*T101)*1000</f>
        <v>0</v>
      </c>
      <c r="W101" s="338">
        <f t="shared" si="17"/>
        <v>0</v>
      </c>
      <c r="X101" s="337">
        <f t="shared" si="19"/>
        <v>1875</v>
      </c>
    </row>
    <row r="102" spans="1:24" ht="15.75" x14ac:dyDescent="0.25">
      <c r="A102" s="342"/>
      <c r="B102" s="344" t="s">
        <v>713</v>
      </c>
      <c r="C102" s="344" t="s">
        <v>473</v>
      </c>
      <c r="D102" s="1570"/>
      <c r="E102" s="353"/>
      <c r="F102" s="342" t="s">
        <v>481</v>
      </c>
      <c r="G102" s="337"/>
      <c r="H102" s="341">
        <v>3.7</v>
      </c>
      <c r="I102" s="337">
        <f t="shared" si="16"/>
        <v>3.7</v>
      </c>
      <c r="J102" s="351">
        <v>4.3</v>
      </c>
      <c r="K102" s="337">
        <f>J102-(J102*L102)</f>
        <v>3.6549999999999998</v>
      </c>
      <c r="L102" s="340">
        <v>0.15</v>
      </c>
      <c r="M102" s="337"/>
      <c r="N102" s="337">
        <f>M102*L102*G102</f>
        <v>0</v>
      </c>
      <c r="O102" s="337"/>
      <c r="P102" s="337"/>
      <c r="Q102" s="337"/>
      <c r="R102" s="339">
        <f>SUM(L102*I102*J102)</f>
        <v>2.3865000000000003</v>
      </c>
      <c r="S102" s="339">
        <f t="shared" si="18"/>
        <v>2.3865000000000003</v>
      </c>
      <c r="T102" s="337">
        <v>15</v>
      </c>
      <c r="U102" s="337"/>
      <c r="V102" s="337">
        <f>SUM(S102*T102)*1000</f>
        <v>35797.500000000007</v>
      </c>
      <c r="W102" s="338">
        <f t="shared" si="17"/>
        <v>35797.500000000007</v>
      </c>
      <c r="X102" s="337">
        <f t="shared" si="19"/>
        <v>35797.500000000007</v>
      </c>
    </row>
    <row r="103" spans="1:24" ht="15.75" x14ac:dyDescent="0.25">
      <c r="A103" s="342" t="s">
        <v>515</v>
      </c>
      <c r="B103" s="270"/>
      <c r="C103" s="270"/>
      <c r="D103" s="348">
        <f>SUM(D104)</f>
        <v>60</v>
      </c>
      <c r="E103" s="348">
        <f>SUM(E104)</f>
        <v>952</v>
      </c>
      <c r="F103" s="347"/>
      <c r="G103" s="345">
        <f>SUM(G104)</f>
        <v>0</v>
      </c>
      <c r="H103" s="345">
        <f>SUM(H104:H106)</f>
        <v>69</v>
      </c>
      <c r="I103" s="345">
        <f t="shared" si="16"/>
        <v>69</v>
      </c>
      <c r="J103" s="268"/>
      <c r="K103" s="268"/>
      <c r="L103" s="352"/>
      <c r="M103" s="264"/>
      <c r="N103" s="345">
        <f>SUM(N104:N106)</f>
        <v>0</v>
      </c>
      <c r="O103" s="345">
        <f>SUM(O104:O106)</f>
        <v>83400</v>
      </c>
      <c r="P103" s="345">
        <f>SUM(O103+N103)</f>
        <v>83400</v>
      </c>
      <c r="Q103" s="345">
        <f>SUM(Q104:Q106)</f>
        <v>0</v>
      </c>
      <c r="R103" s="345">
        <f>SUM(R104:R106)</f>
        <v>9</v>
      </c>
      <c r="S103" s="345">
        <f t="shared" si="18"/>
        <v>9</v>
      </c>
      <c r="T103" s="263"/>
      <c r="U103" s="345">
        <f>SUM(U104:U106)</f>
        <v>0</v>
      </c>
      <c r="V103" s="345">
        <f>SUM(V104:V106)</f>
        <v>135000</v>
      </c>
      <c r="W103" s="263">
        <f t="shared" si="17"/>
        <v>135000</v>
      </c>
      <c r="X103" s="345">
        <f t="shared" si="19"/>
        <v>218400</v>
      </c>
    </row>
    <row r="104" spans="1:24" ht="15.75" x14ac:dyDescent="0.25">
      <c r="A104" s="342"/>
      <c r="B104" s="344" t="s">
        <v>713</v>
      </c>
      <c r="C104" s="344" t="s">
        <v>1149</v>
      </c>
      <c r="D104" s="1850">
        <v>60</v>
      </c>
      <c r="E104" s="1850">
        <v>952</v>
      </c>
      <c r="F104" s="342" t="s">
        <v>521</v>
      </c>
      <c r="G104" s="337"/>
      <c r="H104" s="351">
        <v>25</v>
      </c>
      <c r="I104" s="337">
        <f t="shared" si="16"/>
        <v>25</v>
      </c>
      <c r="J104" s="351">
        <v>4.3</v>
      </c>
      <c r="K104" s="349">
        <f>J104-(J104*L104)</f>
        <v>3.8699999999999997</v>
      </c>
      <c r="L104" s="350">
        <v>0.1</v>
      </c>
      <c r="M104" s="349">
        <v>18000</v>
      </c>
      <c r="N104" s="349">
        <f>M104*L104*G104</f>
        <v>0</v>
      </c>
      <c r="O104" s="349">
        <f>M104*L104*I104</f>
        <v>45000</v>
      </c>
      <c r="P104" s="349">
        <f>N104+O104</f>
        <v>45000</v>
      </c>
      <c r="Q104" s="349"/>
      <c r="R104" s="339"/>
      <c r="S104" s="339">
        <f t="shared" si="18"/>
        <v>0</v>
      </c>
      <c r="T104" s="337"/>
      <c r="U104" s="337"/>
      <c r="V104" s="337">
        <f>SUM(S104*T104)*1000</f>
        <v>0</v>
      </c>
      <c r="W104" s="338">
        <f t="shared" si="17"/>
        <v>0</v>
      </c>
      <c r="X104" s="337">
        <f t="shared" si="19"/>
        <v>45000</v>
      </c>
    </row>
    <row r="105" spans="1:24" ht="15.75" x14ac:dyDescent="0.25">
      <c r="A105" s="342"/>
      <c r="B105" s="344" t="s">
        <v>713</v>
      </c>
      <c r="C105" s="344" t="s">
        <v>473</v>
      </c>
      <c r="D105" s="1851"/>
      <c r="E105" s="1851"/>
      <c r="F105" s="342" t="s">
        <v>625</v>
      </c>
      <c r="G105" s="337"/>
      <c r="H105" s="351">
        <v>32</v>
      </c>
      <c r="I105" s="337">
        <f t="shared" si="16"/>
        <v>32</v>
      </c>
      <c r="J105" s="351">
        <v>4.3</v>
      </c>
      <c r="K105" s="349">
        <f>J105-(J105*L105)</f>
        <v>3.8699999999999997</v>
      </c>
      <c r="L105" s="350">
        <v>0.1</v>
      </c>
      <c r="M105" s="349">
        <v>12000</v>
      </c>
      <c r="N105" s="349">
        <f>M105*L105*G105</f>
        <v>0</v>
      </c>
      <c r="O105" s="349">
        <f>M105*L105*I105</f>
        <v>38400</v>
      </c>
      <c r="P105" s="349">
        <f>N105+O105</f>
        <v>38400</v>
      </c>
      <c r="Q105" s="349"/>
      <c r="R105" s="339"/>
      <c r="S105" s="339">
        <f t="shared" si="18"/>
        <v>0</v>
      </c>
      <c r="T105" s="337"/>
      <c r="U105" s="337"/>
      <c r="V105" s="337">
        <f>SUM(S105*T105)*1000</f>
        <v>0</v>
      </c>
      <c r="W105" s="338">
        <f t="shared" si="17"/>
        <v>0</v>
      </c>
      <c r="X105" s="337">
        <f t="shared" si="19"/>
        <v>38400</v>
      </c>
    </row>
    <row r="106" spans="1:24" ht="15.75" x14ac:dyDescent="0.25">
      <c r="A106" s="342"/>
      <c r="B106" s="344" t="s">
        <v>713</v>
      </c>
      <c r="C106" s="344" t="s">
        <v>473</v>
      </c>
      <c r="D106" s="1852"/>
      <c r="E106" s="1852"/>
      <c r="F106" s="342" t="s">
        <v>586</v>
      </c>
      <c r="G106" s="337"/>
      <c r="H106" s="351">
        <v>12</v>
      </c>
      <c r="I106" s="337">
        <f t="shared" si="16"/>
        <v>12</v>
      </c>
      <c r="J106" s="351">
        <v>5</v>
      </c>
      <c r="K106" s="349">
        <f>J106-(J106*L106)</f>
        <v>4.25</v>
      </c>
      <c r="L106" s="350">
        <v>0.15</v>
      </c>
      <c r="M106" s="349"/>
      <c r="N106" s="349">
        <f>M106*L106*G106</f>
        <v>0</v>
      </c>
      <c r="O106" s="349"/>
      <c r="P106" s="349"/>
      <c r="Q106" s="349"/>
      <c r="R106" s="339">
        <f>SUM(L106*I106*J106)</f>
        <v>9</v>
      </c>
      <c r="S106" s="339">
        <f t="shared" si="18"/>
        <v>9</v>
      </c>
      <c r="T106" s="337">
        <v>15</v>
      </c>
      <c r="U106" s="337"/>
      <c r="V106" s="337">
        <f>SUM(S106*T106)*1000</f>
        <v>135000</v>
      </c>
      <c r="W106" s="338">
        <f t="shared" si="17"/>
        <v>135000</v>
      </c>
      <c r="X106" s="337">
        <f t="shared" si="19"/>
        <v>135000</v>
      </c>
    </row>
    <row r="107" spans="1:24" ht="15.75" x14ac:dyDescent="0.25">
      <c r="A107" s="342" t="s">
        <v>520</v>
      </c>
      <c r="B107" s="270"/>
      <c r="C107" s="270"/>
      <c r="D107" s="348">
        <f>SUM(D108)</f>
        <v>180</v>
      </c>
      <c r="E107" s="348">
        <f>SUM(E108)</f>
        <v>819</v>
      </c>
      <c r="F107" s="347"/>
      <c r="G107" s="345">
        <f>SUM(G108)</f>
        <v>0</v>
      </c>
      <c r="H107" s="345">
        <f>SUM(H108:H110)</f>
        <v>196.9</v>
      </c>
      <c r="I107" s="345">
        <f t="shared" si="16"/>
        <v>196.9</v>
      </c>
      <c r="J107" s="268"/>
      <c r="K107" s="268"/>
      <c r="L107" s="352"/>
      <c r="M107" s="264"/>
      <c r="N107" s="263">
        <f>SUM(N108)</f>
        <v>0</v>
      </c>
      <c r="O107" s="345">
        <f>SUM(O108:O110)</f>
        <v>208270</v>
      </c>
      <c r="P107" s="345">
        <f>SUM(O107+N107)</f>
        <v>208270</v>
      </c>
      <c r="Q107" s="345">
        <f>SUM(Q108:Q110)</f>
        <v>0</v>
      </c>
      <c r="R107" s="345">
        <f>SUM(R108:R110)</f>
        <v>16.25</v>
      </c>
      <c r="S107" s="345">
        <f t="shared" si="18"/>
        <v>16.25</v>
      </c>
      <c r="T107" s="263"/>
      <c r="U107" s="345">
        <f>SUM(U108:U110)</f>
        <v>0</v>
      </c>
      <c r="V107" s="345">
        <f>SUM(V108:V110)</f>
        <v>243750</v>
      </c>
      <c r="W107" s="263">
        <f t="shared" si="17"/>
        <v>243750</v>
      </c>
      <c r="X107" s="345">
        <f t="shared" si="19"/>
        <v>452020</v>
      </c>
    </row>
    <row r="108" spans="1:24" ht="15.75" x14ac:dyDescent="0.25">
      <c r="A108" s="342"/>
      <c r="B108" s="344" t="s">
        <v>713</v>
      </c>
      <c r="C108" s="344" t="s">
        <v>1149</v>
      </c>
      <c r="D108" s="1850">
        <v>180</v>
      </c>
      <c r="E108" s="1850">
        <v>819</v>
      </c>
      <c r="F108" s="342" t="s">
        <v>521</v>
      </c>
      <c r="G108" s="337"/>
      <c r="H108" s="351">
        <v>78.900000000000006</v>
      </c>
      <c r="I108" s="337">
        <f t="shared" si="16"/>
        <v>78.900000000000006</v>
      </c>
      <c r="J108" s="351">
        <v>5</v>
      </c>
      <c r="K108" s="349">
        <f>J108-(J108*L108)</f>
        <v>4.5</v>
      </c>
      <c r="L108" s="350">
        <v>0.1</v>
      </c>
      <c r="M108" s="349">
        <v>18000</v>
      </c>
      <c r="N108" s="349">
        <f>M108*L108*G108</f>
        <v>0</v>
      </c>
      <c r="O108" s="349">
        <f>M108*L108*I108</f>
        <v>142020</v>
      </c>
      <c r="P108" s="349">
        <f>N108+O108</f>
        <v>142020</v>
      </c>
      <c r="Q108" s="349"/>
      <c r="R108" s="339"/>
      <c r="S108" s="339">
        <f t="shared" si="18"/>
        <v>0</v>
      </c>
      <c r="T108" s="337"/>
      <c r="U108" s="337"/>
      <c r="V108" s="337">
        <f>SUM(S108*T108)*1000</f>
        <v>0</v>
      </c>
      <c r="W108" s="338">
        <f t="shared" si="17"/>
        <v>0</v>
      </c>
      <c r="X108" s="337">
        <f t="shared" si="19"/>
        <v>142020</v>
      </c>
    </row>
    <row r="109" spans="1:24" ht="15.75" x14ac:dyDescent="0.25">
      <c r="A109" s="342"/>
      <c r="B109" s="344" t="s">
        <v>713</v>
      </c>
      <c r="C109" s="344" t="s">
        <v>1149</v>
      </c>
      <c r="D109" s="1851"/>
      <c r="E109" s="1851"/>
      <c r="F109" s="342" t="s">
        <v>539</v>
      </c>
      <c r="G109" s="337"/>
      <c r="H109" s="351">
        <v>53</v>
      </c>
      <c r="I109" s="337">
        <f t="shared" si="16"/>
        <v>53</v>
      </c>
      <c r="J109" s="351">
        <v>5</v>
      </c>
      <c r="K109" s="349">
        <f>J109-(J109*L109)</f>
        <v>4.75</v>
      </c>
      <c r="L109" s="350">
        <v>0.05</v>
      </c>
      <c r="M109" s="349">
        <v>25000</v>
      </c>
      <c r="N109" s="349">
        <f>M109*L109*G109</f>
        <v>0</v>
      </c>
      <c r="O109" s="349">
        <f>M109*L109*I109</f>
        <v>66250</v>
      </c>
      <c r="P109" s="349">
        <f>N109+O109</f>
        <v>66250</v>
      </c>
      <c r="Q109" s="349"/>
      <c r="R109" s="339"/>
      <c r="S109" s="339">
        <f t="shared" si="18"/>
        <v>0</v>
      </c>
      <c r="T109" s="337"/>
      <c r="U109" s="337"/>
      <c r="V109" s="337">
        <f>SUM(S109*T109)*1000</f>
        <v>0</v>
      </c>
      <c r="W109" s="338">
        <f t="shared" si="17"/>
        <v>0</v>
      </c>
      <c r="X109" s="337">
        <f t="shared" si="19"/>
        <v>66250</v>
      </c>
    </row>
    <row r="110" spans="1:24" ht="15.75" x14ac:dyDescent="0.25">
      <c r="A110" s="342"/>
      <c r="B110" s="344" t="s">
        <v>713</v>
      </c>
      <c r="C110" s="344" t="s">
        <v>473</v>
      </c>
      <c r="D110" s="1852"/>
      <c r="E110" s="1852"/>
      <c r="F110" s="342" t="s">
        <v>474</v>
      </c>
      <c r="G110" s="337"/>
      <c r="H110" s="351">
        <v>65</v>
      </c>
      <c r="I110" s="337">
        <f t="shared" si="16"/>
        <v>65</v>
      </c>
      <c r="J110" s="351">
        <v>5</v>
      </c>
      <c r="K110" s="349">
        <f>J110-(J110*L110)</f>
        <v>4.75</v>
      </c>
      <c r="L110" s="350">
        <v>0.05</v>
      </c>
      <c r="M110" s="349"/>
      <c r="N110" s="349">
        <f>M110*L110*G110</f>
        <v>0</v>
      </c>
      <c r="O110" s="349"/>
      <c r="P110" s="349"/>
      <c r="Q110" s="349"/>
      <c r="R110" s="339">
        <f>SUM(L110*I110*J110)</f>
        <v>16.25</v>
      </c>
      <c r="S110" s="339">
        <f t="shared" si="18"/>
        <v>16.25</v>
      </c>
      <c r="T110" s="337">
        <v>15</v>
      </c>
      <c r="U110" s="337"/>
      <c r="V110" s="337">
        <f>SUM(S110*T110)*1000</f>
        <v>243750</v>
      </c>
      <c r="W110" s="338">
        <f t="shared" si="17"/>
        <v>243750</v>
      </c>
      <c r="X110" s="337">
        <f t="shared" si="19"/>
        <v>243750</v>
      </c>
    </row>
    <row r="111" spans="1:24" ht="15.75" x14ac:dyDescent="0.25">
      <c r="A111" s="342" t="s">
        <v>519</v>
      </c>
      <c r="B111" s="270"/>
      <c r="C111" s="270"/>
      <c r="D111" s="348">
        <f>D112</f>
        <v>180</v>
      </c>
      <c r="E111" s="348">
        <f>E112</f>
        <v>218.85</v>
      </c>
      <c r="F111" s="347"/>
      <c r="G111" s="345">
        <f>G112</f>
        <v>0</v>
      </c>
      <c r="H111" s="345">
        <f>H112</f>
        <v>119.5</v>
      </c>
      <c r="I111" s="345">
        <f t="shared" si="16"/>
        <v>119.5</v>
      </c>
      <c r="J111" s="263"/>
      <c r="K111" s="263"/>
      <c r="L111" s="346"/>
      <c r="M111" s="338"/>
      <c r="N111" s="263">
        <f>N112</f>
        <v>0</v>
      </c>
      <c r="O111" s="345">
        <f>O112</f>
        <v>0</v>
      </c>
      <c r="P111" s="345">
        <f>SUM(O111+N111)</f>
        <v>0</v>
      </c>
      <c r="Q111" s="345">
        <f>Q112</f>
        <v>0</v>
      </c>
      <c r="R111" s="345">
        <f>R112</f>
        <v>25.692500000000003</v>
      </c>
      <c r="S111" s="345">
        <f t="shared" si="18"/>
        <v>25.692500000000003</v>
      </c>
      <c r="T111" s="263"/>
      <c r="U111" s="345">
        <f>U112</f>
        <v>0</v>
      </c>
      <c r="V111" s="345">
        <f>V112</f>
        <v>385387.50000000006</v>
      </c>
      <c r="W111" s="263">
        <f t="shared" si="17"/>
        <v>385387.50000000006</v>
      </c>
      <c r="X111" s="345">
        <f t="shared" si="19"/>
        <v>385387.50000000006</v>
      </c>
    </row>
    <row r="112" spans="1:24" ht="15.75" x14ac:dyDescent="0.25">
      <c r="A112" s="342"/>
      <c r="B112" s="344" t="s">
        <v>713</v>
      </c>
      <c r="C112" s="344" t="s">
        <v>473</v>
      </c>
      <c r="D112" s="1570">
        <v>180</v>
      </c>
      <c r="E112" s="343">
        <v>218.85</v>
      </c>
      <c r="F112" s="342" t="s">
        <v>586</v>
      </c>
      <c r="G112" s="337"/>
      <c r="H112" s="341">
        <v>119.5</v>
      </c>
      <c r="I112" s="337">
        <f t="shared" si="16"/>
        <v>119.5</v>
      </c>
      <c r="J112" s="341">
        <v>4.3</v>
      </c>
      <c r="K112" s="337">
        <f>J112-(J112*L112)</f>
        <v>4.085</v>
      </c>
      <c r="L112" s="340">
        <v>0.05</v>
      </c>
      <c r="M112" s="337"/>
      <c r="N112" s="337">
        <f>M112*L112*G112</f>
        <v>0</v>
      </c>
      <c r="O112" s="337"/>
      <c r="P112" s="337"/>
      <c r="Q112" s="337"/>
      <c r="R112" s="339">
        <f>SUM(L112*I112*J112)</f>
        <v>25.692500000000003</v>
      </c>
      <c r="S112" s="339">
        <f t="shared" si="18"/>
        <v>25.692500000000003</v>
      </c>
      <c r="T112" s="337">
        <v>15</v>
      </c>
      <c r="U112" s="337"/>
      <c r="V112" s="337">
        <f>SUM(S112*T112)*1000</f>
        <v>385387.50000000006</v>
      </c>
      <c r="W112" s="338">
        <f t="shared" si="17"/>
        <v>385387.50000000006</v>
      </c>
      <c r="X112" s="337">
        <f t="shared" si="19"/>
        <v>385387.50000000006</v>
      </c>
    </row>
    <row r="113" spans="1:24" ht="15.75" x14ac:dyDescent="0.25">
      <c r="A113" s="333"/>
      <c r="B113" s="336"/>
      <c r="C113" s="336"/>
      <c r="D113" s="335"/>
      <c r="E113" s="334"/>
      <c r="F113" s="333"/>
      <c r="G113" s="328"/>
      <c r="H113" s="332"/>
      <c r="I113" s="328"/>
      <c r="J113" s="332"/>
      <c r="K113" s="328"/>
      <c r="L113" s="331"/>
      <c r="M113" s="328"/>
      <c r="N113" s="328"/>
      <c r="O113" s="328"/>
      <c r="P113" s="328"/>
      <c r="Q113" s="328"/>
      <c r="R113" s="330"/>
      <c r="S113" s="330"/>
      <c r="T113" s="328"/>
      <c r="U113" s="328"/>
      <c r="V113" s="328"/>
      <c r="W113" s="329"/>
      <c r="X113" s="328"/>
    </row>
    <row r="114" spans="1:24" ht="20.25" x14ac:dyDescent="0.3">
      <c r="A114" s="203" t="s">
        <v>522</v>
      </c>
      <c r="B114" s="203"/>
      <c r="C114" s="203"/>
      <c r="D114" s="326"/>
      <c r="E114" s="323"/>
      <c r="F114" s="202" t="s">
        <v>656</v>
      </c>
      <c r="G114" s="196"/>
      <c r="H114" s="327"/>
      <c r="I114" s="327"/>
      <c r="J114" s="201" t="s">
        <v>657</v>
      </c>
      <c r="K114" s="201"/>
      <c r="L114" s="322"/>
      <c r="M114" s="201"/>
      <c r="N114" s="200"/>
      <c r="O114" s="196"/>
      <c r="P114" s="196"/>
      <c r="Q114" s="196"/>
      <c r="R114" s="196" t="s">
        <v>658</v>
      </c>
      <c r="S114" s="196"/>
      <c r="T114" s="196"/>
      <c r="U114" s="196"/>
      <c r="V114" s="196"/>
      <c r="W114" s="196"/>
      <c r="X114" s="189"/>
    </row>
    <row r="115" spans="1:24" ht="20.25" x14ac:dyDescent="0.3">
      <c r="A115" s="203"/>
      <c r="B115" s="203"/>
      <c r="C115" s="203"/>
      <c r="D115" s="326"/>
      <c r="E115" s="323"/>
      <c r="F115" s="202"/>
      <c r="G115" s="189"/>
      <c r="H115" s="191"/>
      <c r="I115" s="191"/>
      <c r="J115" s="201"/>
      <c r="K115" s="201"/>
      <c r="L115" s="322"/>
      <c r="M115" s="201"/>
      <c r="N115" s="200"/>
      <c r="O115" s="196"/>
      <c r="P115" s="196"/>
      <c r="Q115" s="196"/>
      <c r="R115" s="196"/>
      <c r="S115" s="196"/>
      <c r="T115" s="196"/>
      <c r="U115" s="196"/>
      <c r="V115" s="196"/>
      <c r="W115" s="196"/>
      <c r="X115" s="189"/>
    </row>
    <row r="116" spans="1:24" ht="20.25" x14ac:dyDescent="0.3">
      <c r="A116" s="200"/>
      <c r="B116" s="200"/>
      <c r="C116" s="200"/>
      <c r="D116" s="326"/>
      <c r="E116" s="323"/>
      <c r="F116" s="202"/>
      <c r="G116" s="200"/>
      <c r="H116" s="191"/>
      <c r="I116" s="191"/>
      <c r="J116" s="201"/>
      <c r="K116" s="201"/>
      <c r="L116" s="322"/>
      <c r="M116" s="201"/>
      <c r="N116" s="200"/>
      <c r="O116" s="196"/>
      <c r="P116" s="196"/>
      <c r="Q116" s="196"/>
      <c r="R116" s="196"/>
      <c r="S116" s="196"/>
      <c r="T116" s="196"/>
      <c r="U116" s="196"/>
      <c r="V116" s="196"/>
      <c r="W116" s="196"/>
      <c r="X116" s="200"/>
    </row>
    <row r="117" spans="1:24" ht="20.25" x14ac:dyDescent="0.3">
      <c r="A117" s="199" t="s">
        <v>1130</v>
      </c>
      <c r="B117" s="199"/>
      <c r="C117" s="199"/>
      <c r="D117" s="325"/>
      <c r="E117" s="323"/>
      <c r="F117" s="197" t="s">
        <v>524</v>
      </c>
      <c r="G117" s="196"/>
      <c r="H117" s="191"/>
      <c r="I117" s="191"/>
      <c r="J117" s="195" t="s">
        <v>1131</v>
      </c>
      <c r="K117" s="195"/>
      <c r="L117" s="322"/>
      <c r="M117" s="195"/>
      <c r="N117" s="195"/>
      <c r="O117" s="195"/>
      <c r="P117" s="195"/>
      <c r="Q117" s="195"/>
      <c r="R117" s="194" t="s">
        <v>1132</v>
      </c>
      <c r="S117" s="194"/>
      <c r="T117" s="192"/>
      <c r="U117" s="192"/>
      <c r="V117" s="192"/>
      <c r="W117" s="192"/>
      <c r="X117" s="192"/>
    </row>
    <row r="118" spans="1:24" ht="20.25" x14ac:dyDescent="0.3">
      <c r="A118" s="193" t="s">
        <v>750</v>
      </c>
      <c r="B118" s="193"/>
      <c r="C118" s="193"/>
      <c r="D118" s="324"/>
      <c r="E118" s="323"/>
      <c r="F118" s="186" t="s">
        <v>1133</v>
      </c>
      <c r="G118" s="189"/>
      <c r="H118" s="191"/>
      <c r="I118" s="191"/>
      <c r="J118" s="190" t="s">
        <v>1134</v>
      </c>
      <c r="K118" s="190"/>
      <c r="L118" s="322"/>
      <c r="M118" s="188"/>
      <c r="N118" s="188"/>
      <c r="O118" s="188"/>
      <c r="P118" s="188"/>
      <c r="Q118" s="188"/>
      <c r="R118" s="187" t="s">
        <v>994</v>
      </c>
      <c r="S118" s="187"/>
      <c r="T118" s="186"/>
      <c r="U118" s="186"/>
      <c r="V118" s="186"/>
      <c r="W118" s="186"/>
      <c r="X118" s="186"/>
    </row>
  </sheetData>
  <mergeCells count="52">
    <mergeCell ref="A7:U7"/>
    <mergeCell ref="A6:X6"/>
    <mergeCell ref="D60:D65"/>
    <mergeCell ref="E60:E65"/>
    <mergeCell ref="D66:D71"/>
    <mergeCell ref="E66:E71"/>
    <mergeCell ref="E44:E46"/>
    <mergeCell ref="E48:E51"/>
    <mergeCell ref="E53:E54"/>
    <mergeCell ref="A8:U8"/>
    <mergeCell ref="A15:A18"/>
    <mergeCell ref="B15:B18"/>
    <mergeCell ref="C15:C18"/>
    <mergeCell ref="D15:D18"/>
    <mergeCell ref="E15:E18"/>
    <mergeCell ref="F15:F18"/>
    <mergeCell ref="A1:X1"/>
    <mergeCell ref="A2:X2"/>
    <mergeCell ref="A3:X3"/>
    <mergeCell ref="A4:X4"/>
    <mergeCell ref="A5:X5"/>
    <mergeCell ref="J15:K15"/>
    <mergeCell ref="D36:D37"/>
    <mergeCell ref="E36:E37"/>
    <mergeCell ref="L15:L18"/>
    <mergeCell ref="M15:X15"/>
    <mergeCell ref="J16:J18"/>
    <mergeCell ref="K16:K18"/>
    <mergeCell ref="M16:O16"/>
    <mergeCell ref="R16:U16"/>
    <mergeCell ref="X16:X18"/>
    <mergeCell ref="G15:I17"/>
    <mergeCell ref="W17:W18"/>
    <mergeCell ref="E33:E34"/>
    <mergeCell ref="N17:P17"/>
    <mergeCell ref="Q17:R17"/>
    <mergeCell ref="S17:S18"/>
    <mergeCell ref="T17:T18"/>
    <mergeCell ref="U17:V17"/>
    <mergeCell ref="D108:D110"/>
    <mergeCell ref="E108:E110"/>
    <mergeCell ref="D83:D85"/>
    <mergeCell ref="E83:E85"/>
    <mergeCell ref="D98:D99"/>
    <mergeCell ref="E98:E99"/>
    <mergeCell ref="D104:D106"/>
    <mergeCell ref="E104:E106"/>
    <mergeCell ref="D73:D76"/>
    <mergeCell ref="E73:E76"/>
    <mergeCell ref="D78:D79"/>
    <mergeCell ref="E78:E79"/>
    <mergeCell ref="M17:M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480-B100-9E4F-AC97-528A7D691C3F}">
  <sheetPr>
    <tabColor rgb="FFC00000"/>
  </sheetPr>
  <dimension ref="A1:T407"/>
  <sheetViews>
    <sheetView showGridLines="0" view="pageBreakPreview" zoomScale="87" zoomScaleNormal="70" zoomScaleSheetLayoutView="87" workbookViewId="0">
      <pane xSplit="2" ySplit="18" topLeftCell="E392" activePane="bottomRight" state="frozen"/>
      <selection pane="topRight" activeCell="R10" sqref="R10"/>
      <selection pane="bottomLeft" activeCell="R10" sqref="R10"/>
      <selection pane="bottomRight" activeCell="B192" sqref="B192"/>
    </sheetView>
  </sheetViews>
  <sheetFormatPr defaultColWidth="14.5" defaultRowHeight="15.75" x14ac:dyDescent="0.25"/>
  <cols>
    <col min="1" max="1" width="5.5" style="520" customWidth="1"/>
    <col min="2" max="2" width="13.625" style="520" customWidth="1"/>
    <col min="3" max="3" width="17.375" style="520" customWidth="1"/>
    <col min="4" max="4" width="11.125" style="520" customWidth="1"/>
    <col min="5" max="5" width="17.875" style="520" customWidth="1"/>
    <col min="6" max="6" width="24.125" style="680" customWidth="1"/>
    <col min="7" max="7" width="15.875" style="679" customWidth="1"/>
    <col min="8" max="8" width="13" style="520" customWidth="1"/>
    <col min="9" max="9" width="14.125" style="520" customWidth="1"/>
    <col min="10" max="10" width="12.125" style="520" customWidth="1"/>
    <col min="11" max="11" width="10.375" style="520" customWidth="1"/>
    <col min="12" max="12" width="9.5" style="520" customWidth="1"/>
    <col min="13" max="13" width="12" style="679" customWidth="1"/>
    <col min="14" max="14" width="12.875" style="520" customWidth="1"/>
    <col min="15" max="15" width="18.5" style="520" customWidth="1"/>
    <col min="16" max="16" width="17.5" style="520" customWidth="1"/>
    <col min="17" max="17" width="7.5" style="520" customWidth="1"/>
    <col min="18" max="18" width="19.875" style="520" customWidth="1"/>
    <col min="19" max="19" width="24.625" style="520" customWidth="1"/>
    <col min="20" max="20" width="58.375" style="520" hidden="1" customWidth="1"/>
    <col min="21" max="21" width="15" style="520" bestFit="1" customWidth="1"/>
    <col min="22" max="256" width="14.5" style="520"/>
    <col min="257" max="257" width="5.5" style="520" customWidth="1"/>
    <col min="258" max="258" width="13.625" style="520" customWidth="1"/>
    <col min="259" max="259" width="15.125" style="520" customWidth="1"/>
    <col min="260" max="260" width="11.125" style="520" customWidth="1"/>
    <col min="261" max="261" width="10.875" style="520" customWidth="1"/>
    <col min="262" max="262" width="23" style="520" customWidth="1"/>
    <col min="263" max="263" width="18.125" style="520" customWidth="1"/>
    <col min="264" max="264" width="13" style="520" customWidth="1"/>
    <col min="265" max="265" width="11" style="520" customWidth="1"/>
    <col min="266" max="266" width="12.125" style="520" customWidth="1"/>
    <col min="267" max="267" width="10.375" style="520" customWidth="1"/>
    <col min="268" max="268" width="13.875" style="520" customWidth="1"/>
    <col min="269" max="269" width="7.5" style="520" customWidth="1"/>
    <col min="270" max="270" width="13" style="520" customWidth="1"/>
    <col min="271" max="271" width="13.5" style="520" customWidth="1"/>
    <col min="272" max="272" width="11" style="520" customWidth="1"/>
    <col min="273" max="273" width="10.5" style="520" customWidth="1"/>
    <col min="274" max="274" width="15" style="520" customWidth="1"/>
    <col min="275" max="275" width="15.875" style="520" customWidth="1"/>
    <col min="276" max="276" width="0" style="520" hidden="1" customWidth="1"/>
    <col min="277" max="512" width="14.5" style="520"/>
    <col min="513" max="513" width="5.5" style="520" customWidth="1"/>
    <col min="514" max="514" width="13.625" style="520" customWidth="1"/>
    <col min="515" max="515" width="15.125" style="520" customWidth="1"/>
    <col min="516" max="516" width="11.125" style="520" customWidth="1"/>
    <col min="517" max="517" width="10.875" style="520" customWidth="1"/>
    <col min="518" max="518" width="23" style="520" customWidth="1"/>
    <col min="519" max="519" width="18.125" style="520" customWidth="1"/>
    <col min="520" max="520" width="13" style="520" customWidth="1"/>
    <col min="521" max="521" width="11" style="520" customWidth="1"/>
    <col min="522" max="522" width="12.125" style="520" customWidth="1"/>
    <col min="523" max="523" width="10.375" style="520" customWidth="1"/>
    <col min="524" max="524" width="13.875" style="520" customWidth="1"/>
    <col min="525" max="525" width="7.5" style="520" customWidth="1"/>
    <col min="526" max="526" width="13" style="520" customWidth="1"/>
    <col min="527" max="527" width="13.5" style="520" customWidth="1"/>
    <col min="528" max="528" width="11" style="520" customWidth="1"/>
    <col min="529" max="529" width="10.5" style="520" customWidth="1"/>
    <col min="530" max="530" width="15" style="520" customWidth="1"/>
    <col min="531" max="531" width="15.875" style="520" customWidth="1"/>
    <col min="532" max="532" width="0" style="520" hidden="1" customWidth="1"/>
    <col min="533" max="768" width="14.5" style="520"/>
    <col min="769" max="769" width="5.5" style="520" customWidth="1"/>
    <col min="770" max="770" width="13.625" style="520" customWidth="1"/>
    <col min="771" max="771" width="15.125" style="520" customWidth="1"/>
    <col min="772" max="772" width="11.125" style="520" customWidth="1"/>
    <col min="773" max="773" width="10.875" style="520" customWidth="1"/>
    <col min="774" max="774" width="23" style="520" customWidth="1"/>
    <col min="775" max="775" width="18.125" style="520" customWidth="1"/>
    <col min="776" max="776" width="13" style="520" customWidth="1"/>
    <col min="777" max="777" width="11" style="520" customWidth="1"/>
    <col min="778" max="778" width="12.125" style="520" customWidth="1"/>
    <col min="779" max="779" width="10.375" style="520" customWidth="1"/>
    <col min="780" max="780" width="13.875" style="520" customWidth="1"/>
    <col min="781" max="781" width="7.5" style="520" customWidth="1"/>
    <col min="782" max="782" width="13" style="520" customWidth="1"/>
    <col min="783" max="783" width="13.5" style="520" customWidth="1"/>
    <col min="784" max="784" width="11" style="520" customWidth="1"/>
    <col min="785" max="785" width="10.5" style="520" customWidth="1"/>
    <col min="786" max="786" width="15" style="520" customWidth="1"/>
    <col min="787" max="787" width="15.875" style="520" customWidth="1"/>
    <col min="788" max="788" width="0" style="520" hidden="1" customWidth="1"/>
    <col min="789" max="1024" width="14.5" style="520"/>
    <col min="1025" max="1025" width="5.5" style="520" customWidth="1"/>
    <col min="1026" max="1026" width="13.625" style="520" customWidth="1"/>
    <col min="1027" max="1027" width="15.125" style="520" customWidth="1"/>
    <col min="1028" max="1028" width="11.125" style="520" customWidth="1"/>
    <col min="1029" max="1029" width="10.875" style="520" customWidth="1"/>
    <col min="1030" max="1030" width="23" style="520" customWidth="1"/>
    <col min="1031" max="1031" width="18.125" style="520" customWidth="1"/>
    <col min="1032" max="1032" width="13" style="520" customWidth="1"/>
    <col min="1033" max="1033" width="11" style="520" customWidth="1"/>
    <col min="1034" max="1034" width="12.125" style="520" customWidth="1"/>
    <col min="1035" max="1035" width="10.375" style="520" customWidth="1"/>
    <col min="1036" max="1036" width="13.875" style="520" customWidth="1"/>
    <col min="1037" max="1037" width="7.5" style="520" customWidth="1"/>
    <col min="1038" max="1038" width="13" style="520" customWidth="1"/>
    <col min="1039" max="1039" width="13.5" style="520" customWidth="1"/>
    <col min="1040" max="1040" width="11" style="520" customWidth="1"/>
    <col min="1041" max="1041" width="10.5" style="520" customWidth="1"/>
    <col min="1042" max="1042" width="15" style="520" customWidth="1"/>
    <col min="1043" max="1043" width="15.875" style="520" customWidth="1"/>
    <col min="1044" max="1044" width="0" style="520" hidden="1" customWidth="1"/>
    <col min="1045" max="1280" width="14.5" style="520"/>
    <col min="1281" max="1281" width="5.5" style="520" customWidth="1"/>
    <col min="1282" max="1282" width="13.625" style="520" customWidth="1"/>
    <col min="1283" max="1283" width="15.125" style="520" customWidth="1"/>
    <col min="1284" max="1284" width="11.125" style="520" customWidth="1"/>
    <col min="1285" max="1285" width="10.875" style="520" customWidth="1"/>
    <col min="1286" max="1286" width="23" style="520" customWidth="1"/>
    <col min="1287" max="1287" width="18.125" style="520" customWidth="1"/>
    <col min="1288" max="1288" width="13" style="520" customWidth="1"/>
    <col min="1289" max="1289" width="11" style="520" customWidth="1"/>
    <col min="1290" max="1290" width="12.125" style="520" customWidth="1"/>
    <col min="1291" max="1291" width="10.375" style="520" customWidth="1"/>
    <col min="1292" max="1292" width="13.875" style="520" customWidth="1"/>
    <col min="1293" max="1293" width="7.5" style="520" customWidth="1"/>
    <col min="1294" max="1294" width="13" style="520" customWidth="1"/>
    <col min="1295" max="1295" width="13.5" style="520" customWidth="1"/>
    <col min="1296" max="1296" width="11" style="520" customWidth="1"/>
    <col min="1297" max="1297" width="10.5" style="520" customWidth="1"/>
    <col min="1298" max="1298" width="15" style="520" customWidth="1"/>
    <col min="1299" max="1299" width="15.875" style="520" customWidth="1"/>
    <col min="1300" max="1300" width="0" style="520" hidden="1" customWidth="1"/>
    <col min="1301" max="1536" width="14.5" style="520"/>
    <col min="1537" max="1537" width="5.5" style="520" customWidth="1"/>
    <col min="1538" max="1538" width="13.625" style="520" customWidth="1"/>
    <col min="1539" max="1539" width="15.125" style="520" customWidth="1"/>
    <col min="1540" max="1540" width="11.125" style="520" customWidth="1"/>
    <col min="1541" max="1541" width="10.875" style="520" customWidth="1"/>
    <col min="1542" max="1542" width="23" style="520" customWidth="1"/>
    <col min="1543" max="1543" width="18.125" style="520" customWidth="1"/>
    <col min="1544" max="1544" width="13" style="520" customWidth="1"/>
    <col min="1545" max="1545" width="11" style="520" customWidth="1"/>
    <col min="1546" max="1546" width="12.125" style="520" customWidth="1"/>
    <col min="1547" max="1547" width="10.375" style="520" customWidth="1"/>
    <col min="1548" max="1548" width="13.875" style="520" customWidth="1"/>
    <col min="1549" max="1549" width="7.5" style="520" customWidth="1"/>
    <col min="1550" max="1550" width="13" style="520" customWidth="1"/>
    <col min="1551" max="1551" width="13.5" style="520" customWidth="1"/>
    <col min="1552" max="1552" width="11" style="520" customWidth="1"/>
    <col min="1553" max="1553" width="10.5" style="520" customWidth="1"/>
    <col min="1554" max="1554" width="15" style="520" customWidth="1"/>
    <col min="1555" max="1555" width="15.875" style="520" customWidth="1"/>
    <col min="1556" max="1556" width="0" style="520" hidden="1" customWidth="1"/>
    <col min="1557" max="1792" width="14.5" style="520"/>
    <col min="1793" max="1793" width="5.5" style="520" customWidth="1"/>
    <col min="1794" max="1794" width="13.625" style="520" customWidth="1"/>
    <col min="1795" max="1795" width="15.125" style="520" customWidth="1"/>
    <col min="1796" max="1796" width="11.125" style="520" customWidth="1"/>
    <col min="1797" max="1797" width="10.875" style="520" customWidth="1"/>
    <col min="1798" max="1798" width="23" style="520" customWidth="1"/>
    <col min="1799" max="1799" width="18.125" style="520" customWidth="1"/>
    <col min="1800" max="1800" width="13" style="520" customWidth="1"/>
    <col min="1801" max="1801" width="11" style="520" customWidth="1"/>
    <col min="1802" max="1802" width="12.125" style="520" customWidth="1"/>
    <col min="1803" max="1803" width="10.375" style="520" customWidth="1"/>
    <col min="1804" max="1804" width="13.875" style="520" customWidth="1"/>
    <col min="1805" max="1805" width="7.5" style="520" customWidth="1"/>
    <col min="1806" max="1806" width="13" style="520" customWidth="1"/>
    <col min="1807" max="1807" width="13.5" style="520" customWidth="1"/>
    <col min="1808" max="1808" width="11" style="520" customWidth="1"/>
    <col min="1809" max="1809" width="10.5" style="520" customWidth="1"/>
    <col min="1810" max="1810" width="15" style="520" customWidth="1"/>
    <col min="1811" max="1811" width="15.875" style="520" customWidth="1"/>
    <col min="1812" max="1812" width="0" style="520" hidden="1" customWidth="1"/>
    <col min="1813" max="2048" width="14.5" style="520"/>
    <col min="2049" max="2049" width="5.5" style="520" customWidth="1"/>
    <col min="2050" max="2050" width="13.625" style="520" customWidth="1"/>
    <col min="2051" max="2051" width="15.125" style="520" customWidth="1"/>
    <col min="2052" max="2052" width="11.125" style="520" customWidth="1"/>
    <col min="2053" max="2053" width="10.875" style="520" customWidth="1"/>
    <col min="2054" max="2054" width="23" style="520" customWidth="1"/>
    <col min="2055" max="2055" width="18.125" style="520" customWidth="1"/>
    <col min="2056" max="2056" width="13" style="520" customWidth="1"/>
    <col min="2057" max="2057" width="11" style="520" customWidth="1"/>
    <col min="2058" max="2058" width="12.125" style="520" customWidth="1"/>
    <col min="2059" max="2059" width="10.375" style="520" customWidth="1"/>
    <col min="2060" max="2060" width="13.875" style="520" customWidth="1"/>
    <col min="2061" max="2061" width="7.5" style="520" customWidth="1"/>
    <col min="2062" max="2062" width="13" style="520" customWidth="1"/>
    <col min="2063" max="2063" width="13.5" style="520" customWidth="1"/>
    <col min="2064" max="2064" width="11" style="520" customWidth="1"/>
    <col min="2065" max="2065" width="10.5" style="520" customWidth="1"/>
    <col min="2066" max="2066" width="15" style="520" customWidth="1"/>
    <col min="2067" max="2067" width="15.875" style="520" customWidth="1"/>
    <col min="2068" max="2068" width="0" style="520" hidden="1" customWidth="1"/>
    <col min="2069" max="2304" width="14.5" style="520"/>
    <col min="2305" max="2305" width="5.5" style="520" customWidth="1"/>
    <col min="2306" max="2306" width="13.625" style="520" customWidth="1"/>
    <col min="2307" max="2307" width="15.125" style="520" customWidth="1"/>
    <col min="2308" max="2308" width="11.125" style="520" customWidth="1"/>
    <col min="2309" max="2309" width="10.875" style="520" customWidth="1"/>
    <col min="2310" max="2310" width="23" style="520" customWidth="1"/>
    <col min="2311" max="2311" width="18.125" style="520" customWidth="1"/>
    <col min="2312" max="2312" width="13" style="520" customWidth="1"/>
    <col min="2313" max="2313" width="11" style="520" customWidth="1"/>
    <col min="2314" max="2314" width="12.125" style="520" customWidth="1"/>
    <col min="2315" max="2315" width="10.375" style="520" customWidth="1"/>
    <col min="2316" max="2316" width="13.875" style="520" customWidth="1"/>
    <col min="2317" max="2317" width="7.5" style="520" customWidth="1"/>
    <col min="2318" max="2318" width="13" style="520" customWidth="1"/>
    <col min="2319" max="2319" width="13.5" style="520" customWidth="1"/>
    <col min="2320" max="2320" width="11" style="520" customWidth="1"/>
    <col min="2321" max="2321" width="10.5" style="520" customWidth="1"/>
    <col min="2322" max="2322" width="15" style="520" customWidth="1"/>
    <col min="2323" max="2323" width="15.875" style="520" customWidth="1"/>
    <col min="2324" max="2324" width="0" style="520" hidden="1" customWidth="1"/>
    <col min="2325" max="2560" width="14.5" style="520"/>
    <col min="2561" max="2561" width="5.5" style="520" customWidth="1"/>
    <col min="2562" max="2562" width="13.625" style="520" customWidth="1"/>
    <col min="2563" max="2563" width="15.125" style="520" customWidth="1"/>
    <col min="2564" max="2564" width="11.125" style="520" customWidth="1"/>
    <col min="2565" max="2565" width="10.875" style="520" customWidth="1"/>
    <col min="2566" max="2566" width="23" style="520" customWidth="1"/>
    <col min="2567" max="2567" width="18.125" style="520" customWidth="1"/>
    <col min="2568" max="2568" width="13" style="520" customWidth="1"/>
    <col min="2569" max="2569" width="11" style="520" customWidth="1"/>
    <col min="2570" max="2570" width="12.125" style="520" customWidth="1"/>
    <col min="2571" max="2571" width="10.375" style="520" customWidth="1"/>
    <col min="2572" max="2572" width="13.875" style="520" customWidth="1"/>
    <col min="2573" max="2573" width="7.5" style="520" customWidth="1"/>
    <col min="2574" max="2574" width="13" style="520" customWidth="1"/>
    <col min="2575" max="2575" width="13.5" style="520" customWidth="1"/>
    <col min="2576" max="2576" width="11" style="520" customWidth="1"/>
    <col min="2577" max="2577" width="10.5" style="520" customWidth="1"/>
    <col min="2578" max="2578" width="15" style="520" customWidth="1"/>
    <col min="2579" max="2579" width="15.875" style="520" customWidth="1"/>
    <col min="2580" max="2580" width="0" style="520" hidden="1" customWidth="1"/>
    <col min="2581" max="2816" width="14.5" style="520"/>
    <col min="2817" max="2817" width="5.5" style="520" customWidth="1"/>
    <col min="2818" max="2818" width="13.625" style="520" customWidth="1"/>
    <col min="2819" max="2819" width="15.125" style="520" customWidth="1"/>
    <col min="2820" max="2820" width="11.125" style="520" customWidth="1"/>
    <col min="2821" max="2821" width="10.875" style="520" customWidth="1"/>
    <col min="2822" max="2822" width="23" style="520" customWidth="1"/>
    <col min="2823" max="2823" width="18.125" style="520" customWidth="1"/>
    <col min="2824" max="2824" width="13" style="520" customWidth="1"/>
    <col min="2825" max="2825" width="11" style="520" customWidth="1"/>
    <col min="2826" max="2826" width="12.125" style="520" customWidth="1"/>
    <col min="2827" max="2827" width="10.375" style="520" customWidth="1"/>
    <col min="2828" max="2828" width="13.875" style="520" customWidth="1"/>
    <col min="2829" max="2829" width="7.5" style="520" customWidth="1"/>
    <col min="2830" max="2830" width="13" style="520" customWidth="1"/>
    <col min="2831" max="2831" width="13.5" style="520" customWidth="1"/>
    <col min="2832" max="2832" width="11" style="520" customWidth="1"/>
    <col min="2833" max="2833" width="10.5" style="520" customWidth="1"/>
    <col min="2834" max="2834" width="15" style="520" customWidth="1"/>
    <col min="2835" max="2835" width="15.875" style="520" customWidth="1"/>
    <col min="2836" max="2836" width="0" style="520" hidden="1" customWidth="1"/>
    <col min="2837" max="3072" width="14.5" style="520"/>
    <col min="3073" max="3073" width="5.5" style="520" customWidth="1"/>
    <col min="3074" max="3074" width="13.625" style="520" customWidth="1"/>
    <col min="3075" max="3075" width="15.125" style="520" customWidth="1"/>
    <col min="3076" max="3076" width="11.125" style="520" customWidth="1"/>
    <col min="3077" max="3077" width="10.875" style="520" customWidth="1"/>
    <col min="3078" max="3078" width="23" style="520" customWidth="1"/>
    <col min="3079" max="3079" width="18.125" style="520" customWidth="1"/>
    <col min="3080" max="3080" width="13" style="520" customWidth="1"/>
    <col min="3081" max="3081" width="11" style="520" customWidth="1"/>
    <col min="3082" max="3082" width="12.125" style="520" customWidth="1"/>
    <col min="3083" max="3083" width="10.375" style="520" customWidth="1"/>
    <col min="3084" max="3084" width="13.875" style="520" customWidth="1"/>
    <col min="3085" max="3085" width="7.5" style="520" customWidth="1"/>
    <col min="3086" max="3086" width="13" style="520" customWidth="1"/>
    <col min="3087" max="3087" width="13.5" style="520" customWidth="1"/>
    <col min="3088" max="3088" width="11" style="520" customWidth="1"/>
    <col min="3089" max="3089" width="10.5" style="520" customWidth="1"/>
    <col min="3090" max="3090" width="15" style="520" customWidth="1"/>
    <col min="3091" max="3091" width="15.875" style="520" customWidth="1"/>
    <col min="3092" max="3092" width="0" style="520" hidden="1" customWidth="1"/>
    <col min="3093" max="3328" width="14.5" style="520"/>
    <col min="3329" max="3329" width="5.5" style="520" customWidth="1"/>
    <col min="3330" max="3330" width="13.625" style="520" customWidth="1"/>
    <col min="3331" max="3331" width="15.125" style="520" customWidth="1"/>
    <col min="3332" max="3332" width="11.125" style="520" customWidth="1"/>
    <col min="3333" max="3333" width="10.875" style="520" customWidth="1"/>
    <col min="3334" max="3334" width="23" style="520" customWidth="1"/>
    <col min="3335" max="3335" width="18.125" style="520" customWidth="1"/>
    <col min="3336" max="3336" width="13" style="520" customWidth="1"/>
    <col min="3337" max="3337" width="11" style="520" customWidth="1"/>
    <col min="3338" max="3338" width="12.125" style="520" customWidth="1"/>
    <col min="3339" max="3339" width="10.375" style="520" customWidth="1"/>
    <col min="3340" max="3340" width="13.875" style="520" customWidth="1"/>
    <col min="3341" max="3341" width="7.5" style="520" customWidth="1"/>
    <col min="3342" max="3342" width="13" style="520" customWidth="1"/>
    <col min="3343" max="3343" width="13.5" style="520" customWidth="1"/>
    <col min="3344" max="3344" width="11" style="520" customWidth="1"/>
    <col min="3345" max="3345" width="10.5" style="520" customWidth="1"/>
    <col min="3346" max="3346" width="15" style="520" customWidth="1"/>
    <col min="3347" max="3347" width="15.875" style="520" customWidth="1"/>
    <col min="3348" max="3348" width="0" style="520" hidden="1" customWidth="1"/>
    <col min="3349" max="3584" width="14.5" style="520"/>
    <col min="3585" max="3585" width="5.5" style="520" customWidth="1"/>
    <col min="3586" max="3586" width="13.625" style="520" customWidth="1"/>
    <col min="3587" max="3587" width="15.125" style="520" customWidth="1"/>
    <col min="3588" max="3588" width="11.125" style="520" customWidth="1"/>
    <col min="3589" max="3589" width="10.875" style="520" customWidth="1"/>
    <col min="3590" max="3590" width="23" style="520" customWidth="1"/>
    <col min="3591" max="3591" width="18.125" style="520" customWidth="1"/>
    <col min="3592" max="3592" width="13" style="520" customWidth="1"/>
    <col min="3593" max="3593" width="11" style="520" customWidth="1"/>
    <col min="3594" max="3594" width="12.125" style="520" customWidth="1"/>
    <col min="3595" max="3595" width="10.375" style="520" customWidth="1"/>
    <col min="3596" max="3596" width="13.875" style="520" customWidth="1"/>
    <col min="3597" max="3597" width="7.5" style="520" customWidth="1"/>
    <col min="3598" max="3598" width="13" style="520" customWidth="1"/>
    <col min="3599" max="3599" width="13.5" style="520" customWidth="1"/>
    <col min="3600" max="3600" width="11" style="520" customWidth="1"/>
    <col min="3601" max="3601" width="10.5" style="520" customWidth="1"/>
    <col min="3602" max="3602" width="15" style="520" customWidth="1"/>
    <col min="3603" max="3603" width="15.875" style="520" customWidth="1"/>
    <col min="3604" max="3604" width="0" style="520" hidden="1" customWidth="1"/>
    <col min="3605" max="3840" width="14.5" style="520"/>
    <col min="3841" max="3841" width="5.5" style="520" customWidth="1"/>
    <col min="3842" max="3842" width="13.625" style="520" customWidth="1"/>
    <col min="3843" max="3843" width="15.125" style="520" customWidth="1"/>
    <col min="3844" max="3844" width="11.125" style="520" customWidth="1"/>
    <col min="3845" max="3845" width="10.875" style="520" customWidth="1"/>
    <col min="3846" max="3846" width="23" style="520" customWidth="1"/>
    <col min="3847" max="3847" width="18.125" style="520" customWidth="1"/>
    <col min="3848" max="3848" width="13" style="520" customWidth="1"/>
    <col min="3849" max="3849" width="11" style="520" customWidth="1"/>
    <col min="3850" max="3850" width="12.125" style="520" customWidth="1"/>
    <col min="3851" max="3851" width="10.375" style="520" customWidth="1"/>
    <col min="3852" max="3852" width="13.875" style="520" customWidth="1"/>
    <col min="3853" max="3853" width="7.5" style="520" customWidth="1"/>
    <col min="3854" max="3854" width="13" style="520" customWidth="1"/>
    <col min="3855" max="3855" width="13.5" style="520" customWidth="1"/>
    <col min="3856" max="3856" width="11" style="520" customWidth="1"/>
    <col min="3857" max="3857" width="10.5" style="520" customWidth="1"/>
    <col min="3858" max="3858" width="15" style="520" customWidth="1"/>
    <col min="3859" max="3859" width="15.875" style="520" customWidth="1"/>
    <col min="3860" max="3860" width="0" style="520" hidden="1" customWidth="1"/>
    <col min="3861" max="4096" width="14.5" style="520"/>
    <col min="4097" max="4097" width="5.5" style="520" customWidth="1"/>
    <col min="4098" max="4098" width="13.625" style="520" customWidth="1"/>
    <col min="4099" max="4099" width="15.125" style="520" customWidth="1"/>
    <col min="4100" max="4100" width="11.125" style="520" customWidth="1"/>
    <col min="4101" max="4101" width="10.875" style="520" customWidth="1"/>
    <col min="4102" max="4102" width="23" style="520" customWidth="1"/>
    <col min="4103" max="4103" width="18.125" style="520" customWidth="1"/>
    <col min="4104" max="4104" width="13" style="520" customWidth="1"/>
    <col min="4105" max="4105" width="11" style="520" customWidth="1"/>
    <col min="4106" max="4106" width="12.125" style="520" customWidth="1"/>
    <col min="4107" max="4107" width="10.375" style="520" customWidth="1"/>
    <col min="4108" max="4108" width="13.875" style="520" customWidth="1"/>
    <col min="4109" max="4109" width="7.5" style="520" customWidth="1"/>
    <col min="4110" max="4110" width="13" style="520" customWidth="1"/>
    <col min="4111" max="4111" width="13.5" style="520" customWidth="1"/>
    <col min="4112" max="4112" width="11" style="520" customWidth="1"/>
    <col min="4113" max="4113" width="10.5" style="520" customWidth="1"/>
    <col min="4114" max="4114" width="15" style="520" customWidth="1"/>
    <col min="4115" max="4115" width="15.875" style="520" customWidth="1"/>
    <col min="4116" max="4116" width="0" style="520" hidden="1" customWidth="1"/>
    <col min="4117" max="4352" width="14.5" style="520"/>
    <col min="4353" max="4353" width="5.5" style="520" customWidth="1"/>
    <col min="4354" max="4354" width="13.625" style="520" customWidth="1"/>
    <col min="4355" max="4355" width="15.125" style="520" customWidth="1"/>
    <col min="4356" max="4356" width="11.125" style="520" customWidth="1"/>
    <col min="4357" max="4357" width="10.875" style="520" customWidth="1"/>
    <col min="4358" max="4358" width="23" style="520" customWidth="1"/>
    <col min="4359" max="4359" width="18.125" style="520" customWidth="1"/>
    <col min="4360" max="4360" width="13" style="520" customWidth="1"/>
    <col min="4361" max="4361" width="11" style="520" customWidth="1"/>
    <col min="4362" max="4362" width="12.125" style="520" customWidth="1"/>
    <col min="4363" max="4363" width="10.375" style="520" customWidth="1"/>
    <col min="4364" max="4364" width="13.875" style="520" customWidth="1"/>
    <col min="4365" max="4365" width="7.5" style="520" customWidth="1"/>
    <col min="4366" max="4366" width="13" style="520" customWidth="1"/>
    <col min="4367" max="4367" width="13.5" style="520" customWidth="1"/>
    <col min="4368" max="4368" width="11" style="520" customWidth="1"/>
    <col min="4369" max="4369" width="10.5" style="520" customWidth="1"/>
    <col min="4370" max="4370" width="15" style="520" customWidth="1"/>
    <col min="4371" max="4371" width="15.875" style="520" customWidth="1"/>
    <col min="4372" max="4372" width="0" style="520" hidden="1" customWidth="1"/>
    <col min="4373" max="4608" width="14.5" style="520"/>
    <col min="4609" max="4609" width="5.5" style="520" customWidth="1"/>
    <col min="4610" max="4610" width="13.625" style="520" customWidth="1"/>
    <col min="4611" max="4611" width="15.125" style="520" customWidth="1"/>
    <col min="4612" max="4612" width="11.125" style="520" customWidth="1"/>
    <col min="4613" max="4613" width="10.875" style="520" customWidth="1"/>
    <col min="4614" max="4614" width="23" style="520" customWidth="1"/>
    <col min="4615" max="4615" width="18.125" style="520" customWidth="1"/>
    <col min="4616" max="4616" width="13" style="520" customWidth="1"/>
    <col min="4617" max="4617" width="11" style="520" customWidth="1"/>
    <col min="4618" max="4618" width="12.125" style="520" customWidth="1"/>
    <col min="4619" max="4619" width="10.375" style="520" customWidth="1"/>
    <col min="4620" max="4620" width="13.875" style="520" customWidth="1"/>
    <col min="4621" max="4621" width="7.5" style="520" customWidth="1"/>
    <col min="4622" max="4622" width="13" style="520" customWidth="1"/>
    <col min="4623" max="4623" width="13.5" style="520" customWidth="1"/>
    <col min="4624" max="4624" width="11" style="520" customWidth="1"/>
    <col min="4625" max="4625" width="10.5" style="520" customWidth="1"/>
    <col min="4626" max="4626" width="15" style="520" customWidth="1"/>
    <col min="4627" max="4627" width="15.875" style="520" customWidth="1"/>
    <col min="4628" max="4628" width="0" style="520" hidden="1" customWidth="1"/>
    <col min="4629" max="4864" width="14.5" style="520"/>
    <col min="4865" max="4865" width="5.5" style="520" customWidth="1"/>
    <col min="4866" max="4866" width="13.625" style="520" customWidth="1"/>
    <col min="4867" max="4867" width="15.125" style="520" customWidth="1"/>
    <col min="4868" max="4868" width="11.125" style="520" customWidth="1"/>
    <col min="4869" max="4869" width="10.875" style="520" customWidth="1"/>
    <col min="4870" max="4870" width="23" style="520" customWidth="1"/>
    <col min="4871" max="4871" width="18.125" style="520" customWidth="1"/>
    <col min="4872" max="4872" width="13" style="520" customWidth="1"/>
    <col min="4873" max="4873" width="11" style="520" customWidth="1"/>
    <col min="4874" max="4874" width="12.125" style="520" customWidth="1"/>
    <col min="4875" max="4875" width="10.375" style="520" customWidth="1"/>
    <col min="4876" max="4876" width="13.875" style="520" customWidth="1"/>
    <col min="4877" max="4877" width="7.5" style="520" customWidth="1"/>
    <col min="4878" max="4878" width="13" style="520" customWidth="1"/>
    <col min="4879" max="4879" width="13.5" style="520" customWidth="1"/>
    <col min="4880" max="4880" width="11" style="520" customWidth="1"/>
    <col min="4881" max="4881" width="10.5" style="520" customWidth="1"/>
    <col min="4882" max="4882" width="15" style="520" customWidth="1"/>
    <col min="4883" max="4883" width="15.875" style="520" customWidth="1"/>
    <col min="4884" max="4884" width="0" style="520" hidden="1" customWidth="1"/>
    <col min="4885" max="5120" width="14.5" style="520"/>
    <col min="5121" max="5121" width="5.5" style="520" customWidth="1"/>
    <col min="5122" max="5122" width="13.625" style="520" customWidth="1"/>
    <col min="5123" max="5123" width="15.125" style="520" customWidth="1"/>
    <col min="5124" max="5124" width="11.125" style="520" customWidth="1"/>
    <col min="5125" max="5125" width="10.875" style="520" customWidth="1"/>
    <col min="5126" max="5126" width="23" style="520" customWidth="1"/>
    <col min="5127" max="5127" width="18.125" style="520" customWidth="1"/>
    <col min="5128" max="5128" width="13" style="520" customWidth="1"/>
    <col min="5129" max="5129" width="11" style="520" customWidth="1"/>
    <col min="5130" max="5130" width="12.125" style="520" customWidth="1"/>
    <col min="5131" max="5131" width="10.375" style="520" customWidth="1"/>
    <col min="5132" max="5132" width="13.875" style="520" customWidth="1"/>
    <col min="5133" max="5133" width="7.5" style="520" customWidth="1"/>
    <col min="5134" max="5134" width="13" style="520" customWidth="1"/>
    <col min="5135" max="5135" width="13.5" style="520" customWidth="1"/>
    <col min="5136" max="5136" width="11" style="520" customWidth="1"/>
    <col min="5137" max="5137" width="10.5" style="520" customWidth="1"/>
    <col min="5138" max="5138" width="15" style="520" customWidth="1"/>
    <col min="5139" max="5139" width="15.875" style="520" customWidth="1"/>
    <col min="5140" max="5140" width="0" style="520" hidden="1" customWidth="1"/>
    <col min="5141" max="5376" width="14.5" style="520"/>
    <col min="5377" max="5377" width="5.5" style="520" customWidth="1"/>
    <col min="5378" max="5378" width="13.625" style="520" customWidth="1"/>
    <col min="5379" max="5379" width="15.125" style="520" customWidth="1"/>
    <col min="5380" max="5380" width="11.125" style="520" customWidth="1"/>
    <col min="5381" max="5381" width="10.875" style="520" customWidth="1"/>
    <col min="5382" max="5382" width="23" style="520" customWidth="1"/>
    <col min="5383" max="5383" width="18.125" style="520" customWidth="1"/>
    <col min="5384" max="5384" width="13" style="520" customWidth="1"/>
    <col min="5385" max="5385" width="11" style="520" customWidth="1"/>
    <col min="5386" max="5386" width="12.125" style="520" customWidth="1"/>
    <col min="5387" max="5387" width="10.375" style="520" customWidth="1"/>
    <col min="5388" max="5388" width="13.875" style="520" customWidth="1"/>
    <col min="5389" max="5389" width="7.5" style="520" customWidth="1"/>
    <col min="5390" max="5390" width="13" style="520" customWidth="1"/>
    <col min="5391" max="5391" width="13.5" style="520" customWidth="1"/>
    <col min="5392" max="5392" width="11" style="520" customWidth="1"/>
    <col min="5393" max="5393" width="10.5" style="520" customWidth="1"/>
    <col min="5394" max="5394" width="15" style="520" customWidth="1"/>
    <col min="5395" max="5395" width="15.875" style="520" customWidth="1"/>
    <col min="5396" max="5396" width="0" style="520" hidden="1" customWidth="1"/>
    <col min="5397" max="5632" width="14.5" style="520"/>
    <col min="5633" max="5633" width="5.5" style="520" customWidth="1"/>
    <col min="5634" max="5634" width="13.625" style="520" customWidth="1"/>
    <col min="5635" max="5635" width="15.125" style="520" customWidth="1"/>
    <col min="5636" max="5636" width="11.125" style="520" customWidth="1"/>
    <col min="5637" max="5637" width="10.875" style="520" customWidth="1"/>
    <col min="5638" max="5638" width="23" style="520" customWidth="1"/>
    <col min="5639" max="5639" width="18.125" style="520" customWidth="1"/>
    <col min="5640" max="5640" width="13" style="520" customWidth="1"/>
    <col min="5641" max="5641" width="11" style="520" customWidth="1"/>
    <col min="5642" max="5642" width="12.125" style="520" customWidth="1"/>
    <col min="5643" max="5643" width="10.375" style="520" customWidth="1"/>
    <col min="5644" max="5644" width="13.875" style="520" customWidth="1"/>
    <col min="5645" max="5645" width="7.5" style="520" customWidth="1"/>
    <col min="5646" max="5646" width="13" style="520" customWidth="1"/>
    <col min="5647" max="5647" width="13.5" style="520" customWidth="1"/>
    <col min="5648" max="5648" width="11" style="520" customWidth="1"/>
    <col min="5649" max="5649" width="10.5" style="520" customWidth="1"/>
    <col min="5650" max="5650" width="15" style="520" customWidth="1"/>
    <col min="5651" max="5651" width="15.875" style="520" customWidth="1"/>
    <col min="5652" max="5652" width="0" style="520" hidden="1" customWidth="1"/>
    <col min="5653" max="5888" width="14.5" style="520"/>
    <col min="5889" max="5889" width="5.5" style="520" customWidth="1"/>
    <col min="5890" max="5890" width="13.625" style="520" customWidth="1"/>
    <col min="5891" max="5891" width="15.125" style="520" customWidth="1"/>
    <col min="5892" max="5892" width="11.125" style="520" customWidth="1"/>
    <col min="5893" max="5893" width="10.875" style="520" customWidth="1"/>
    <col min="5894" max="5894" width="23" style="520" customWidth="1"/>
    <col min="5895" max="5895" width="18.125" style="520" customWidth="1"/>
    <col min="5896" max="5896" width="13" style="520" customWidth="1"/>
    <col min="5897" max="5897" width="11" style="520" customWidth="1"/>
    <col min="5898" max="5898" width="12.125" style="520" customWidth="1"/>
    <col min="5899" max="5899" width="10.375" style="520" customWidth="1"/>
    <col min="5900" max="5900" width="13.875" style="520" customWidth="1"/>
    <col min="5901" max="5901" width="7.5" style="520" customWidth="1"/>
    <col min="5902" max="5902" width="13" style="520" customWidth="1"/>
    <col min="5903" max="5903" width="13.5" style="520" customWidth="1"/>
    <col min="5904" max="5904" width="11" style="520" customWidth="1"/>
    <col min="5905" max="5905" width="10.5" style="520" customWidth="1"/>
    <col min="5906" max="5906" width="15" style="520" customWidth="1"/>
    <col min="5907" max="5907" width="15.875" style="520" customWidth="1"/>
    <col min="5908" max="5908" width="0" style="520" hidden="1" customWidth="1"/>
    <col min="5909" max="6144" width="14.5" style="520"/>
    <col min="6145" max="6145" width="5.5" style="520" customWidth="1"/>
    <col min="6146" max="6146" width="13.625" style="520" customWidth="1"/>
    <col min="6147" max="6147" width="15.125" style="520" customWidth="1"/>
    <col min="6148" max="6148" width="11.125" style="520" customWidth="1"/>
    <col min="6149" max="6149" width="10.875" style="520" customWidth="1"/>
    <col min="6150" max="6150" width="23" style="520" customWidth="1"/>
    <col min="6151" max="6151" width="18.125" style="520" customWidth="1"/>
    <col min="6152" max="6152" width="13" style="520" customWidth="1"/>
    <col min="6153" max="6153" width="11" style="520" customWidth="1"/>
    <col min="6154" max="6154" width="12.125" style="520" customWidth="1"/>
    <col min="6155" max="6155" width="10.375" style="520" customWidth="1"/>
    <col min="6156" max="6156" width="13.875" style="520" customWidth="1"/>
    <col min="6157" max="6157" width="7.5" style="520" customWidth="1"/>
    <col min="6158" max="6158" width="13" style="520" customWidth="1"/>
    <col min="6159" max="6159" width="13.5" style="520" customWidth="1"/>
    <col min="6160" max="6160" width="11" style="520" customWidth="1"/>
    <col min="6161" max="6161" width="10.5" style="520" customWidth="1"/>
    <col min="6162" max="6162" width="15" style="520" customWidth="1"/>
    <col min="6163" max="6163" width="15.875" style="520" customWidth="1"/>
    <col min="6164" max="6164" width="0" style="520" hidden="1" customWidth="1"/>
    <col min="6165" max="6400" width="14.5" style="520"/>
    <col min="6401" max="6401" width="5.5" style="520" customWidth="1"/>
    <col min="6402" max="6402" width="13.625" style="520" customWidth="1"/>
    <col min="6403" max="6403" width="15.125" style="520" customWidth="1"/>
    <col min="6404" max="6404" width="11.125" style="520" customWidth="1"/>
    <col min="6405" max="6405" width="10.875" style="520" customWidth="1"/>
    <col min="6406" max="6406" width="23" style="520" customWidth="1"/>
    <col min="6407" max="6407" width="18.125" style="520" customWidth="1"/>
    <col min="6408" max="6408" width="13" style="520" customWidth="1"/>
    <col min="6409" max="6409" width="11" style="520" customWidth="1"/>
    <col min="6410" max="6410" width="12.125" style="520" customWidth="1"/>
    <col min="6411" max="6411" width="10.375" style="520" customWidth="1"/>
    <col min="6412" max="6412" width="13.875" style="520" customWidth="1"/>
    <col min="6413" max="6413" width="7.5" style="520" customWidth="1"/>
    <col min="6414" max="6414" width="13" style="520" customWidth="1"/>
    <col min="6415" max="6415" width="13.5" style="520" customWidth="1"/>
    <col min="6416" max="6416" width="11" style="520" customWidth="1"/>
    <col min="6417" max="6417" width="10.5" style="520" customWidth="1"/>
    <col min="6418" max="6418" width="15" style="520" customWidth="1"/>
    <col min="6419" max="6419" width="15.875" style="520" customWidth="1"/>
    <col min="6420" max="6420" width="0" style="520" hidden="1" customWidth="1"/>
    <col min="6421" max="6656" width="14.5" style="520"/>
    <col min="6657" max="6657" width="5.5" style="520" customWidth="1"/>
    <col min="6658" max="6658" width="13.625" style="520" customWidth="1"/>
    <col min="6659" max="6659" width="15.125" style="520" customWidth="1"/>
    <col min="6660" max="6660" width="11.125" style="520" customWidth="1"/>
    <col min="6661" max="6661" width="10.875" style="520" customWidth="1"/>
    <col min="6662" max="6662" width="23" style="520" customWidth="1"/>
    <col min="6663" max="6663" width="18.125" style="520" customWidth="1"/>
    <col min="6664" max="6664" width="13" style="520" customWidth="1"/>
    <col min="6665" max="6665" width="11" style="520" customWidth="1"/>
    <col min="6666" max="6666" width="12.125" style="520" customWidth="1"/>
    <col min="6667" max="6667" width="10.375" style="520" customWidth="1"/>
    <col min="6668" max="6668" width="13.875" style="520" customWidth="1"/>
    <col min="6669" max="6669" width="7.5" style="520" customWidth="1"/>
    <col min="6670" max="6670" width="13" style="520" customWidth="1"/>
    <col min="6671" max="6671" width="13.5" style="520" customWidth="1"/>
    <col min="6672" max="6672" width="11" style="520" customWidth="1"/>
    <col min="6673" max="6673" width="10.5" style="520" customWidth="1"/>
    <col min="6674" max="6674" width="15" style="520" customWidth="1"/>
    <col min="6675" max="6675" width="15.875" style="520" customWidth="1"/>
    <col min="6676" max="6676" width="0" style="520" hidden="1" customWidth="1"/>
    <col min="6677" max="6912" width="14.5" style="520"/>
    <col min="6913" max="6913" width="5.5" style="520" customWidth="1"/>
    <col min="6914" max="6914" width="13.625" style="520" customWidth="1"/>
    <col min="6915" max="6915" width="15.125" style="520" customWidth="1"/>
    <col min="6916" max="6916" width="11.125" style="520" customWidth="1"/>
    <col min="6917" max="6917" width="10.875" style="520" customWidth="1"/>
    <col min="6918" max="6918" width="23" style="520" customWidth="1"/>
    <col min="6919" max="6919" width="18.125" style="520" customWidth="1"/>
    <col min="6920" max="6920" width="13" style="520" customWidth="1"/>
    <col min="6921" max="6921" width="11" style="520" customWidth="1"/>
    <col min="6922" max="6922" width="12.125" style="520" customWidth="1"/>
    <col min="6923" max="6923" width="10.375" style="520" customWidth="1"/>
    <col min="6924" max="6924" width="13.875" style="520" customWidth="1"/>
    <col min="6925" max="6925" width="7.5" style="520" customWidth="1"/>
    <col min="6926" max="6926" width="13" style="520" customWidth="1"/>
    <col min="6927" max="6927" width="13.5" style="520" customWidth="1"/>
    <col min="6928" max="6928" width="11" style="520" customWidth="1"/>
    <col min="6929" max="6929" width="10.5" style="520" customWidth="1"/>
    <col min="6930" max="6930" width="15" style="520" customWidth="1"/>
    <col min="6931" max="6931" width="15.875" style="520" customWidth="1"/>
    <col min="6932" max="6932" width="0" style="520" hidden="1" customWidth="1"/>
    <col min="6933" max="7168" width="14.5" style="520"/>
    <col min="7169" max="7169" width="5.5" style="520" customWidth="1"/>
    <col min="7170" max="7170" width="13.625" style="520" customWidth="1"/>
    <col min="7171" max="7171" width="15.125" style="520" customWidth="1"/>
    <col min="7172" max="7172" width="11.125" style="520" customWidth="1"/>
    <col min="7173" max="7173" width="10.875" style="520" customWidth="1"/>
    <col min="7174" max="7174" width="23" style="520" customWidth="1"/>
    <col min="7175" max="7175" width="18.125" style="520" customWidth="1"/>
    <col min="7176" max="7176" width="13" style="520" customWidth="1"/>
    <col min="7177" max="7177" width="11" style="520" customWidth="1"/>
    <col min="7178" max="7178" width="12.125" style="520" customWidth="1"/>
    <col min="7179" max="7179" width="10.375" style="520" customWidth="1"/>
    <col min="7180" max="7180" width="13.875" style="520" customWidth="1"/>
    <col min="7181" max="7181" width="7.5" style="520" customWidth="1"/>
    <col min="7182" max="7182" width="13" style="520" customWidth="1"/>
    <col min="7183" max="7183" width="13.5" style="520" customWidth="1"/>
    <col min="7184" max="7184" width="11" style="520" customWidth="1"/>
    <col min="7185" max="7185" width="10.5" style="520" customWidth="1"/>
    <col min="7186" max="7186" width="15" style="520" customWidth="1"/>
    <col min="7187" max="7187" width="15.875" style="520" customWidth="1"/>
    <col min="7188" max="7188" width="0" style="520" hidden="1" customWidth="1"/>
    <col min="7189" max="7424" width="14.5" style="520"/>
    <col min="7425" max="7425" width="5.5" style="520" customWidth="1"/>
    <col min="7426" max="7426" width="13.625" style="520" customWidth="1"/>
    <col min="7427" max="7427" width="15.125" style="520" customWidth="1"/>
    <col min="7428" max="7428" width="11.125" style="520" customWidth="1"/>
    <col min="7429" max="7429" width="10.875" style="520" customWidth="1"/>
    <col min="7430" max="7430" width="23" style="520" customWidth="1"/>
    <col min="7431" max="7431" width="18.125" style="520" customWidth="1"/>
    <col min="7432" max="7432" width="13" style="520" customWidth="1"/>
    <col min="7433" max="7433" width="11" style="520" customWidth="1"/>
    <col min="7434" max="7434" width="12.125" style="520" customWidth="1"/>
    <col min="7435" max="7435" width="10.375" style="520" customWidth="1"/>
    <col min="7436" max="7436" width="13.875" style="520" customWidth="1"/>
    <col min="7437" max="7437" width="7.5" style="520" customWidth="1"/>
    <col min="7438" max="7438" width="13" style="520" customWidth="1"/>
    <col min="7439" max="7439" width="13.5" style="520" customWidth="1"/>
    <col min="7440" max="7440" width="11" style="520" customWidth="1"/>
    <col min="7441" max="7441" width="10.5" style="520" customWidth="1"/>
    <col min="7442" max="7442" width="15" style="520" customWidth="1"/>
    <col min="7443" max="7443" width="15.875" style="520" customWidth="1"/>
    <col min="7444" max="7444" width="0" style="520" hidden="1" customWidth="1"/>
    <col min="7445" max="7680" width="14.5" style="520"/>
    <col min="7681" max="7681" width="5.5" style="520" customWidth="1"/>
    <col min="7682" max="7682" width="13.625" style="520" customWidth="1"/>
    <col min="7683" max="7683" width="15.125" style="520" customWidth="1"/>
    <col min="7684" max="7684" width="11.125" style="520" customWidth="1"/>
    <col min="7685" max="7685" width="10.875" style="520" customWidth="1"/>
    <col min="7686" max="7686" width="23" style="520" customWidth="1"/>
    <col min="7687" max="7687" width="18.125" style="520" customWidth="1"/>
    <col min="7688" max="7688" width="13" style="520" customWidth="1"/>
    <col min="7689" max="7689" width="11" style="520" customWidth="1"/>
    <col min="7690" max="7690" width="12.125" style="520" customWidth="1"/>
    <col min="7691" max="7691" width="10.375" style="520" customWidth="1"/>
    <col min="7692" max="7692" width="13.875" style="520" customWidth="1"/>
    <col min="7693" max="7693" width="7.5" style="520" customWidth="1"/>
    <col min="7694" max="7694" width="13" style="520" customWidth="1"/>
    <col min="7695" max="7695" width="13.5" style="520" customWidth="1"/>
    <col min="7696" max="7696" width="11" style="520" customWidth="1"/>
    <col min="7697" max="7697" width="10.5" style="520" customWidth="1"/>
    <col min="7698" max="7698" width="15" style="520" customWidth="1"/>
    <col min="7699" max="7699" width="15.875" style="520" customWidth="1"/>
    <col min="7700" max="7700" width="0" style="520" hidden="1" customWidth="1"/>
    <col min="7701" max="7936" width="14.5" style="520"/>
    <col min="7937" max="7937" width="5.5" style="520" customWidth="1"/>
    <col min="7938" max="7938" width="13.625" style="520" customWidth="1"/>
    <col min="7939" max="7939" width="15.125" style="520" customWidth="1"/>
    <col min="7940" max="7940" width="11.125" style="520" customWidth="1"/>
    <col min="7941" max="7941" width="10.875" style="520" customWidth="1"/>
    <col min="7942" max="7942" width="23" style="520" customWidth="1"/>
    <col min="7943" max="7943" width="18.125" style="520" customWidth="1"/>
    <col min="7944" max="7944" width="13" style="520" customWidth="1"/>
    <col min="7945" max="7945" width="11" style="520" customWidth="1"/>
    <col min="7946" max="7946" width="12.125" style="520" customWidth="1"/>
    <col min="7947" max="7947" width="10.375" style="520" customWidth="1"/>
    <col min="7948" max="7948" width="13.875" style="520" customWidth="1"/>
    <col min="7949" max="7949" width="7.5" style="520" customWidth="1"/>
    <col min="7950" max="7950" width="13" style="520" customWidth="1"/>
    <col min="7951" max="7951" width="13.5" style="520" customWidth="1"/>
    <col min="7952" max="7952" width="11" style="520" customWidth="1"/>
    <col min="7953" max="7953" width="10.5" style="520" customWidth="1"/>
    <col min="7954" max="7954" width="15" style="520" customWidth="1"/>
    <col min="7955" max="7955" width="15.875" style="520" customWidth="1"/>
    <col min="7956" max="7956" width="0" style="520" hidden="1" customWidth="1"/>
    <col min="7957" max="8192" width="14.5" style="520"/>
    <col min="8193" max="8193" width="5.5" style="520" customWidth="1"/>
    <col min="8194" max="8194" width="13.625" style="520" customWidth="1"/>
    <col min="8195" max="8195" width="15.125" style="520" customWidth="1"/>
    <col min="8196" max="8196" width="11.125" style="520" customWidth="1"/>
    <col min="8197" max="8197" width="10.875" style="520" customWidth="1"/>
    <col min="8198" max="8198" width="23" style="520" customWidth="1"/>
    <col min="8199" max="8199" width="18.125" style="520" customWidth="1"/>
    <col min="8200" max="8200" width="13" style="520" customWidth="1"/>
    <col min="8201" max="8201" width="11" style="520" customWidth="1"/>
    <col min="8202" max="8202" width="12.125" style="520" customWidth="1"/>
    <col min="8203" max="8203" width="10.375" style="520" customWidth="1"/>
    <col min="8204" max="8204" width="13.875" style="520" customWidth="1"/>
    <col min="8205" max="8205" width="7.5" style="520" customWidth="1"/>
    <col min="8206" max="8206" width="13" style="520" customWidth="1"/>
    <col min="8207" max="8207" width="13.5" style="520" customWidth="1"/>
    <col min="8208" max="8208" width="11" style="520" customWidth="1"/>
    <col min="8209" max="8209" width="10.5" style="520" customWidth="1"/>
    <col min="8210" max="8210" width="15" style="520" customWidth="1"/>
    <col min="8211" max="8211" width="15.875" style="520" customWidth="1"/>
    <col min="8212" max="8212" width="0" style="520" hidden="1" customWidth="1"/>
    <col min="8213" max="8448" width="14.5" style="520"/>
    <col min="8449" max="8449" width="5.5" style="520" customWidth="1"/>
    <col min="8450" max="8450" width="13.625" style="520" customWidth="1"/>
    <col min="8451" max="8451" width="15.125" style="520" customWidth="1"/>
    <col min="8452" max="8452" width="11.125" style="520" customWidth="1"/>
    <col min="8453" max="8453" width="10.875" style="520" customWidth="1"/>
    <col min="8454" max="8454" width="23" style="520" customWidth="1"/>
    <col min="8455" max="8455" width="18.125" style="520" customWidth="1"/>
    <col min="8456" max="8456" width="13" style="520" customWidth="1"/>
    <col min="8457" max="8457" width="11" style="520" customWidth="1"/>
    <col min="8458" max="8458" width="12.125" style="520" customWidth="1"/>
    <col min="8459" max="8459" width="10.375" style="520" customWidth="1"/>
    <col min="8460" max="8460" width="13.875" style="520" customWidth="1"/>
    <col min="8461" max="8461" width="7.5" style="520" customWidth="1"/>
    <col min="8462" max="8462" width="13" style="520" customWidth="1"/>
    <col min="8463" max="8463" width="13.5" style="520" customWidth="1"/>
    <col min="8464" max="8464" width="11" style="520" customWidth="1"/>
    <col min="8465" max="8465" width="10.5" style="520" customWidth="1"/>
    <col min="8466" max="8466" width="15" style="520" customWidth="1"/>
    <col min="8467" max="8467" width="15.875" style="520" customWidth="1"/>
    <col min="8468" max="8468" width="0" style="520" hidden="1" customWidth="1"/>
    <col min="8469" max="8704" width="14.5" style="520"/>
    <col min="8705" max="8705" width="5.5" style="520" customWidth="1"/>
    <col min="8706" max="8706" width="13.625" style="520" customWidth="1"/>
    <col min="8707" max="8707" width="15.125" style="520" customWidth="1"/>
    <col min="8708" max="8708" width="11.125" style="520" customWidth="1"/>
    <col min="8709" max="8709" width="10.875" style="520" customWidth="1"/>
    <col min="8710" max="8710" width="23" style="520" customWidth="1"/>
    <col min="8711" max="8711" width="18.125" style="520" customWidth="1"/>
    <col min="8712" max="8712" width="13" style="520" customWidth="1"/>
    <col min="8713" max="8713" width="11" style="520" customWidth="1"/>
    <col min="8714" max="8714" width="12.125" style="520" customWidth="1"/>
    <col min="8715" max="8715" width="10.375" style="520" customWidth="1"/>
    <col min="8716" max="8716" width="13.875" style="520" customWidth="1"/>
    <col min="8717" max="8717" width="7.5" style="520" customWidth="1"/>
    <col min="8718" max="8718" width="13" style="520" customWidth="1"/>
    <col min="8719" max="8719" width="13.5" style="520" customWidth="1"/>
    <col min="8720" max="8720" width="11" style="520" customWidth="1"/>
    <col min="8721" max="8721" width="10.5" style="520" customWidth="1"/>
    <col min="8722" max="8722" width="15" style="520" customWidth="1"/>
    <col min="8723" max="8723" width="15.875" style="520" customWidth="1"/>
    <col min="8724" max="8724" width="0" style="520" hidden="1" customWidth="1"/>
    <col min="8725" max="8960" width="14.5" style="520"/>
    <col min="8961" max="8961" width="5.5" style="520" customWidth="1"/>
    <col min="8962" max="8962" width="13.625" style="520" customWidth="1"/>
    <col min="8963" max="8963" width="15.125" style="520" customWidth="1"/>
    <col min="8964" max="8964" width="11.125" style="520" customWidth="1"/>
    <col min="8965" max="8965" width="10.875" style="520" customWidth="1"/>
    <col min="8966" max="8966" width="23" style="520" customWidth="1"/>
    <col min="8967" max="8967" width="18.125" style="520" customWidth="1"/>
    <col min="8968" max="8968" width="13" style="520" customWidth="1"/>
    <col min="8969" max="8969" width="11" style="520" customWidth="1"/>
    <col min="8970" max="8970" width="12.125" style="520" customWidth="1"/>
    <col min="8971" max="8971" width="10.375" style="520" customWidth="1"/>
    <col min="8972" max="8972" width="13.875" style="520" customWidth="1"/>
    <col min="8973" max="8973" width="7.5" style="520" customWidth="1"/>
    <col min="8974" max="8974" width="13" style="520" customWidth="1"/>
    <col min="8975" max="8975" width="13.5" style="520" customWidth="1"/>
    <col min="8976" max="8976" width="11" style="520" customWidth="1"/>
    <col min="8977" max="8977" width="10.5" style="520" customWidth="1"/>
    <col min="8978" max="8978" width="15" style="520" customWidth="1"/>
    <col min="8979" max="8979" width="15.875" style="520" customWidth="1"/>
    <col min="8980" max="8980" width="0" style="520" hidden="1" customWidth="1"/>
    <col min="8981" max="9216" width="14.5" style="520"/>
    <col min="9217" max="9217" width="5.5" style="520" customWidth="1"/>
    <col min="9218" max="9218" width="13.625" style="520" customWidth="1"/>
    <col min="9219" max="9219" width="15.125" style="520" customWidth="1"/>
    <col min="9220" max="9220" width="11.125" style="520" customWidth="1"/>
    <col min="9221" max="9221" width="10.875" style="520" customWidth="1"/>
    <col min="9222" max="9222" width="23" style="520" customWidth="1"/>
    <col min="9223" max="9223" width="18.125" style="520" customWidth="1"/>
    <col min="9224" max="9224" width="13" style="520" customWidth="1"/>
    <col min="9225" max="9225" width="11" style="520" customWidth="1"/>
    <col min="9226" max="9226" width="12.125" style="520" customWidth="1"/>
    <col min="9227" max="9227" width="10.375" style="520" customWidth="1"/>
    <col min="9228" max="9228" width="13.875" style="520" customWidth="1"/>
    <col min="9229" max="9229" width="7.5" style="520" customWidth="1"/>
    <col min="9230" max="9230" width="13" style="520" customWidth="1"/>
    <col min="9231" max="9231" width="13.5" style="520" customWidth="1"/>
    <col min="9232" max="9232" width="11" style="520" customWidth="1"/>
    <col min="9233" max="9233" width="10.5" style="520" customWidth="1"/>
    <col min="9234" max="9234" width="15" style="520" customWidth="1"/>
    <col min="9235" max="9235" width="15.875" style="520" customWidth="1"/>
    <col min="9236" max="9236" width="0" style="520" hidden="1" customWidth="1"/>
    <col min="9237" max="9472" width="14.5" style="520"/>
    <col min="9473" max="9473" width="5.5" style="520" customWidth="1"/>
    <col min="9474" max="9474" width="13.625" style="520" customWidth="1"/>
    <col min="9475" max="9475" width="15.125" style="520" customWidth="1"/>
    <col min="9476" max="9476" width="11.125" style="520" customWidth="1"/>
    <col min="9477" max="9477" width="10.875" style="520" customWidth="1"/>
    <col min="9478" max="9478" width="23" style="520" customWidth="1"/>
    <col min="9479" max="9479" width="18.125" style="520" customWidth="1"/>
    <col min="9480" max="9480" width="13" style="520" customWidth="1"/>
    <col min="9481" max="9481" width="11" style="520" customWidth="1"/>
    <col min="9482" max="9482" width="12.125" style="520" customWidth="1"/>
    <col min="9483" max="9483" width="10.375" style="520" customWidth="1"/>
    <col min="9484" max="9484" width="13.875" style="520" customWidth="1"/>
    <col min="9485" max="9485" width="7.5" style="520" customWidth="1"/>
    <col min="9486" max="9486" width="13" style="520" customWidth="1"/>
    <col min="9487" max="9487" width="13.5" style="520" customWidth="1"/>
    <col min="9488" max="9488" width="11" style="520" customWidth="1"/>
    <col min="9489" max="9489" width="10.5" style="520" customWidth="1"/>
    <col min="9490" max="9490" width="15" style="520" customWidth="1"/>
    <col min="9491" max="9491" width="15.875" style="520" customWidth="1"/>
    <col min="9492" max="9492" width="0" style="520" hidden="1" customWidth="1"/>
    <col min="9493" max="9728" width="14.5" style="520"/>
    <col min="9729" max="9729" width="5.5" style="520" customWidth="1"/>
    <col min="9730" max="9730" width="13.625" style="520" customWidth="1"/>
    <col min="9731" max="9731" width="15.125" style="520" customWidth="1"/>
    <col min="9732" max="9732" width="11.125" style="520" customWidth="1"/>
    <col min="9733" max="9733" width="10.875" style="520" customWidth="1"/>
    <col min="9734" max="9734" width="23" style="520" customWidth="1"/>
    <col min="9735" max="9735" width="18.125" style="520" customWidth="1"/>
    <col min="9736" max="9736" width="13" style="520" customWidth="1"/>
    <col min="9737" max="9737" width="11" style="520" customWidth="1"/>
    <col min="9738" max="9738" width="12.125" style="520" customWidth="1"/>
    <col min="9739" max="9739" width="10.375" style="520" customWidth="1"/>
    <col min="9740" max="9740" width="13.875" style="520" customWidth="1"/>
    <col min="9741" max="9741" width="7.5" style="520" customWidth="1"/>
    <col min="9742" max="9742" width="13" style="520" customWidth="1"/>
    <col min="9743" max="9743" width="13.5" style="520" customWidth="1"/>
    <col min="9744" max="9744" width="11" style="520" customWidth="1"/>
    <col min="9745" max="9745" width="10.5" style="520" customWidth="1"/>
    <col min="9746" max="9746" width="15" style="520" customWidth="1"/>
    <col min="9747" max="9747" width="15.875" style="520" customWidth="1"/>
    <col min="9748" max="9748" width="0" style="520" hidden="1" customWidth="1"/>
    <col min="9749" max="9984" width="14.5" style="520"/>
    <col min="9985" max="9985" width="5.5" style="520" customWidth="1"/>
    <col min="9986" max="9986" width="13.625" style="520" customWidth="1"/>
    <col min="9987" max="9987" width="15.125" style="520" customWidth="1"/>
    <col min="9988" max="9988" width="11.125" style="520" customWidth="1"/>
    <col min="9989" max="9989" width="10.875" style="520" customWidth="1"/>
    <col min="9990" max="9990" width="23" style="520" customWidth="1"/>
    <col min="9991" max="9991" width="18.125" style="520" customWidth="1"/>
    <col min="9992" max="9992" width="13" style="520" customWidth="1"/>
    <col min="9993" max="9993" width="11" style="520" customWidth="1"/>
    <col min="9994" max="9994" width="12.125" style="520" customWidth="1"/>
    <col min="9995" max="9995" width="10.375" style="520" customWidth="1"/>
    <col min="9996" max="9996" width="13.875" style="520" customWidth="1"/>
    <col min="9997" max="9997" width="7.5" style="520" customWidth="1"/>
    <col min="9998" max="9998" width="13" style="520" customWidth="1"/>
    <col min="9999" max="9999" width="13.5" style="520" customWidth="1"/>
    <col min="10000" max="10000" width="11" style="520" customWidth="1"/>
    <col min="10001" max="10001" width="10.5" style="520" customWidth="1"/>
    <col min="10002" max="10002" width="15" style="520" customWidth="1"/>
    <col min="10003" max="10003" width="15.875" style="520" customWidth="1"/>
    <col min="10004" max="10004" width="0" style="520" hidden="1" customWidth="1"/>
    <col min="10005" max="10240" width="14.5" style="520"/>
    <col min="10241" max="10241" width="5.5" style="520" customWidth="1"/>
    <col min="10242" max="10242" width="13.625" style="520" customWidth="1"/>
    <col min="10243" max="10243" width="15.125" style="520" customWidth="1"/>
    <col min="10244" max="10244" width="11.125" style="520" customWidth="1"/>
    <col min="10245" max="10245" width="10.875" style="520" customWidth="1"/>
    <col min="10246" max="10246" width="23" style="520" customWidth="1"/>
    <col min="10247" max="10247" width="18.125" style="520" customWidth="1"/>
    <col min="10248" max="10248" width="13" style="520" customWidth="1"/>
    <col min="10249" max="10249" width="11" style="520" customWidth="1"/>
    <col min="10250" max="10250" width="12.125" style="520" customWidth="1"/>
    <col min="10251" max="10251" width="10.375" style="520" customWidth="1"/>
    <col min="10252" max="10252" width="13.875" style="520" customWidth="1"/>
    <col min="10253" max="10253" width="7.5" style="520" customWidth="1"/>
    <col min="10254" max="10254" width="13" style="520" customWidth="1"/>
    <col min="10255" max="10255" width="13.5" style="520" customWidth="1"/>
    <col min="10256" max="10256" width="11" style="520" customWidth="1"/>
    <col min="10257" max="10257" width="10.5" style="520" customWidth="1"/>
    <col min="10258" max="10258" width="15" style="520" customWidth="1"/>
    <col min="10259" max="10259" width="15.875" style="520" customWidth="1"/>
    <col min="10260" max="10260" width="0" style="520" hidden="1" customWidth="1"/>
    <col min="10261" max="10496" width="14.5" style="520"/>
    <col min="10497" max="10497" width="5.5" style="520" customWidth="1"/>
    <col min="10498" max="10498" width="13.625" style="520" customWidth="1"/>
    <col min="10499" max="10499" width="15.125" style="520" customWidth="1"/>
    <col min="10500" max="10500" width="11.125" style="520" customWidth="1"/>
    <col min="10501" max="10501" width="10.875" style="520" customWidth="1"/>
    <col min="10502" max="10502" width="23" style="520" customWidth="1"/>
    <col min="10503" max="10503" width="18.125" style="520" customWidth="1"/>
    <col min="10504" max="10504" width="13" style="520" customWidth="1"/>
    <col min="10505" max="10505" width="11" style="520" customWidth="1"/>
    <col min="10506" max="10506" width="12.125" style="520" customWidth="1"/>
    <col min="10507" max="10507" width="10.375" style="520" customWidth="1"/>
    <col min="10508" max="10508" width="13.875" style="520" customWidth="1"/>
    <col min="10509" max="10509" width="7.5" style="520" customWidth="1"/>
    <col min="10510" max="10510" width="13" style="520" customWidth="1"/>
    <col min="10511" max="10511" width="13.5" style="520" customWidth="1"/>
    <col min="10512" max="10512" width="11" style="520" customWidth="1"/>
    <col min="10513" max="10513" width="10.5" style="520" customWidth="1"/>
    <col min="10514" max="10514" width="15" style="520" customWidth="1"/>
    <col min="10515" max="10515" width="15.875" style="520" customWidth="1"/>
    <col min="10516" max="10516" width="0" style="520" hidden="1" customWidth="1"/>
    <col min="10517" max="10752" width="14.5" style="520"/>
    <col min="10753" max="10753" width="5.5" style="520" customWidth="1"/>
    <col min="10754" max="10754" width="13.625" style="520" customWidth="1"/>
    <col min="10755" max="10755" width="15.125" style="520" customWidth="1"/>
    <col min="10756" max="10756" width="11.125" style="520" customWidth="1"/>
    <col min="10757" max="10757" width="10.875" style="520" customWidth="1"/>
    <col min="10758" max="10758" width="23" style="520" customWidth="1"/>
    <col min="10759" max="10759" width="18.125" style="520" customWidth="1"/>
    <col min="10760" max="10760" width="13" style="520" customWidth="1"/>
    <col min="10761" max="10761" width="11" style="520" customWidth="1"/>
    <col min="10762" max="10762" width="12.125" style="520" customWidth="1"/>
    <col min="10763" max="10763" width="10.375" style="520" customWidth="1"/>
    <col min="10764" max="10764" width="13.875" style="520" customWidth="1"/>
    <col min="10765" max="10765" width="7.5" style="520" customWidth="1"/>
    <col min="10766" max="10766" width="13" style="520" customWidth="1"/>
    <col min="10767" max="10767" width="13.5" style="520" customWidth="1"/>
    <col min="10768" max="10768" width="11" style="520" customWidth="1"/>
    <col min="10769" max="10769" width="10.5" style="520" customWidth="1"/>
    <col min="10770" max="10770" width="15" style="520" customWidth="1"/>
    <col min="10771" max="10771" width="15.875" style="520" customWidth="1"/>
    <col min="10772" max="10772" width="0" style="520" hidden="1" customWidth="1"/>
    <col min="10773" max="11008" width="14.5" style="520"/>
    <col min="11009" max="11009" width="5.5" style="520" customWidth="1"/>
    <col min="11010" max="11010" width="13.625" style="520" customWidth="1"/>
    <col min="11011" max="11011" width="15.125" style="520" customWidth="1"/>
    <col min="11012" max="11012" width="11.125" style="520" customWidth="1"/>
    <col min="11013" max="11013" width="10.875" style="520" customWidth="1"/>
    <col min="11014" max="11014" width="23" style="520" customWidth="1"/>
    <col min="11015" max="11015" width="18.125" style="520" customWidth="1"/>
    <col min="11016" max="11016" width="13" style="520" customWidth="1"/>
    <col min="11017" max="11017" width="11" style="520" customWidth="1"/>
    <col min="11018" max="11018" width="12.125" style="520" customWidth="1"/>
    <col min="11019" max="11019" width="10.375" style="520" customWidth="1"/>
    <col min="11020" max="11020" width="13.875" style="520" customWidth="1"/>
    <col min="11021" max="11021" width="7.5" style="520" customWidth="1"/>
    <col min="11022" max="11022" width="13" style="520" customWidth="1"/>
    <col min="11023" max="11023" width="13.5" style="520" customWidth="1"/>
    <col min="11024" max="11024" width="11" style="520" customWidth="1"/>
    <col min="11025" max="11025" width="10.5" style="520" customWidth="1"/>
    <col min="11026" max="11026" width="15" style="520" customWidth="1"/>
    <col min="11027" max="11027" width="15.875" style="520" customWidth="1"/>
    <col min="11028" max="11028" width="0" style="520" hidden="1" customWidth="1"/>
    <col min="11029" max="11264" width="14.5" style="520"/>
    <col min="11265" max="11265" width="5.5" style="520" customWidth="1"/>
    <col min="11266" max="11266" width="13.625" style="520" customWidth="1"/>
    <col min="11267" max="11267" width="15.125" style="520" customWidth="1"/>
    <col min="11268" max="11268" width="11.125" style="520" customWidth="1"/>
    <col min="11269" max="11269" width="10.875" style="520" customWidth="1"/>
    <col min="11270" max="11270" width="23" style="520" customWidth="1"/>
    <col min="11271" max="11271" width="18.125" style="520" customWidth="1"/>
    <col min="11272" max="11272" width="13" style="520" customWidth="1"/>
    <col min="11273" max="11273" width="11" style="520" customWidth="1"/>
    <col min="11274" max="11274" width="12.125" style="520" customWidth="1"/>
    <col min="11275" max="11275" width="10.375" style="520" customWidth="1"/>
    <col min="11276" max="11276" width="13.875" style="520" customWidth="1"/>
    <col min="11277" max="11277" width="7.5" style="520" customWidth="1"/>
    <col min="11278" max="11278" width="13" style="520" customWidth="1"/>
    <col min="11279" max="11279" width="13.5" style="520" customWidth="1"/>
    <col min="11280" max="11280" width="11" style="520" customWidth="1"/>
    <col min="11281" max="11281" width="10.5" style="520" customWidth="1"/>
    <col min="11282" max="11282" width="15" style="520" customWidth="1"/>
    <col min="11283" max="11283" width="15.875" style="520" customWidth="1"/>
    <col min="11284" max="11284" width="0" style="520" hidden="1" customWidth="1"/>
    <col min="11285" max="11520" width="14.5" style="520"/>
    <col min="11521" max="11521" width="5.5" style="520" customWidth="1"/>
    <col min="11522" max="11522" width="13.625" style="520" customWidth="1"/>
    <col min="11523" max="11523" width="15.125" style="520" customWidth="1"/>
    <col min="11524" max="11524" width="11.125" style="520" customWidth="1"/>
    <col min="11525" max="11525" width="10.875" style="520" customWidth="1"/>
    <col min="11526" max="11526" width="23" style="520" customWidth="1"/>
    <col min="11527" max="11527" width="18.125" style="520" customWidth="1"/>
    <col min="11528" max="11528" width="13" style="520" customWidth="1"/>
    <col min="11529" max="11529" width="11" style="520" customWidth="1"/>
    <col min="11530" max="11530" width="12.125" style="520" customWidth="1"/>
    <col min="11531" max="11531" width="10.375" style="520" customWidth="1"/>
    <col min="11532" max="11532" width="13.875" style="520" customWidth="1"/>
    <col min="11533" max="11533" width="7.5" style="520" customWidth="1"/>
    <col min="11534" max="11534" width="13" style="520" customWidth="1"/>
    <col min="11535" max="11535" width="13.5" style="520" customWidth="1"/>
    <col min="11536" max="11536" width="11" style="520" customWidth="1"/>
    <col min="11537" max="11537" width="10.5" style="520" customWidth="1"/>
    <col min="11538" max="11538" width="15" style="520" customWidth="1"/>
    <col min="11539" max="11539" width="15.875" style="520" customWidth="1"/>
    <col min="11540" max="11540" width="0" style="520" hidden="1" customWidth="1"/>
    <col min="11541" max="11776" width="14.5" style="520"/>
    <col min="11777" max="11777" width="5.5" style="520" customWidth="1"/>
    <col min="11778" max="11778" width="13.625" style="520" customWidth="1"/>
    <col min="11779" max="11779" width="15.125" style="520" customWidth="1"/>
    <col min="11780" max="11780" width="11.125" style="520" customWidth="1"/>
    <col min="11781" max="11781" width="10.875" style="520" customWidth="1"/>
    <col min="11782" max="11782" width="23" style="520" customWidth="1"/>
    <col min="11783" max="11783" width="18.125" style="520" customWidth="1"/>
    <col min="11784" max="11784" width="13" style="520" customWidth="1"/>
    <col min="11785" max="11785" width="11" style="520" customWidth="1"/>
    <col min="11786" max="11786" width="12.125" style="520" customWidth="1"/>
    <col min="11787" max="11787" width="10.375" style="520" customWidth="1"/>
    <col min="11788" max="11788" width="13.875" style="520" customWidth="1"/>
    <col min="11789" max="11789" width="7.5" style="520" customWidth="1"/>
    <col min="11790" max="11790" width="13" style="520" customWidth="1"/>
    <col min="11791" max="11791" width="13.5" style="520" customWidth="1"/>
    <col min="11792" max="11792" width="11" style="520" customWidth="1"/>
    <col min="11793" max="11793" width="10.5" style="520" customWidth="1"/>
    <col min="11794" max="11794" width="15" style="520" customWidth="1"/>
    <col min="11795" max="11795" width="15.875" style="520" customWidth="1"/>
    <col min="11796" max="11796" width="0" style="520" hidden="1" customWidth="1"/>
    <col min="11797" max="12032" width="14.5" style="520"/>
    <col min="12033" max="12033" width="5.5" style="520" customWidth="1"/>
    <col min="12034" max="12034" width="13.625" style="520" customWidth="1"/>
    <col min="12035" max="12035" width="15.125" style="520" customWidth="1"/>
    <col min="12036" max="12036" width="11.125" style="520" customWidth="1"/>
    <col min="12037" max="12037" width="10.875" style="520" customWidth="1"/>
    <col min="12038" max="12038" width="23" style="520" customWidth="1"/>
    <col min="12039" max="12039" width="18.125" style="520" customWidth="1"/>
    <col min="12040" max="12040" width="13" style="520" customWidth="1"/>
    <col min="12041" max="12041" width="11" style="520" customWidth="1"/>
    <col min="12042" max="12042" width="12.125" style="520" customWidth="1"/>
    <col min="12043" max="12043" width="10.375" style="520" customWidth="1"/>
    <col min="12044" max="12044" width="13.875" style="520" customWidth="1"/>
    <col min="12045" max="12045" width="7.5" style="520" customWidth="1"/>
    <col min="12046" max="12046" width="13" style="520" customWidth="1"/>
    <col min="12047" max="12047" width="13.5" style="520" customWidth="1"/>
    <col min="12048" max="12048" width="11" style="520" customWidth="1"/>
    <col min="12049" max="12049" width="10.5" style="520" customWidth="1"/>
    <col min="12050" max="12050" width="15" style="520" customWidth="1"/>
    <col min="12051" max="12051" width="15.875" style="520" customWidth="1"/>
    <col min="12052" max="12052" width="0" style="520" hidden="1" customWidth="1"/>
    <col min="12053" max="12288" width="14.5" style="520"/>
    <col min="12289" max="12289" width="5.5" style="520" customWidth="1"/>
    <col min="12290" max="12290" width="13.625" style="520" customWidth="1"/>
    <col min="12291" max="12291" width="15.125" style="520" customWidth="1"/>
    <col min="12292" max="12292" width="11.125" style="520" customWidth="1"/>
    <col min="12293" max="12293" width="10.875" style="520" customWidth="1"/>
    <col min="12294" max="12294" width="23" style="520" customWidth="1"/>
    <col min="12295" max="12295" width="18.125" style="520" customWidth="1"/>
    <col min="12296" max="12296" width="13" style="520" customWidth="1"/>
    <col min="12297" max="12297" width="11" style="520" customWidth="1"/>
    <col min="12298" max="12298" width="12.125" style="520" customWidth="1"/>
    <col min="12299" max="12299" width="10.375" style="520" customWidth="1"/>
    <col min="12300" max="12300" width="13.875" style="520" customWidth="1"/>
    <col min="12301" max="12301" width="7.5" style="520" customWidth="1"/>
    <col min="12302" max="12302" width="13" style="520" customWidth="1"/>
    <col min="12303" max="12303" width="13.5" style="520" customWidth="1"/>
    <col min="12304" max="12304" width="11" style="520" customWidth="1"/>
    <col min="12305" max="12305" width="10.5" style="520" customWidth="1"/>
    <col min="12306" max="12306" width="15" style="520" customWidth="1"/>
    <col min="12307" max="12307" width="15.875" style="520" customWidth="1"/>
    <col min="12308" max="12308" width="0" style="520" hidden="1" customWidth="1"/>
    <col min="12309" max="12544" width="14.5" style="520"/>
    <col min="12545" max="12545" width="5.5" style="520" customWidth="1"/>
    <col min="12546" max="12546" width="13.625" style="520" customWidth="1"/>
    <col min="12547" max="12547" width="15.125" style="520" customWidth="1"/>
    <col min="12548" max="12548" width="11.125" style="520" customWidth="1"/>
    <col min="12549" max="12549" width="10.875" style="520" customWidth="1"/>
    <col min="12550" max="12550" width="23" style="520" customWidth="1"/>
    <col min="12551" max="12551" width="18.125" style="520" customWidth="1"/>
    <col min="12552" max="12552" width="13" style="520" customWidth="1"/>
    <col min="12553" max="12553" width="11" style="520" customWidth="1"/>
    <col min="12554" max="12554" width="12.125" style="520" customWidth="1"/>
    <col min="12555" max="12555" width="10.375" style="520" customWidth="1"/>
    <col min="12556" max="12556" width="13.875" style="520" customWidth="1"/>
    <col min="12557" max="12557" width="7.5" style="520" customWidth="1"/>
    <col min="12558" max="12558" width="13" style="520" customWidth="1"/>
    <col min="12559" max="12559" width="13.5" style="520" customWidth="1"/>
    <col min="12560" max="12560" width="11" style="520" customWidth="1"/>
    <col min="12561" max="12561" width="10.5" style="520" customWidth="1"/>
    <col min="12562" max="12562" width="15" style="520" customWidth="1"/>
    <col min="12563" max="12563" width="15.875" style="520" customWidth="1"/>
    <col min="12564" max="12564" width="0" style="520" hidden="1" customWidth="1"/>
    <col min="12565" max="12800" width="14.5" style="520"/>
    <col min="12801" max="12801" width="5.5" style="520" customWidth="1"/>
    <col min="12802" max="12802" width="13.625" style="520" customWidth="1"/>
    <col min="12803" max="12803" width="15.125" style="520" customWidth="1"/>
    <col min="12804" max="12804" width="11.125" style="520" customWidth="1"/>
    <col min="12805" max="12805" width="10.875" style="520" customWidth="1"/>
    <col min="12806" max="12806" width="23" style="520" customWidth="1"/>
    <col min="12807" max="12807" width="18.125" style="520" customWidth="1"/>
    <col min="12808" max="12808" width="13" style="520" customWidth="1"/>
    <col min="12809" max="12809" width="11" style="520" customWidth="1"/>
    <col min="12810" max="12810" width="12.125" style="520" customWidth="1"/>
    <col min="12811" max="12811" width="10.375" style="520" customWidth="1"/>
    <col min="12812" max="12812" width="13.875" style="520" customWidth="1"/>
    <col min="12813" max="12813" width="7.5" style="520" customWidth="1"/>
    <col min="12814" max="12814" width="13" style="520" customWidth="1"/>
    <col min="12815" max="12815" width="13.5" style="520" customWidth="1"/>
    <col min="12816" max="12816" width="11" style="520" customWidth="1"/>
    <col min="12817" max="12817" width="10.5" style="520" customWidth="1"/>
    <col min="12818" max="12818" width="15" style="520" customWidth="1"/>
    <col min="12819" max="12819" width="15.875" style="520" customWidth="1"/>
    <col min="12820" max="12820" width="0" style="520" hidden="1" customWidth="1"/>
    <col min="12821" max="13056" width="14.5" style="520"/>
    <col min="13057" max="13057" width="5.5" style="520" customWidth="1"/>
    <col min="13058" max="13058" width="13.625" style="520" customWidth="1"/>
    <col min="13059" max="13059" width="15.125" style="520" customWidth="1"/>
    <col min="13060" max="13060" width="11.125" style="520" customWidth="1"/>
    <col min="13061" max="13061" width="10.875" style="520" customWidth="1"/>
    <col min="13062" max="13062" width="23" style="520" customWidth="1"/>
    <col min="13063" max="13063" width="18.125" style="520" customWidth="1"/>
    <col min="13064" max="13064" width="13" style="520" customWidth="1"/>
    <col min="13065" max="13065" width="11" style="520" customWidth="1"/>
    <col min="13066" max="13066" width="12.125" style="520" customWidth="1"/>
    <col min="13067" max="13067" width="10.375" style="520" customWidth="1"/>
    <col min="13068" max="13068" width="13.875" style="520" customWidth="1"/>
    <col min="13069" max="13069" width="7.5" style="520" customWidth="1"/>
    <col min="13070" max="13070" width="13" style="520" customWidth="1"/>
    <col min="13071" max="13071" width="13.5" style="520" customWidth="1"/>
    <col min="13072" max="13072" width="11" style="520" customWidth="1"/>
    <col min="13073" max="13073" width="10.5" style="520" customWidth="1"/>
    <col min="13074" max="13074" width="15" style="520" customWidth="1"/>
    <col min="13075" max="13075" width="15.875" style="520" customWidth="1"/>
    <col min="13076" max="13076" width="0" style="520" hidden="1" customWidth="1"/>
    <col min="13077" max="13312" width="14.5" style="520"/>
    <col min="13313" max="13313" width="5.5" style="520" customWidth="1"/>
    <col min="13314" max="13314" width="13.625" style="520" customWidth="1"/>
    <col min="13315" max="13315" width="15.125" style="520" customWidth="1"/>
    <col min="13316" max="13316" width="11.125" style="520" customWidth="1"/>
    <col min="13317" max="13317" width="10.875" style="520" customWidth="1"/>
    <col min="13318" max="13318" width="23" style="520" customWidth="1"/>
    <col min="13319" max="13319" width="18.125" style="520" customWidth="1"/>
    <col min="13320" max="13320" width="13" style="520" customWidth="1"/>
    <col min="13321" max="13321" width="11" style="520" customWidth="1"/>
    <col min="13322" max="13322" width="12.125" style="520" customWidth="1"/>
    <col min="13323" max="13323" width="10.375" style="520" customWidth="1"/>
    <col min="13324" max="13324" width="13.875" style="520" customWidth="1"/>
    <col min="13325" max="13325" width="7.5" style="520" customWidth="1"/>
    <col min="13326" max="13326" width="13" style="520" customWidth="1"/>
    <col min="13327" max="13327" width="13.5" style="520" customWidth="1"/>
    <col min="13328" max="13328" width="11" style="520" customWidth="1"/>
    <col min="13329" max="13329" width="10.5" style="520" customWidth="1"/>
    <col min="13330" max="13330" width="15" style="520" customWidth="1"/>
    <col min="13331" max="13331" width="15.875" style="520" customWidth="1"/>
    <col min="13332" max="13332" width="0" style="520" hidden="1" customWidth="1"/>
    <col min="13333" max="13568" width="14.5" style="520"/>
    <col min="13569" max="13569" width="5.5" style="520" customWidth="1"/>
    <col min="13570" max="13570" width="13.625" style="520" customWidth="1"/>
    <col min="13571" max="13571" width="15.125" style="520" customWidth="1"/>
    <col min="13572" max="13572" width="11.125" style="520" customWidth="1"/>
    <col min="13573" max="13573" width="10.875" style="520" customWidth="1"/>
    <col min="13574" max="13574" width="23" style="520" customWidth="1"/>
    <col min="13575" max="13575" width="18.125" style="520" customWidth="1"/>
    <col min="13576" max="13576" width="13" style="520" customWidth="1"/>
    <col min="13577" max="13577" width="11" style="520" customWidth="1"/>
    <col min="13578" max="13578" width="12.125" style="520" customWidth="1"/>
    <col min="13579" max="13579" width="10.375" style="520" customWidth="1"/>
    <col min="13580" max="13580" width="13.875" style="520" customWidth="1"/>
    <col min="13581" max="13581" width="7.5" style="520" customWidth="1"/>
    <col min="13582" max="13582" width="13" style="520" customWidth="1"/>
    <col min="13583" max="13583" width="13.5" style="520" customWidth="1"/>
    <col min="13584" max="13584" width="11" style="520" customWidth="1"/>
    <col min="13585" max="13585" width="10.5" style="520" customWidth="1"/>
    <col min="13586" max="13586" width="15" style="520" customWidth="1"/>
    <col min="13587" max="13587" width="15.875" style="520" customWidth="1"/>
    <col min="13588" max="13588" width="0" style="520" hidden="1" customWidth="1"/>
    <col min="13589" max="13824" width="14.5" style="520"/>
    <col min="13825" max="13825" width="5.5" style="520" customWidth="1"/>
    <col min="13826" max="13826" width="13.625" style="520" customWidth="1"/>
    <col min="13827" max="13827" width="15.125" style="520" customWidth="1"/>
    <col min="13828" max="13828" width="11.125" style="520" customWidth="1"/>
    <col min="13829" max="13829" width="10.875" style="520" customWidth="1"/>
    <col min="13830" max="13830" width="23" style="520" customWidth="1"/>
    <col min="13831" max="13831" width="18.125" style="520" customWidth="1"/>
    <col min="13832" max="13832" width="13" style="520" customWidth="1"/>
    <col min="13833" max="13833" width="11" style="520" customWidth="1"/>
    <col min="13834" max="13834" width="12.125" style="520" customWidth="1"/>
    <col min="13835" max="13835" width="10.375" style="520" customWidth="1"/>
    <col min="13836" max="13836" width="13.875" style="520" customWidth="1"/>
    <col min="13837" max="13837" width="7.5" style="520" customWidth="1"/>
    <col min="13838" max="13838" width="13" style="520" customWidth="1"/>
    <col min="13839" max="13839" width="13.5" style="520" customWidth="1"/>
    <col min="13840" max="13840" width="11" style="520" customWidth="1"/>
    <col min="13841" max="13841" width="10.5" style="520" customWidth="1"/>
    <col min="13842" max="13842" width="15" style="520" customWidth="1"/>
    <col min="13843" max="13843" width="15.875" style="520" customWidth="1"/>
    <col min="13844" max="13844" width="0" style="520" hidden="1" customWidth="1"/>
    <col min="13845" max="14080" width="14.5" style="520"/>
    <col min="14081" max="14081" width="5.5" style="520" customWidth="1"/>
    <col min="14082" max="14082" width="13.625" style="520" customWidth="1"/>
    <col min="14083" max="14083" width="15.125" style="520" customWidth="1"/>
    <col min="14084" max="14084" width="11.125" style="520" customWidth="1"/>
    <col min="14085" max="14085" width="10.875" style="520" customWidth="1"/>
    <col min="14086" max="14086" width="23" style="520" customWidth="1"/>
    <col min="14087" max="14087" width="18.125" style="520" customWidth="1"/>
    <col min="14088" max="14088" width="13" style="520" customWidth="1"/>
    <col min="14089" max="14089" width="11" style="520" customWidth="1"/>
    <col min="14090" max="14090" width="12.125" style="520" customWidth="1"/>
    <col min="14091" max="14091" width="10.375" style="520" customWidth="1"/>
    <col min="14092" max="14092" width="13.875" style="520" customWidth="1"/>
    <col min="14093" max="14093" width="7.5" style="520" customWidth="1"/>
    <col min="14094" max="14094" width="13" style="520" customWidth="1"/>
    <col min="14095" max="14095" width="13.5" style="520" customWidth="1"/>
    <col min="14096" max="14096" width="11" style="520" customWidth="1"/>
    <col min="14097" max="14097" width="10.5" style="520" customWidth="1"/>
    <col min="14098" max="14098" width="15" style="520" customWidth="1"/>
    <col min="14099" max="14099" width="15.875" style="520" customWidth="1"/>
    <col min="14100" max="14100" width="0" style="520" hidden="1" customWidth="1"/>
    <col min="14101" max="14336" width="14.5" style="520"/>
    <col min="14337" max="14337" width="5.5" style="520" customWidth="1"/>
    <col min="14338" max="14338" width="13.625" style="520" customWidth="1"/>
    <col min="14339" max="14339" width="15.125" style="520" customWidth="1"/>
    <col min="14340" max="14340" width="11.125" style="520" customWidth="1"/>
    <col min="14341" max="14341" width="10.875" style="520" customWidth="1"/>
    <col min="14342" max="14342" width="23" style="520" customWidth="1"/>
    <col min="14343" max="14343" width="18.125" style="520" customWidth="1"/>
    <col min="14344" max="14344" width="13" style="520" customWidth="1"/>
    <col min="14345" max="14345" width="11" style="520" customWidth="1"/>
    <col min="14346" max="14346" width="12.125" style="520" customWidth="1"/>
    <col min="14347" max="14347" width="10.375" style="520" customWidth="1"/>
    <col min="14348" max="14348" width="13.875" style="520" customWidth="1"/>
    <col min="14349" max="14349" width="7.5" style="520" customWidth="1"/>
    <col min="14350" max="14350" width="13" style="520" customWidth="1"/>
    <col min="14351" max="14351" width="13.5" style="520" customWidth="1"/>
    <col min="14352" max="14352" width="11" style="520" customWidth="1"/>
    <col min="14353" max="14353" width="10.5" style="520" customWidth="1"/>
    <col min="14354" max="14354" width="15" style="520" customWidth="1"/>
    <col min="14355" max="14355" width="15.875" style="520" customWidth="1"/>
    <col min="14356" max="14356" width="0" style="520" hidden="1" customWidth="1"/>
    <col min="14357" max="14592" width="14.5" style="520"/>
    <col min="14593" max="14593" width="5.5" style="520" customWidth="1"/>
    <col min="14594" max="14594" width="13.625" style="520" customWidth="1"/>
    <col min="14595" max="14595" width="15.125" style="520" customWidth="1"/>
    <col min="14596" max="14596" width="11.125" style="520" customWidth="1"/>
    <col min="14597" max="14597" width="10.875" style="520" customWidth="1"/>
    <col min="14598" max="14598" width="23" style="520" customWidth="1"/>
    <col min="14599" max="14599" width="18.125" style="520" customWidth="1"/>
    <col min="14600" max="14600" width="13" style="520" customWidth="1"/>
    <col min="14601" max="14601" width="11" style="520" customWidth="1"/>
    <col min="14602" max="14602" width="12.125" style="520" customWidth="1"/>
    <col min="14603" max="14603" width="10.375" style="520" customWidth="1"/>
    <col min="14604" max="14604" width="13.875" style="520" customWidth="1"/>
    <col min="14605" max="14605" width="7.5" style="520" customWidth="1"/>
    <col min="14606" max="14606" width="13" style="520" customWidth="1"/>
    <col min="14607" max="14607" width="13.5" style="520" customWidth="1"/>
    <col min="14608" max="14608" width="11" style="520" customWidth="1"/>
    <col min="14609" max="14609" width="10.5" style="520" customWidth="1"/>
    <col min="14610" max="14610" width="15" style="520" customWidth="1"/>
    <col min="14611" max="14611" width="15.875" style="520" customWidth="1"/>
    <col min="14612" max="14612" width="0" style="520" hidden="1" customWidth="1"/>
    <col min="14613" max="14848" width="14.5" style="520"/>
    <col min="14849" max="14849" width="5.5" style="520" customWidth="1"/>
    <col min="14850" max="14850" width="13.625" style="520" customWidth="1"/>
    <col min="14851" max="14851" width="15.125" style="520" customWidth="1"/>
    <col min="14852" max="14852" width="11.125" style="520" customWidth="1"/>
    <col min="14853" max="14853" width="10.875" style="520" customWidth="1"/>
    <col min="14854" max="14854" width="23" style="520" customWidth="1"/>
    <col min="14855" max="14855" width="18.125" style="520" customWidth="1"/>
    <col min="14856" max="14856" width="13" style="520" customWidth="1"/>
    <col min="14857" max="14857" width="11" style="520" customWidth="1"/>
    <col min="14858" max="14858" width="12.125" style="520" customWidth="1"/>
    <col min="14859" max="14859" width="10.375" style="520" customWidth="1"/>
    <col min="14860" max="14860" width="13.875" style="520" customWidth="1"/>
    <col min="14861" max="14861" width="7.5" style="520" customWidth="1"/>
    <col min="14862" max="14862" width="13" style="520" customWidth="1"/>
    <col min="14863" max="14863" width="13.5" style="520" customWidth="1"/>
    <col min="14864" max="14864" width="11" style="520" customWidth="1"/>
    <col min="14865" max="14865" width="10.5" style="520" customWidth="1"/>
    <col min="14866" max="14866" width="15" style="520" customWidth="1"/>
    <col min="14867" max="14867" width="15.875" style="520" customWidth="1"/>
    <col min="14868" max="14868" width="0" style="520" hidden="1" customWidth="1"/>
    <col min="14869" max="15104" width="14.5" style="520"/>
    <col min="15105" max="15105" width="5.5" style="520" customWidth="1"/>
    <col min="15106" max="15106" width="13.625" style="520" customWidth="1"/>
    <col min="15107" max="15107" width="15.125" style="520" customWidth="1"/>
    <col min="15108" max="15108" width="11.125" style="520" customWidth="1"/>
    <col min="15109" max="15109" width="10.875" style="520" customWidth="1"/>
    <col min="15110" max="15110" width="23" style="520" customWidth="1"/>
    <col min="15111" max="15111" width="18.125" style="520" customWidth="1"/>
    <col min="15112" max="15112" width="13" style="520" customWidth="1"/>
    <col min="15113" max="15113" width="11" style="520" customWidth="1"/>
    <col min="15114" max="15114" width="12.125" style="520" customWidth="1"/>
    <col min="15115" max="15115" width="10.375" style="520" customWidth="1"/>
    <col min="15116" max="15116" width="13.875" style="520" customWidth="1"/>
    <col min="15117" max="15117" width="7.5" style="520" customWidth="1"/>
    <col min="15118" max="15118" width="13" style="520" customWidth="1"/>
    <col min="15119" max="15119" width="13.5" style="520" customWidth="1"/>
    <col min="15120" max="15120" width="11" style="520" customWidth="1"/>
    <col min="15121" max="15121" width="10.5" style="520" customWidth="1"/>
    <col min="15122" max="15122" width="15" style="520" customWidth="1"/>
    <col min="15123" max="15123" width="15.875" style="520" customWidth="1"/>
    <col min="15124" max="15124" width="0" style="520" hidden="1" customWidth="1"/>
    <col min="15125" max="15360" width="14.5" style="520"/>
    <col min="15361" max="15361" width="5.5" style="520" customWidth="1"/>
    <col min="15362" max="15362" width="13.625" style="520" customWidth="1"/>
    <col min="15363" max="15363" width="15.125" style="520" customWidth="1"/>
    <col min="15364" max="15364" width="11.125" style="520" customWidth="1"/>
    <col min="15365" max="15365" width="10.875" style="520" customWidth="1"/>
    <col min="15366" max="15366" width="23" style="520" customWidth="1"/>
    <col min="15367" max="15367" width="18.125" style="520" customWidth="1"/>
    <col min="15368" max="15368" width="13" style="520" customWidth="1"/>
    <col min="15369" max="15369" width="11" style="520" customWidth="1"/>
    <col min="15370" max="15370" width="12.125" style="520" customWidth="1"/>
    <col min="15371" max="15371" width="10.375" style="520" customWidth="1"/>
    <col min="15372" max="15372" width="13.875" style="520" customWidth="1"/>
    <col min="15373" max="15373" width="7.5" style="520" customWidth="1"/>
    <col min="15374" max="15374" width="13" style="520" customWidth="1"/>
    <col min="15375" max="15375" width="13.5" style="520" customWidth="1"/>
    <col min="15376" max="15376" width="11" style="520" customWidth="1"/>
    <col min="15377" max="15377" width="10.5" style="520" customWidth="1"/>
    <col min="15378" max="15378" width="15" style="520" customWidth="1"/>
    <col min="15379" max="15379" width="15.875" style="520" customWidth="1"/>
    <col min="15380" max="15380" width="0" style="520" hidden="1" customWidth="1"/>
    <col min="15381" max="15616" width="14.5" style="520"/>
    <col min="15617" max="15617" width="5.5" style="520" customWidth="1"/>
    <col min="15618" max="15618" width="13.625" style="520" customWidth="1"/>
    <col min="15619" max="15619" width="15.125" style="520" customWidth="1"/>
    <col min="15620" max="15620" width="11.125" style="520" customWidth="1"/>
    <col min="15621" max="15621" width="10.875" style="520" customWidth="1"/>
    <col min="15622" max="15622" width="23" style="520" customWidth="1"/>
    <col min="15623" max="15623" width="18.125" style="520" customWidth="1"/>
    <col min="15624" max="15624" width="13" style="520" customWidth="1"/>
    <col min="15625" max="15625" width="11" style="520" customWidth="1"/>
    <col min="15626" max="15626" width="12.125" style="520" customWidth="1"/>
    <col min="15627" max="15627" width="10.375" style="520" customWidth="1"/>
    <col min="15628" max="15628" width="13.875" style="520" customWidth="1"/>
    <col min="15629" max="15629" width="7.5" style="520" customWidth="1"/>
    <col min="15630" max="15630" width="13" style="520" customWidth="1"/>
    <col min="15631" max="15631" width="13.5" style="520" customWidth="1"/>
    <col min="15632" max="15632" width="11" style="520" customWidth="1"/>
    <col min="15633" max="15633" width="10.5" style="520" customWidth="1"/>
    <col min="15634" max="15634" width="15" style="520" customWidth="1"/>
    <col min="15635" max="15635" width="15.875" style="520" customWidth="1"/>
    <col min="15636" max="15636" width="0" style="520" hidden="1" customWidth="1"/>
    <col min="15637" max="15872" width="14.5" style="520"/>
    <col min="15873" max="15873" width="5.5" style="520" customWidth="1"/>
    <col min="15874" max="15874" width="13.625" style="520" customWidth="1"/>
    <col min="15875" max="15875" width="15.125" style="520" customWidth="1"/>
    <col min="15876" max="15876" width="11.125" style="520" customWidth="1"/>
    <col min="15877" max="15877" width="10.875" style="520" customWidth="1"/>
    <col min="15878" max="15878" width="23" style="520" customWidth="1"/>
    <col min="15879" max="15879" width="18.125" style="520" customWidth="1"/>
    <col min="15880" max="15880" width="13" style="520" customWidth="1"/>
    <col min="15881" max="15881" width="11" style="520" customWidth="1"/>
    <col min="15882" max="15882" width="12.125" style="520" customWidth="1"/>
    <col min="15883" max="15883" width="10.375" style="520" customWidth="1"/>
    <col min="15884" max="15884" width="13.875" style="520" customWidth="1"/>
    <col min="15885" max="15885" width="7.5" style="520" customWidth="1"/>
    <col min="15886" max="15886" width="13" style="520" customWidth="1"/>
    <col min="15887" max="15887" width="13.5" style="520" customWidth="1"/>
    <col min="15888" max="15888" width="11" style="520" customWidth="1"/>
    <col min="15889" max="15889" width="10.5" style="520" customWidth="1"/>
    <col min="15890" max="15890" width="15" style="520" customWidth="1"/>
    <col min="15891" max="15891" width="15.875" style="520" customWidth="1"/>
    <col min="15892" max="15892" width="0" style="520" hidden="1" customWidth="1"/>
    <col min="15893" max="16128" width="14.5" style="520"/>
    <col min="16129" max="16129" width="5.5" style="520" customWidth="1"/>
    <col min="16130" max="16130" width="13.625" style="520" customWidth="1"/>
    <col min="16131" max="16131" width="15.125" style="520" customWidth="1"/>
    <col min="16132" max="16132" width="11.125" style="520" customWidth="1"/>
    <col min="16133" max="16133" width="10.875" style="520" customWidth="1"/>
    <col min="16134" max="16134" width="23" style="520" customWidth="1"/>
    <col min="16135" max="16135" width="18.125" style="520" customWidth="1"/>
    <col min="16136" max="16136" width="13" style="520" customWidth="1"/>
    <col min="16137" max="16137" width="11" style="520" customWidth="1"/>
    <col min="16138" max="16138" width="12.125" style="520" customWidth="1"/>
    <col min="16139" max="16139" width="10.375" style="520" customWidth="1"/>
    <col min="16140" max="16140" width="13.875" style="520" customWidth="1"/>
    <col min="16141" max="16141" width="7.5" style="520" customWidth="1"/>
    <col min="16142" max="16142" width="13" style="520" customWidth="1"/>
    <col min="16143" max="16143" width="13.5" style="520" customWidth="1"/>
    <col min="16144" max="16144" width="11" style="520" customWidth="1"/>
    <col min="16145" max="16145" width="10.5" style="520" customWidth="1"/>
    <col min="16146" max="16146" width="15" style="520" customWidth="1"/>
    <col min="16147" max="16147" width="15.875" style="520" customWidth="1"/>
    <col min="16148" max="16148" width="0" style="520" hidden="1" customWidth="1"/>
    <col min="16149" max="16384" width="14.5" style="520"/>
  </cols>
  <sheetData>
    <row r="1" spans="1:20" hidden="1" x14ac:dyDescent="0.25">
      <c r="A1" s="1624" t="s">
        <v>411</v>
      </c>
      <c r="B1" s="1624"/>
      <c r="C1" s="1624"/>
      <c r="D1" s="1624"/>
      <c r="E1" s="1624"/>
      <c r="F1" s="1624"/>
      <c r="G1" s="1624"/>
      <c r="H1" s="1624"/>
      <c r="I1" s="1624"/>
      <c r="J1" s="1624"/>
      <c r="K1" s="1624"/>
      <c r="L1" s="1624"/>
      <c r="M1" s="1624"/>
      <c r="N1" s="1624"/>
      <c r="O1" s="1624"/>
      <c r="P1" s="1624"/>
      <c r="Q1" s="1624"/>
      <c r="R1" s="1624"/>
      <c r="S1" s="1624"/>
    </row>
    <row r="2" spans="1:20" hidden="1" x14ac:dyDescent="0.25">
      <c r="A2" s="1624" t="s">
        <v>412</v>
      </c>
      <c r="B2" s="1624"/>
      <c r="C2" s="1624"/>
      <c r="D2" s="1624"/>
      <c r="E2" s="1624"/>
      <c r="F2" s="1624"/>
      <c r="G2" s="1624"/>
      <c r="H2" s="1624"/>
      <c r="I2" s="1624"/>
      <c r="J2" s="1624"/>
      <c r="K2" s="1624"/>
      <c r="L2" s="1624"/>
      <c r="M2" s="1624"/>
      <c r="N2" s="1624"/>
      <c r="O2" s="1624"/>
      <c r="P2" s="1624"/>
      <c r="Q2" s="1624"/>
      <c r="R2" s="1624"/>
      <c r="S2" s="1624"/>
    </row>
    <row r="3" spans="1:20" hidden="1" x14ac:dyDescent="0.25">
      <c r="A3" s="1629" t="s">
        <v>413</v>
      </c>
      <c r="B3" s="1629"/>
      <c r="C3" s="1629"/>
      <c r="D3" s="1629"/>
      <c r="E3" s="1629"/>
      <c r="F3" s="1629"/>
      <c r="G3" s="1629"/>
      <c r="H3" s="1629"/>
      <c r="I3" s="1629"/>
      <c r="J3" s="1629"/>
      <c r="K3" s="1629"/>
      <c r="L3" s="1629"/>
      <c r="M3" s="1629"/>
      <c r="N3" s="1629"/>
      <c r="O3" s="1629"/>
      <c r="P3" s="1629"/>
      <c r="Q3" s="1629"/>
      <c r="R3" s="1629"/>
      <c r="S3" s="1629"/>
    </row>
    <row r="4" spans="1:20" hidden="1" x14ac:dyDescent="0.25">
      <c r="A4" s="1624" t="s">
        <v>531</v>
      </c>
      <c r="B4" s="1624"/>
      <c r="C4" s="1624"/>
      <c r="D4" s="1624"/>
      <c r="E4" s="1624"/>
      <c r="F4" s="1624"/>
      <c r="G4" s="1624"/>
      <c r="H4" s="1624"/>
      <c r="I4" s="1624"/>
      <c r="J4" s="1624"/>
      <c r="K4" s="1624"/>
      <c r="L4" s="1624"/>
      <c r="M4" s="1624"/>
      <c r="N4" s="1624"/>
      <c r="O4" s="1624"/>
      <c r="P4" s="1624"/>
      <c r="Q4" s="1624"/>
      <c r="R4" s="1624"/>
      <c r="S4" s="1624"/>
    </row>
    <row r="5" spans="1:20" hidden="1" x14ac:dyDescent="0.25">
      <c r="A5" s="1624" t="s">
        <v>532</v>
      </c>
      <c r="B5" s="1624"/>
      <c r="C5" s="1624"/>
      <c r="D5" s="1624"/>
      <c r="E5" s="1624"/>
      <c r="F5" s="1624"/>
      <c r="G5" s="1624"/>
      <c r="H5" s="1624"/>
      <c r="I5" s="1624"/>
      <c r="J5" s="1624"/>
      <c r="K5" s="1624"/>
      <c r="L5" s="1624"/>
      <c r="M5" s="1624"/>
      <c r="N5" s="1624"/>
      <c r="O5" s="1624"/>
      <c r="P5" s="1624"/>
      <c r="Q5" s="1624"/>
      <c r="R5" s="1624"/>
      <c r="S5" s="1624"/>
    </row>
    <row r="6" spans="1:20" hidden="1" x14ac:dyDescent="0.25">
      <c r="A6" s="1624" t="s">
        <v>533</v>
      </c>
      <c r="B6" s="1624"/>
      <c r="C6" s="1624"/>
      <c r="D6" s="1624"/>
      <c r="E6" s="1624"/>
      <c r="F6" s="1624"/>
      <c r="G6" s="1624"/>
      <c r="H6" s="1624"/>
      <c r="I6" s="1624"/>
      <c r="J6" s="1624"/>
      <c r="K6" s="1624"/>
      <c r="L6" s="1624"/>
      <c r="M6" s="1624"/>
      <c r="N6" s="1624"/>
      <c r="O6" s="1624"/>
      <c r="P6" s="1624"/>
      <c r="Q6" s="1624"/>
      <c r="R6" s="1624"/>
      <c r="S6" s="1624"/>
    </row>
    <row r="7" spans="1:20" hidden="1" x14ac:dyDescent="0.25">
      <c r="A7" s="1624"/>
      <c r="B7" s="1624"/>
      <c r="C7" s="1624"/>
      <c r="D7" s="1624"/>
      <c r="E7" s="1624"/>
      <c r="F7" s="1624"/>
      <c r="G7" s="1624"/>
      <c r="H7" s="1624"/>
      <c r="I7" s="1624"/>
      <c r="J7" s="1624"/>
      <c r="K7" s="1624"/>
      <c r="L7" s="1624"/>
      <c r="M7" s="1624"/>
      <c r="N7" s="1624"/>
      <c r="O7" s="1624"/>
      <c r="P7" s="1624"/>
      <c r="Q7" s="1624"/>
      <c r="R7" s="1624"/>
      <c r="S7" s="521"/>
    </row>
    <row r="8" spans="1:20" hidden="1" x14ac:dyDescent="0.25">
      <c r="A8" s="1624"/>
      <c r="B8" s="1624"/>
      <c r="C8" s="1624"/>
      <c r="D8" s="1624"/>
      <c r="E8" s="1624"/>
      <c r="F8" s="1624"/>
      <c r="G8" s="1624"/>
      <c r="H8" s="1624"/>
      <c r="I8" s="1624"/>
      <c r="J8" s="1624"/>
      <c r="K8" s="1624"/>
      <c r="L8" s="1624"/>
      <c r="M8" s="1624"/>
      <c r="N8" s="1624"/>
      <c r="O8" s="1624"/>
      <c r="P8" s="1624"/>
      <c r="Q8" s="1624"/>
      <c r="R8" s="1624"/>
      <c r="S8" s="522"/>
    </row>
    <row r="9" spans="1:20" hidden="1" x14ac:dyDescent="0.25">
      <c r="A9" s="523" t="s">
        <v>417</v>
      </c>
      <c r="B9" s="524"/>
      <c r="C9" s="524"/>
      <c r="D9" s="524"/>
      <c r="E9" s="524"/>
      <c r="F9" s="524"/>
      <c r="G9" s="524"/>
      <c r="H9" s="524"/>
      <c r="I9" s="524"/>
      <c r="J9" s="525"/>
      <c r="K9" s="526"/>
      <c r="L9" s="527" t="s">
        <v>418</v>
      </c>
      <c r="M9" s="528"/>
      <c r="N9" s="528"/>
      <c r="O9" s="528"/>
      <c r="P9" s="528"/>
      <c r="Q9" s="528"/>
      <c r="R9" s="528"/>
      <c r="S9" s="529"/>
      <c r="T9" s="530" t="s">
        <v>419</v>
      </c>
    </row>
    <row r="10" spans="1:20" hidden="1" x14ac:dyDescent="0.25">
      <c r="A10" s="531" t="s">
        <v>534</v>
      </c>
      <c r="B10" s="522"/>
      <c r="C10" s="522"/>
      <c r="D10" s="522"/>
      <c r="E10" s="522"/>
      <c r="F10" s="522"/>
      <c r="G10" s="522"/>
      <c r="H10" s="522"/>
      <c r="I10" s="522"/>
      <c r="J10" s="1523"/>
      <c r="K10" s="522"/>
      <c r="L10" s="532" t="s">
        <v>421</v>
      </c>
      <c r="M10" s="524"/>
      <c r="N10" s="524" t="s">
        <v>422</v>
      </c>
      <c r="O10" s="524"/>
      <c r="P10" s="524"/>
      <c r="Q10" s="524"/>
      <c r="R10" s="526"/>
      <c r="S10" s="526"/>
      <c r="T10" s="533"/>
    </row>
    <row r="11" spans="1:20" hidden="1" x14ac:dyDescent="0.25">
      <c r="A11" s="531"/>
      <c r="B11" s="522"/>
      <c r="C11" s="522"/>
      <c r="D11" s="522"/>
      <c r="E11" s="522"/>
      <c r="F11" s="522"/>
      <c r="G11" s="522"/>
      <c r="H11" s="522"/>
      <c r="I11" s="522"/>
      <c r="J11" s="1523"/>
      <c r="K11" s="522"/>
      <c r="L11" s="534"/>
      <c r="M11" s="535" t="s">
        <v>423</v>
      </c>
      <c r="N11" s="522" t="s">
        <v>535</v>
      </c>
      <c r="O11" s="535" t="s">
        <v>424</v>
      </c>
      <c r="P11" s="522"/>
      <c r="Q11" s="522"/>
      <c r="R11" s="536"/>
      <c r="S11" s="536"/>
      <c r="T11" s="537"/>
    </row>
    <row r="12" spans="1:20" hidden="1" x14ac:dyDescent="0.25">
      <c r="A12" s="531"/>
      <c r="B12" s="522"/>
      <c r="C12" s="522"/>
      <c r="D12" s="522"/>
      <c r="E12" s="522"/>
      <c r="F12" s="522"/>
      <c r="G12" s="522"/>
      <c r="H12" s="522"/>
      <c r="I12" s="522"/>
      <c r="J12" s="1523"/>
      <c r="K12" s="522"/>
      <c r="L12" s="534"/>
      <c r="M12" s="535" t="s">
        <v>426</v>
      </c>
      <c r="N12" s="535"/>
      <c r="O12" s="535" t="s">
        <v>427</v>
      </c>
      <c r="P12" s="522"/>
      <c r="Q12" s="522"/>
      <c r="R12" s="536"/>
      <c r="S12" s="536"/>
      <c r="T12" s="537"/>
    </row>
    <row r="13" spans="1:20" hidden="1" x14ac:dyDescent="0.25">
      <c r="A13" s="538"/>
      <c r="B13" s="539"/>
      <c r="C13" s="539"/>
      <c r="D13" s="539"/>
      <c r="E13" s="539"/>
      <c r="F13" s="539"/>
      <c r="G13" s="539"/>
      <c r="H13" s="539"/>
      <c r="I13" s="539"/>
      <c r="J13" s="540"/>
      <c r="K13" s="539"/>
      <c r="L13" s="541" t="s">
        <v>425</v>
      </c>
      <c r="M13" s="542" t="s">
        <v>428</v>
      </c>
      <c r="N13" s="543" t="s">
        <v>425</v>
      </c>
      <c r="O13" s="542" t="s">
        <v>429</v>
      </c>
      <c r="P13" s="539"/>
      <c r="Q13" s="539"/>
      <c r="R13" s="544"/>
      <c r="S13" s="544"/>
      <c r="T13" s="545"/>
    </row>
    <row r="14" spans="1:20" x14ac:dyDescent="0.25">
      <c r="A14" s="546" t="s">
        <v>430</v>
      </c>
      <c r="B14" s="529"/>
      <c r="C14" s="529"/>
      <c r="D14" s="529"/>
      <c r="E14" s="529"/>
      <c r="F14" s="529"/>
      <c r="G14" s="529"/>
      <c r="H14" s="529"/>
      <c r="I14" s="529"/>
      <c r="J14" s="547"/>
      <c r="K14" s="529"/>
      <c r="L14" s="548"/>
      <c r="M14" s="548"/>
      <c r="N14" s="548"/>
      <c r="O14" s="548"/>
      <c r="P14" s="548"/>
      <c r="Q14" s="548"/>
      <c r="R14" s="548"/>
      <c r="S14" s="529"/>
      <c r="T14" s="530"/>
    </row>
    <row r="15" spans="1:20" ht="15.75" customHeight="1" x14ac:dyDescent="0.25">
      <c r="A15" s="1617" t="s">
        <v>431</v>
      </c>
      <c r="B15" s="1623" t="s">
        <v>432</v>
      </c>
      <c r="C15" s="1617" t="s">
        <v>433</v>
      </c>
      <c r="D15" s="1617" t="s">
        <v>434</v>
      </c>
      <c r="E15" s="1617" t="s">
        <v>435</v>
      </c>
      <c r="F15" s="1617" t="s">
        <v>436</v>
      </c>
      <c r="G15" s="1611" t="s">
        <v>536</v>
      </c>
      <c r="H15" s="1625"/>
      <c r="I15" s="1626"/>
      <c r="J15" s="1614" t="s">
        <v>438</v>
      </c>
      <c r="K15" s="1616"/>
      <c r="L15" s="1611" t="s">
        <v>439</v>
      </c>
      <c r="M15" s="1614" t="s">
        <v>440</v>
      </c>
      <c r="N15" s="1615"/>
      <c r="O15" s="1615"/>
      <c r="P15" s="1615"/>
      <c r="Q15" s="1615"/>
      <c r="R15" s="1615"/>
      <c r="S15" s="1616"/>
      <c r="T15" s="537"/>
    </row>
    <row r="16" spans="1:20" ht="16.5" customHeight="1" x14ac:dyDescent="0.25">
      <c r="A16" s="1617"/>
      <c r="B16" s="1623"/>
      <c r="C16" s="1617"/>
      <c r="D16" s="1617"/>
      <c r="E16" s="1617"/>
      <c r="F16" s="1617"/>
      <c r="G16" s="1613"/>
      <c r="H16" s="1627"/>
      <c r="I16" s="1628"/>
      <c r="J16" s="1617" t="s">
        <v>441</v>
      </c>
      <c r="K16" s="1617" t="s">
        <v>442</v>
      </c>
      <c r="L16" s="1612"/>
      <c r="M16" s="1618" t="s">
        <v>443</v>
      </c>
      <c r="N16" s="1619"/>
      <c r="O16" s="1620"/>
      <c r="P16" s="1618" t="s">
        <v>444</v>
      </c>
      <c r="Q16" s="1621"/>
      <c r="R16" s="1622"/>
      <c r="S16" s="1623" t="s">
        <v>445</v>
      </c>
      <c r="T16" s="1606" t="s">
        <v>446</v>
      </c>
    </row>
    <row r="17" spans="1:20" ht="51" customHeight="1" x14ac:dyDescent="0.25">
      <c r="A17" s="1617"/>
      <c r="B17" s="1623"/>
      <c r="C17" s="1617"/>
      <c r="D17" s="1617"/>
      <c r="E17" s="1617"/>
      <c r="F17" s="1617"/>
      <c r="G17" s="549" t="s">
        <v>447</v>
      </c>
      <c r="H17" s="550" t="s">
        <v>448</v>
      </c>
      <c r="I17" s="550" t="s">
        <v>449</v>
      </c>
      <c r="J17" s="1617"/>
      <c r="K17" s="1617"/>
      <c r="L17" s="1613"/>
      <c r="M17" s="1522" t="s">
        <v>450</v>
      </c>
      <c r="N17" s="1522" t="s">
        <v>451</v>
      </c>
      <c r="O17" s="1522" t="s">
        <v>452</v>
      </c>
      <c r="P17" s="1522" t="s">
        <v>450</v>
      </c>
      <c r="Q17" s="1522" t="s">
        <v>453</v>
      </c>
      <c r="R17" s="1522" t="s">
        <v>452</v>
      </c>
      <c r="S17" s="1623"/>
      <c r="T17" s="1607"/>
    </row>
    <row r="18" spans="1:20" x14ac:dyDescent="0.25">
      <c r="A18" s="551" t="s">
        <v>454</v>
      </c>
      <c r="B18" s="551" t="s">
        <v>455</v>
      </c>
      <c r="C18" s="551" t="s">
        <v>456</v>
      </c>
      <c r="D18" s="551" t="s">
        <v>457</v>
      </c>
      <c r="E18" s="551" t="s">
        <v>458</v>
      </c>
      <c r="F18" s="551" t="s">
        <v>459</v>
      </c>
      <c r="G18" s="551" t="s">
        <v>460</v>
      </c>
      <c r="H18" s="551" t="s">
        <v>461</v>
      </c>
      <c r="I18" s="551" t="s">
        <v>462</v>
      </c>
      <c r="J18" s="551" t="s">
        <v>463</v>
      </c>
      <c r="K18" s="551" t="s">
        <v>464</v>
      </c>
      <c r="L18" s="551" t="s">
        <v>465</v>
      </c>
      <c r="M18" s="551" t="s">
        <v>466</v>
      </c>
      <c r="N18" s="551" t="s">
        <v>467</v>
      </c>
      <c r="O18" s="551"/>
      <c r="P18" s="551"/>
      <c r="Q18" s="551" t="s">
        <v>468</v>
      </c>
      <c r="R18" s="551" t="s">
        <v>469</v>
      </c>
      <c r="S18" s="529"/>
      <c r="T18" s="530"/>
    </row>
    <row r="19" spans="1:20" x14ac:dyDescent="0.25">
      <c r="A19" s="552"/>
      <c r="B19" s="553" t="s">
        <v>470</v>
      </c>
      <c r="C19" s="552"/>
      <c r="D19" s="554"/>
      <c r="E19" s="554"/>
      <c r="F19" s="552"/>
      <c r="G19" s="554">
        <f>SUM(G20+G26+G128+G189)</f>
        <v>235524.255</v>
      </c>
      <c r="H19" s="555">
        <f>SUM(H20+H26+H128+H189)</f>
        <v>30016.02</v>
      </c>
      <c r="I19" s="554">
        <f>SUM(I20+I26+I128+I189)</f>
        <v>205508.23499999999</v>
      </c>
      <c r="J19" s="554"/>
      <c r="K19" s="554"/>
      <c r="L19" s="554"/>
      <c r="M19" s="554">
        <f>SUM(M20+M26+M128+M189)</f>
        <v>13118.529375000002</v>
      </c>
      <c r="N19" s="554"/>
      <c r="O19" s="554">
        <f>SUM(O20+O26+O128+O189)</f>
        <v>164553215.51750001</v>
      </c>
      <c r="P19" s="554">
        <f>SUM(P20+P26+P128+P189)</f>
        <v>412197.87005500001</v>
      </c>
      <c r="Q19" s="554">
        <f>SUM(Q20)</f>
        <v>0</v>
      </c>
      <c r="R19" s="554">
        <f>SUM(R20+R26+R128+R189)</f>
        <v>8243957401.1000004</v>
      </c>
      <c r="S19" s="554">
        <f>SUM(S20+S26+S128+S189)</f>
        <v>8611801828.6175003</v>
      </c>
      <c r="T19" s="530"/>
    </row>
    <row r="20" spans="1:20" x14ac:dyDescent="0.25">
      <c r="A20" s="556"/>
      <c r="B20" s="557" t="s">
        <v>537</v>
      </c>
      <c r="C20" s="557"/>
      <c r="D20" s="558"/>
      <c r="E20" s="558"/>
      <c r="F20" s="559"/>
      <c r="G20" s="558">
        <f>SUM(G22:G25)</f>
        <v>48236.700000000004</v>
      </c>
      <c r="H20" s="560">
        <f>SUM(H22:H25)</f>
        <v>9000</v>
      </c>
      <c r="I20" s="558">
        <f>SUM(I22:I25)</f>
        <v>39236.700000000004</v>
      </c>
      <c r="J20" s="561"/>
      <c r="K20" s="561"/>
      <c r="L20" s="561"/>
      <c r="M20" s="558">
        <f>SUM(M22:M25)</f>
        <v>8655.4668750000001</v>
      </c>
      <c r="N20" s="558"/>
      <c r="O20" s="558">
        <f>SUM(O22:O25)</f>
        <v>77312221.9375</v>
      </c>
      <c r="P20" s="558">
        <f>SUM(P22:P25)</f>
        <v>88721.346174999999</v>
      </c>
      <c r="Q20" s="558"/>
      <c r="R20" s="558">
        <f>SUM(R22:R25)</f>
        <v>1774426923.5</v>
      </c>
      <c r="S20" s="558">
        <f>SUM(S22:S25)</f>
        <v>1851739145.4375</v>
      </c>
      <c r="T20" s="562"/>
    </row>
    <row r="21" spans="1:20" x14ac:dyDescent="0.25">
      <c r="A21" s="563"/>
      <c r="B21" s="564" t="s">
        <v>538</v>
      </c>
      <c r="C21" s="564"/>
      <c r="D21" s="565"/>
      <c r="E21" s="565"/>
      <c r="F21" s="566"/>
      <c r="G21" s="565"/>
      <c r="H21" s="567"/>
      <c r="I21" s="565"/>
      <c r="J21" s="568"/>
      <c r="K21" s="568"/>
      <c r="L21" s="568"/>
      <c r="M21" s="565"/>
      <c r="N21" s="565"/>
      <c r="O21" s="565"/>
      <c r="P21" s="565"/>
      <c r="Q21" s="569"/>
      <c r="R21" s="569"/>
      <c r="S21" s="565"/>
      <c r="T21" s="562"/>
    </row>
    <row r="22" spans="1:20" x14ac:dyDescent="0.25">
      <c r="A22" s="551"/>
      <c r="B22" s="570"/>
      <c r="C22" s="571"/>
      <c r="D22" s="546"/>
      <c r="E22" s="546"/>
      <c r="F22" s="572" t="s">
        <v>481</v>
      </c>
      <c r="G22" s="529">
        <f t="shared" ref="G22:G25" si="0">SUM(H22:I22)</f>
        <v>20639.3</v>
      </c>
      <c r="H22" s="573"/>
      <c r="I22" s="529">
        <v>20639.3</v>
      </c>
      <c r="J22" s="574">
        <v>4.97</v>
      </c>
      <c r="K22" s="574">
        <f t="shared" ref="K22:K25" si="1">J22-(J22*L22)</f>
        <v>3.4790000000000001</v>
      </c>
      <c r="L22" s="575">
        <v>0.3</v>
      </c>
      <c r="M22" s="529"/>
      <c r="N22" s="529"/>
      <c r="O22" s="576"/>
      <c r="P22" s="529">
        <f>L22*J22*I22</f>
        <v>30773.196299999996</v>
      </c>
      <c r="Q22" s="577">
        <v>20</v>
      </c>
      <c r="R22" s="578">
        <f>Q22*P22*1000</f>
        <v>615463926</v>
      </c>
      <c r="S22" s="529">
        <f t="shared" ref="S22:S25" si="2">R22+O22</f>
        <v>615463926</v>
      </c>
    </row>
    <row r="23" spans="1:20" x14ac:dyDescent="0.25">
      <c r="A23" s="551"/>
      <c r="B23" s="579"/>
      <c r="C23" s="571"/>
      <c r="D23" s="546"/>
      <c r="E23" s="546"/>
      <c r="F23" s="572" t="s">
        <v>504</v>
      </c>
      <c r="G23" s="529">
        <f t="shared" si="0"/>
        <v>9000</v>
      </c>
      <c r="H23" s="529">
        <v>9000</v>
      </c>
      <c r="I23" s="529"/>
      <c r="J23" s="574">
        <v>4.97</v>
      </c>
      <c r="K23" s="574">
        <f t="shared" si="1"/>
        <v>0</v>
      </c>
      <c r="L23" s="575">
        <v>1</v>
      </c>
      <c r="M23" s="529"/>
      <c r="N23" s="529"/>
      <c r="O23" s="576"/>
      <c r="P23" s="529">
        <f>J23*H23</f>
        <v>44730</v>
      </c>
      <c r="Q23" s="577">
        <v>20</v>
      </c>
      <c r="R23" s="578">
        <f>Q23*P23*1000</f>
        <v>894600000</v>
      </c>
      <c r="S23" s="529">
        <f t="shared" si="2"/>
        <v>894600000</v>
      </c>
    </row>
    <row r="24" spans="1:20" x14ac:dyDescent="0.25">
      <c r="A24" s="551"/>
      <c r="B24" s="579"/>
      <c r="C24" s="571"/>
      <c r="D24" s="546"/>
      <c r="E24" s="546"/>
      <c r="F24" s="572" t="s">
        <v>487</v>
      </c>
      <c r="G24" s="529">
        <f t="shared" si="0"/>
        <v>10638.35</v>
      </c>
      <c r="H24" s="573"/>
      <c r="I24" s="529">
        <v>10638.35</v>
      </c>
      <c r="J24" s="574">
        <v>4.97</v>
      </c>
      <c r="K24" s="574">
        <f t="shared" si="1"/>
        <v>3.7275</v>
      </c>
      <c r="L24" s="575">
        <v>0.25</v>
      </c>
      <c r="M24" s="529"/>
      <c r="N24" s="529"/>
      <c r="O24" s="576"/>
      <c r="P24" s="529">
        <f>L24*J24*I24</f>
        <v>13218.149874999999</v>
      </c>
      <c r="Q24" s="577">
        <v>20</v>
      </c>
      <c r="R24" s="578">
        <f>Q24*P24*1000</f>
        <v>264362997.5</v>
      </c>
      <c r="S24" s="529">
        <f t="shared" si="2"/>
        <v>264362997.5</v>
      </c>
    </row>
    <row r="25" spans="1:20" x14ac:dyDescent="0.25">
      <c r="A25" s="551"/>
      <c r="B25" s="579"/>
      <c r="C25" s="571"/>
      <c r="D25" s="546"/>
      <c r="E25" s="546"/>
      <c r="F25" s="580" t="s">
        <v>539</v>
      </c>
      <c r="G25" s="529">
        <f t="shared" si="0"/>
        <v>7959.05</v>
      </c>
      <c r="H25" s="581"/>
      <c r="I25" s="582">
        <v>7959.05</v>
      </c>
      <c r="J25" s="574">
        <v>4.3499999999999996</v>
      </c>
      <c r="K25" s="574">
        <f t="shared" si="1"/>
        <v>3.2624999999999997</v>
      </c>
      <c r="L25" s="575">
        <v>0.25</v>
      </c>
      <c r="M25" s="529">
        <f>L25*I25*J25</f>
        <v>8655.4668750000001</v>
      </c>
      <c r="N25" s="529">
        <f>[1]Sheet1!$H$8</f>
        <v>38855</v>
      </c>
      <c r="O25" s="576">
        <f>N25*L25*I25</f>
        <v>77312221.9375</v>
      </c>
      <c r="P25" s="529"/>
      <c r="Q25" s="577"/>
      <c r="R25" s="583"/>
      <c r="S25" s="529">
        <f t="shared" si="2"/>
        <v>77312221.9375</v>
      </c>
    </row>
    <row r="26" spans="1:20" x14ac:dyDescent="0.25">
      <c r="A26" s="556"/>
      <c r="B26" s="557" t="s">
        <v>540</v>
      </c>
      <c r="C26" s="557"/>
      <c r="D26" s="558"/>
      <c r="E26" s="558"/>
      <c r="F26" s="559"/>
      <c r="G26" s="558">
        <f>SUM(G27:G126)</f>
        <v>39882.974999999999</v>
      </c>
      <c r="H26" s="560">
        <f>SUM(H27:H126)</f>
        <v>10148.700000000001</v>
      </c>
      <c r="I26" s="558">
        <f>SUM(I27:I126)</f>
        <v>29734.275000000001</v>
      </c>
      <c r="J26" s="561"/>
      <c r="K26" s="561"/>
      <c r="L26" s="561"/>
      <c r="M26" s="558">
        <f>SUM(M27:M126)</f>
        <v>689.00250000000005</v>
      </c>
      <c r="N26" s="558"/>
      <c r="O26" s="558">
        <f>SUM(O27:O126)</f>
        <v>5652848.25</v>
      </c>
      <c r="P26" s="558">
        <f>SUM(P27:P126)</f>
        <v>125271.44518000002</v>
      </c>
      <c r="Q26" s="558"/>
      <c r="R26" s="558">
        <f>SUM(R27:R126)</f>
        <v>2505428903.5999999</v>
      </c>
      <c r="S26" s="558">
        <f>SUM(S27:S126)</f>
        <v>2511081751.8499999</v>
      </c>
    </row>
    <row r="27" spans="1:20" x14ac:dyDescent="0.25">
      <c r="A27" s="584"/>
      <c r="B27" s="585" t="s">
        <v>471</v>
      </c>
      <c r="C27" s="585"/>
      <c r="D27" s="586"/>
      <c r="E27" s="586"/>
      <c r="F27" s="587"/>
      <c r="G27" s="586"/>
      <c r="H27" s="546"/>
      <c r="I27" s="586"/>
      <c r="J27" s="588"/>
      <c r="K27" s="588"/>
      <c r="L27" s="588"/>
      <c r="M27" s="586"/>
      <c r="N27" s="586"/>
      <c r="O27" s="586"/>
      <c r="P27" s="586"/>
      <c r="Q27" s="586"/>
      <c r="R27" s="586"/>
      <c r="S27" s="586"/>
    </row>
    <row r="28" spans="1:20" x14ac:dyDescent="0.25">
      <c r="A28" s="584"/>
      <c r="B28" s="587" t="s">
        <v>541</v>
      </c>
      <c r="C28" s="585"/>
      <c r="D28" s="586"/>
      <c r="E28" s="586"/>
      <c r="F28" s="587" t="s">
        <v>542</v>
      </c>
      <c r="G28" s="589">
        <f t="shared" ref="G28:G65" si="3">SUM(H28:I28)</f>
        <v>1908.5</v>
      </c>
      <c r="H28" s="529"/>
      <c r="I28" s="589">
        <f>1364+474.5+70</f>
        <v>1908.5</v>
      </c>
      <c r="J28" s="584">
        <v>4.76</v>
      </c>
      <c r="K28" s="589">
        <f>J28-(J28*L28)</f>
        <v>2.38</v>
      </c>
      <c r="L28" s="584">
        <v>0.5</v>
      </c>
      <c r="M28" s="589"/>
      <c r="N28" s="589"/>
      <c r="O28" s="589"/>
      <c r="P28" s="589">
        <f>L28*J28*I28</f>
        <v>4542.2299999999996</v>
      </c>
      <c r="Q28" s="589">
        <v>20</v>
      </c>
      <c r="R28" s="589">
        <f>P28*Q28*1000</f>
        <v>90844599.999999985</v>
      </c>
      <c r="S28" s="589">
        <f>R28</f>
        <v>90844599.999999985</v>
      </c>
    </row>
    <row r="29" spans="1:20" s="595" customFormat="1" x14ac:dyDescent="0.25">
      <c r="A29" s="590"/>
      <c r="B29" s="587" t="s">
        <v>543</v>
      </c>
      <c r="C29" s="592"/>
      <c r="D29" s="593"/>
      <c r="E29" s="593">
        <f>SUM(E30:E33)</f>
        <v>0</v>
      </c>
      <c r="F29" s="593">
        <f t="shared" ref="F29:S29" si="4">SUM(F30:F33)</f>
        <v>0</v>
      </c>
      <c r="G29" s="593">
        <f t="shared" si="4"/>
        <v>249.75</v>
      </c>
      <c r="H29" s="593">
        <f t="shared" si="4"/>
        <v>0</v>
      </c>
      <c r="I29" s="593">
        <f t="shared" si="4"/>
        <v>249.75</v>
      </c>
      <c r="J29" s="593">
        <f t="shared" si="4"/>
        <v>19.04</v>
      </c>
      <c r="K29" s="593">
        <f t="shared" si="4"/>
        <v>4.76</v>
      </c>
      <c r="L29" s="593">
        <f t="shared" si="4"/>
        <v>2</v>
      </c>
      <c r="M29" s="593">
        <f t="shared" si="4"/>
        <v>0</v>
      </c>
      <c r="N29" s="593">
        <f t="shared" si="4"/>
        <v>0</v>
      </c>
      <c r="O29" s="593">
        <f t="shared" si="4"/>
        <v>0</v>
      </c>
      <c r="P29" s="593">
        <f t="shared" si="4"/>
        <v>594.40499999999997</v>
      </c>
      <c r="Q29" s="593">
        <f t="shared" si="4"/>
        <v>80</v>
      </c>
      <c r="R29" s="593">
        <f t="shared" si="4"/>
        <v>11888100</v>
      </c>
      <c r="S29" s="593">
        <f t="shared" si="4"/>
        <v>11888100</v>
      </c>
    </row>
    <row r="30" spans="1:20" x14ac:dyDescent="0.25">
      <c r="A30" s="584"/>
      <c r="C30" s="587" t="s">
        <v>544</v>
      </c>
      <c r="D30" s="586"/>
      <c r="E30" s="586"/>
      <c r="F30" s="587" t="s">
        <v>487</v>
      </c>
      <c r="G30" s="589">
        <f t="shared" si="3"/>
        <v>63.5</v>
      </c>
      <c r="H30" s="529"/>
      <c r="I30" s="589">
        <v>63.5</v>
      </c>
      <c r="J30" s="584">
        <v>4.76</v>
      </c>
      <c r="K30" s="589">
        <f t="shared" ref="K30:K40" si="5">J30-(J30*L30)</f>
        <v>2.38</v>
      </c>
      <c r="L30" s="584">
        <v>0.5</v>
      </c>
      <c r="M30" s="589"/>
      <c r="N30" s="589"/>
      <c r="O30" s="589"/>
      <c r="P30" s="589">
        <f t="shared" ref="P30:P36" si="6">L30*J30*I30</f>
        <v>151.13</v>
      </c>
      <c r="Q30" s="589">
        <v>20</v>
      </c>
      <c r="R30" s="589">
        <f t="shared" ref="R30:R65" si="7">P30*Q30*1000</f>
        <v>3022600</v>
      </c>
      <c r="S30" s="589">
        <f t="shared" ref="S30:S54" si="8">R30</f>
        <v>3022600</v>
      </c>
    </row>
    <row r="31" spans="1:20" ht="15.75" customHeight="1" x14ac:dyDescent="0.25">
      <c r="A31" s="584"/>
      <c r="B31" s="587"/>
      <c r="C31" s="587" t="s">
        <v>545</v>
      </c>
      <c r="D31" s="586"/>
      <c r="E31" s="586"/>
      <c r="F31" s="587" t="s">
        <v>487</v>
      </c>
      <c r="G31" s="589">
        <f t="shared" si="3"/>
        <v>78.25</v>
      </c>
      <c r="H31" s="529"/>
      <c r="I31" s="589">
        <v>78.25</v>
      </c>
      <c r="J31" s="584">
        <v>4.76</v>
      </c>
      <c r="K31" s="589"/>
      <c r="L31" s="584">
        <v>0.5</v>
      </c>
      <c r="M31" s="589"/>
      <c r="N31" s="589"/>
      <c r="O31" s="589"/>
      <c r="P31" s="589">
        <f t="shared" si="6"/>
        <v>186.23499999999999</v>
      </c>
      <c r="Q31" s="589">
        <v>20</v>
      </c>
      <c r="R31" s="589">
        <f t="shared" si="7"/>
        <v>3724700</v>
      </c>
      <c r="S31" s="589">
        <f t="shared" si="8"/>
        <v>3724700</v>
      </c>
    </row>
    <row r="32" spans="1:20" ht="15.75" customHeight="1" x14ac:dyDescent="0.25">
      <c r="A32" s="584"/>
      <c r="B32" s="587"/>
      <c r="C32" s="587" t="s">
        <v>546</v>
      </c>
      <c r="D32" s="586"/>
      <c r="E32" s="586"/>
      <c r="F32" s="587" t="s">
        <v>487</v>
      </c>
      <c r="G32" s="589">
        <f t="shared" si="3"/>
        <v>15</v>
      </c>
      <c r="H32" s="529"/>
      <c r="I32" s="589">
        <v>15</v>
      </c>
      <c r="J32" s="584">
        <v>4.76</v>
      </c>
      <c r="K32" s="589"/>
      <c r="L32" s="584">
        <v>0.5</v>
      </c>
      <c r="M32" s="589"/>
      <c r="N32" s="589"/>
      <c r="O32" s="589"/>
      <c r="P32" s="589">
        <f t="shared" si="6"/>
        <v>35.699999999999996</v>
      </c>
      <c r="Q32" s="589">
        <v>20</v>
      </c>
      <c r="R32" s="589">
        <f t="shared" si="7"/>
        <v>713999.99999999988</v>
      </c>
      <c r="S32" s="589">
        <f t="shared" si="8"/>
        <v>713999.99999999988</v>
      </c>
    </row>
    <row r="33" spans="1:19" x14ac:dyDescent="0.25">
      <c r="A33" s="584"/>
      <c r="B33" s="587"/>
      <c r="C33" s="587" t="s">
        <v>547</v>
      </c>
      <c r="D33" s="586"/>
      <c r="E33" s="586"/>
      <c r="F33" s="587" t="s">
        <v>487</v>
      </c>
      <c r="G33" s="589">
        <f t="shared" si="3"/>
        <v>93</v>
      </c>
      <c r="H33" s="529"/>
      <c r="I33" s="589">
        <v>93</v>
      </c>
      <c r="J33" s="584">
        <v>4.76</v>
      </c>
      <c r="K33" s="589">
        <f t="shared" si="5"/>
        <v>2.38</v>
      </c>
      <c r="L33" s="584">
        <v>0.5</v>
      </c>
      <c r="M33" s="589"/>
      <c r="N33" s="589"/>
      <c r="O33" s="589"/>
      <c r="P33" s="589">
        <f t="shared" si="6"/>
        <v>221.34</v>
      </c>
      <c r="Q33" s="589">
        <v>20</v>
      </c>
      <c r="R33" s="589">
        <f t="shared" si="7"/>
        <v>4426800</v>
      </c>
      <c r="S33" s="589">
        <f t="shared" si="8"/>
        <v>4426800</v>
      </c>
    </row>
    <row r="34" spans="1:19" s="595" customFormat="1" x14ac:dyDescent="0.25">
      <c r="A34" s="590"/>
      <c r="B34" s="587" t="s">
        <v>548</v>
      </c>
      <c r="C34" s="591"/>
      <c r="D34" s="593"/>
      <c r="E34" s="593">
        <f>SUM(E35:E39)</f>
        <v>0</v>
      </c>
      <c r="F34" s="593">
        <f t="shared" ref="F34:S34" si="9">SUM(F35:F39)</f>
        <v>0</v>
      </c>
      <c r="G34" s="593">
        <f t="shared" si="9"/>
        <v>2118</v>
      </c>
      <c r="H34" s="593">
        <f t="shared" si="9"/>
        <v>212</v>
      </c>
      <c r="I34" s="593">
        <f t="shared" si="9"/>
        <v>1906</v>
      </c>
      <c r="J34" s="593">
        <f t="shared" si="9"/>
        <v>23.799999999999997</v>
      </c>
      <c r="K34" s="593">
        <f t="shared" si="9"/>
        <v>6.1879999999999997</v>
      </c>
      <c r="L34" s="593">
        <f t="shared" si="9"/>
        <v>3.7</v>
      </c>
      <c r="M34" s="593">
        <f t="shared" si="9"/>
        <v>0</v>
      </c>
      <c r="N34" s="593">
        <f t="shared" si="9"/>
        <v>0</v>
      </c>
      <c r="O34" s="593">
        <f t="shared" si="9"/>
        <v>0</v>
      </c>
      <c r="P34" s="593">
        <f t="shared" si="9"/>
        <v>6242.2640000000001</v>
      </c>
      <c r="Q34" s="593">
        <f t="shared" si="9"/>
        <v>100</v>
      </c>
      <c r="R34" s="593">
        <f t="shared" si="9"/>
        <v>124845280</v>
      </c>
      <c r="S34" s="593">
        <f t="shared" si="9"/>
        <v>124845280</v>
      </c>
    </row>
    <row r="35" spans="1:19" x14ac:dyDescent="0.25">
      <c r="A35" s="584"/>
      <c r="C35" s="585"/>
      <c r="D35" s="586"/>
      <c r="E35" s="586"/>
      <c r="F35" s="587" t="s">
        <v>504</v>
      </c>
      <c r="G35" s="589">
        <f t="shared" si="3"/>
        <v>732</v>
      </c>
      <c r="H35" s="529"/>
      <c r="I35" s="589">
        <v>732</v>
      </c>
      <c r="J35" s="584">
        <v>4.76</v>
      </c>
      <c r="K35" s="589">
        <f t="shared" si="5"/>
        <v>1.4279999999999999</v>
      </c>
      <c r="L35" s="584">
        <v>0.7</v>
      </c>
      <c r="M35" s="589"/>
      <c r="N35" s="589"/>
      <c r="O35" s="589"/>
      <c r="P35" s="589">
        <f t="shared" si="6"/>
        <v>2439.0239999999999</v>
      </c>
      <c r="Q35" s="589">
        <v>20</v>
      </c>
      <c r="R35" s="589">
        <f t="shared" si="7"/>
        <v>48780479.999999993</v>
      </c>
      <c r="S35" s="589">
        <f t="shared" si="8"/>
        <v>48780479.999999993</v>
      </c>
    </row>
    <row r="36" spans="1:19" x14ac:dyDescent="0.25">
      <c r="A36" s="584"/>
      <c r="B36" s="587"/>
      <c r="C36" s="585"/>
      <c r="D36" s="586"/>
      <c r="E36" s="586"/>
      <c r="F36" s="587" t="s">
        <v>487</v>
      </c>
      <c r="G36" s="589">
        <f t="shared" si="3"/>
        <v>46</v>
      </c>
      <c r="H36" s="529"/>
      <c r="I36" s="589">
        <v>46</v>
      </c>
      <c r="J36" s="584">
        <v>4.76</v>
      </c>
      <c r="K36" s="589">
        <f t="shared" si="5"/>
        <v>2.38</v>
      </c>
      <c r="L36" s="584">
        <v>0.5</v>
      </c>
      <c r="M36" s="589"/>
      <c r="N36" s="589"/>
      <c r="O36" s="589"/>
      <c r="P36" s="589">
        <f t="shared" si="6"/>
        <v>109.47999999999999</v>
      </c>
      <c r="Q36" s="589">
        <v>20</v>
      </c>
      <c r="R36" s="589">
        <f t="shared" si="7"/>
        <v>2189600</v>
      </c>
      <c r="S36" s="589">
        <f t="shared" si="8"/>
        <v>2189600</v>
      </c>
    </row>
    <row r="37" spans="1:19" s="596" customFormat="1" x14ac:dyDescent="0.25">
      <c r="A37" s="584"/>
      <c r="B37" s="587"/>
      <c r="C37" s="585"/>
      <c r="D37" s="586"/>
      <c r="E37" s="586"/>
      <c r="F37" s="587" t="s">
        <v>504</v>
      </c>
      <c r="G37" s="589">
        <f t="shared" si="3"/>
        <v>202</v>
      </c>
      <c r="H37" s="529">
        <v>202</v>
      </c>
      <c r="I37" s="589"/>
      <c r="J37" s="584">
        <v>4.76</v>
      </c>
      <c r="K37" s="589">
        <f t="shared" si="5"/>
        <v>0</v>
      </c>
      <c r="L37" s="584">
        <v>1</v>
      </c>
      <c r="M37" s="589"/>
      <c r="N37" s="589"/>
      <c r="O37" s="589"/>
      <c r="P37" s="589">
        <f>L37*J37*H37</f>
        <v>961.52</v>
      </c>
      <c r="Q37" s="589">
        <v>20</v>
      </c>
      <c r="R37" s="589">
        <f t="shared" si="7"/>
        <v>19230400</v>
      </c>
      <c r="S37" s="589">
        <f t="shared" si="8"/>
        <v>19230400</v>
      </c>
    </row>
    <row r="38" spans="1:19" s="596" customFormat="1" x14ac:dyDescent="0.25">
      <c r="A38" s="584"/>
      <c r="B38" s="587"/>
      <c r="C38" s="585"/>
      <c r="D38" s="586"/>
      <c r="E38" s="586"/>
      <c r="F38" s="587" t="s">
        <v>549</v>
      </c>
      <c r="G38" s="589">
        <f t="shared" si="3"/>
        <v>1128</v>
      </c>
      <c r="H38" s="529"/>
      <c r="I38" s="589">
        <v>1128</v>
      </c>
      <c r="J38" s="584">
        <v>4.76</v>
      </c>
      <c r="K38" s="589">
        <f t="shared" si="5"/>
        <v>2.38</v>
      </c>
      <c r="L38" s="584">
        <v>0.5</v>
      </c>
      <c r="M38" s="589"/>
      <c r="N38" s="589"/>
      <c r="O38" s="589"/>
      <c r="P38" s="589">
        <f>L38*J38*I38</f>
        <v>2684.64</v>
      </c>
      <c r="Q38" s="589">
        <v>20</v>
      </c>
      <c r="R38" s="589">
        <f t="shared" si="7"/>
        <v>53692799.999999993</v>
      </c>
      <c r="S38" s="589">
        <f t="shared" si="8"/>
        <v>53692799.999999993</v>
      </c>
    </row>
    <row r="39" spans="1:19" s="596" customFormat="1" x14ac:dyDescent="0.25">
      <c r="A39" s="584"/>
      <c r="B39" s="587"/>
      <c r="C39" s="585"/>
      <c r="D39" s="586"/>
      <c r="E39" s="586"/>
      <c r="F39" s="587" t="s">
        <v>481</v>
      </c>
      <c r="G39" s="589">
        <f t="shared" si="3"/>
        <v>10</v>
      </c>
      <c r="H39" s="529">
        <v>10</v>
      </c>
      <c r="I39" s="589"/>
      <c r="J39" s="584">
        <v>4.76</v>
      </c>
      <c r="K39" s="589">
        <f t="shared" si="5"/>
        <v>0</v>
      </c>
      <c r="L39" s="584">
        <v>1</v>
      </c>
      <c r="M39" s="589"/>
      <c r="N39" s="589"/>
      <c r="O39" s="589"/>
      <c r="P39" s="589">
        <f>L39*J39*H39</f>
        <v>47.599999999999994</v>
      </c>
      <c r="Q39" s="589">
        <v>20</v>
      </c>
      <c r="R39" s="589">
        <f t="shared" si="7"/>
        <v>951999.99999999988</v>
      </c>
      <c r="S39" s="589">
        <f t="shared" si="8"/>
        <v>951999.99999999988</v>
      </c>
    </row>
    <row r="40" spans="1:19" s="596" customFormat="1" x14ac:dyDescent="0.25">
      <c r="A40" s="584"/>
      <c r="B40" s="587" t="s">
        <v>472</v>
      </c>
      <c r="C40" s="585"/>
      <c r="D40" s="586"/>
      <c r="E40" s="586"/>
      <c r="F40" s="587" t="s">
        <v>542</v>
      </c>
      <c r="G40" s="589">
        <f t="shared" si="3"/>
        <v>200</v>
      </c>
      <c r="H40" s="529">
        <v>200</v>
      </c>
      <c r="I40" s="589"/>
      <c r="J40" s="584">
        <v>4.76</v>
      </c>
      <c r="K40" s="589">
        <f t="shared" si="5"/>
        <v>0</v>
      </c>
      <c r="L40" s="584">
        <v>1</v>
      </c>
      <c r="M40" s="589"/>
      <c r="N40" s="589"/>
      <c r="O40" s="589"/>
      <c r="P40" s="589">
        <f>L40*J40*H40</f>
        <v>952</v>
      </c>
      <c r="Q40" s="589">
        <v>20</v>
      </c>
      <c r="R40" s="589">
        <f t="shared" si="7"/>
        <v>19040000</v>
      </c>
      <c r="S40" s="589">
        <f t="shared" si="8"/>
        <v>19040000</v>
      </c>
    </row>
    <row r="41" spans="1:19" s="595" customFormat="1" x14ac:dyDescent="0.25">
      <c r="A41" s="590"/>
      <c r="B41" s="587" t="s">
        <v>550</v>
      </c>
      <c r="C41" s="592"/>
      <c r="D41" s="519">
        <f>SUM(D42:D44)</f>
        <v>0</v>
      </c>
      <c r="E41" s="519">
        <f>SUM(E42:E44)</f>
        <v>0</v>
      </c>
      <c r="F41" s="519">
        <f t="shared" ref="F41" si="10">SUM(F42:F44)</f>
        <v>0</v>
      </c>
      <c r="G41" s="519">
        <f t="shared" ref="G41" si="11">SUM(G42:G44)</f>
        <v>652.29999999999995</v>
      </c>
      <c r="H41" s="519">
        <f t="shared" ref="H41" si="12">SUM(H42:H44)</f>
        <v>0</v>
      </c>
      <c r="I41" s="519">
        <f t="shared" ref="I41" si="13">SUM(I42:I44)</f>
        <v>652.29999999999995</v>
      </c>
      <c r="J41" s="519">
        <f t="shared" ref="J41" si="14">SUM(J42:J44)</f>
        <v>14.28</v>
      </c>
      <c r="K41" s="519">
        <f t="shared" ref="K41" si="15">SUM(K42:K44)</f>
        <v>7.8540000000000001</v>
      </c>
      <c r="L41" s="519">
        <f t="shared" ref="L41" si="16">SUM(L42:L44)</f>
        <v>1.35</v>
      </c>
      <c r="M41" s="519">
        <f t="shared" ref="M41" si="17">SUM(M42:M44)</f>
        <v>0</v>
      </c>
      <c r="N41" s="519">
        <f t="shared" ref="N41" si="18">SUM(N42:N44)</f>
        <v>0</v>
      </c>
      <c r="O41" s="519">
        <f t="shared" ref="O41" si="19">SUM(O42:O44)</f>
        <v>0</v>
      </c>
      <c r="P41" s="519">
        <f t="shared" ref="P41" si="20">SUM(P42:P44)</f>
        <v>1587.6504</v>
      </c>
      <c r="Q41" s="519">
        <f t="shared" ref="Q41" si="21">SUM(Q42:Q44)</f>
        <v>60</v>
      </c>
      <c r="R41" s="519">
        <f t="shared" ref="R41" si="22">SUM(R42:R44)</f>
        <v>31753007.999999996</v>
      </c>
      <c r="S41" s="519">
        <f t="shared" ref="S41" si="23">SUM(S42:S44)</f>
        <v>31753007.999999996</v>
      </c>
    </row>
    <row r="42" spans="1:19" s="596" customFormat="1" x14ac:dyDescent="0.25">
      <c r="A42" s="584"/>
      <c r="C42" s="585"/>
      <c r="D42" s="586"/>
      <c r="E42" s="586"/>
      <c r="F42" s="587" t="s">
        <v>551</v>
      </c>
      <c r="G42" s="589">
        <f t="shared" si="3"/>
        <v>56</v>
      </c>
      <c r="H42" s="529"/>
      <c r="I42" s="589">
        <v>56</v>
      </c>
      <c r="J42" s="584">
        <v>4.76</v>
      </c>
      <c r="K42" s="597">
        <f>J42-(J42*L42)</f>
        <v>3.57</v>
      </c>
      <c r="L42" s="584">
        <v>0.25</v>
      </c>
      <c r="M42" s="589"/>
      <c r="N42" s="589"/>
      <c r="O42" s="589"/>
      <c r="P42" s="589">
        <f>L42*J42*I42</f>
        <v>66.64</v>
      </c>
      <c r="Q42" s="589">
        <v>20</v>
      </c>
      <c r="R42" s="589">
        <f t="shared" si="7"/>
        <v>1332800</v>
      </c>
      <c r="S42" s="589">
        <f t="shared" si="8"/>
        <v>1332800</v>
      </c>
    </row>
    <row r="43" spans="1:19" s="596" customFormat="1" x14ac:dyDescent="0.25">
      <c r="A43" s="584"/>
      <c r="B43" s="587"/>
      <c r="C43" s="585"/>
      <c r="D43" s="586"/>
      <c r="E43" s="586"/>
      <c r="F43" s="587" t="s">
        <v>504</v>
      </c>
      <c r="G43" s="589">
        <f t="shared" si="3"/>
        <v>281.3</v>
      </c>
      <c r="H43" s="529"/>
      <c r="I43" s="589">
        <v>281.3</v>
      </c>
      <c r="J43" s="584">
        <v>4.76</v>
      </c>
      <c r="K43" s="597">
        <f t="shared" ref="K43:K65" si="24">J43-(J43*L43)</f>
        <v>0.95199999999999996</v>
      </c>
      <c r="L43" s="584">
        <v>0.8</v>
      </c>
      <c r="M43" s="589"/>
      <c r="N43" s="589"/>
      <c r="O43" s="589"/>
      <c r="P43" s="589">
        <f t="shared" ref="P43:P62" si="25">L43*J43*I43</f>
        <v>1071.1904</v>
      </c>
      <c r="Q43" s="589">
        <v>20</v>
      </c>
      <c r="R43" s="589">
        <f t="shared" si="7"/>
        <v>21423807.999999996</v>
      </c>
      <c r="S43" s="589">
        <f t="shared" si="8"/>
        <v>21423807.999999996</v>
      </c>
    </row>
    <row r="44" spans="1:19" s="596" customFormat="1" x14ac:dyDescent="0.25">
      <c r="A44" s="584"/>
      <c r="B44" s="587"/>
      <c r="C44" s="585"/>
      <c r="D44" s="586"/>
      <c r="E44" s="586"/>
      <c r="F44" s="587" t="s">
        <v>474</v>
      </c>
      <c r="G44" s="589">
        <f t="shared" si="3"/>
        <v>315</v>
      </c>
      <c r="H44" s="529"/>
      <c r="I44" s="589">
        <v>315</v>
      </c>
      <c r="J44" s="584">
        <v>4.76</v>
      </c>
      <c r="K44" s="597">
        <f t="shared" si="24"/>
        <v>3.3319999999999999</v>
      </c>
      <c r="L44" s="584">
        <v>0.3</v>
      </c>
      <c r="M44" s="589"/>
      <c r="N44" s="589"/>
      <c r="O44" s="589"/>
      <c r="P44" s="589">
        <f t="shared" si="25"/>
        <v>449.82</v>
      </c>
      <c r="Q44" s="589">
        <v>20</v>
      </c>
      <c r="R44" s="589">
        <f t="shared" si="7"/>
        <v>8996400</v>
      </c>
      <c r="S44" s="589">
        <f t="shared" si="8"/>
        <v>8996400</v>
      </c>
    </row>
    <row r="45" spans="1:19" s="595" customFormat="1" x14ac:dyDescent="0.25">
      <c r="A45" s="590"/>
      <c r="B45" s="587" t="s">
        <v>552</v>
      </c>
      <c r="C45" s="592"/>
      <c r="D45" s="519">
        <f>SUM(D46:D48)</f>
        <v>0</v>
      </c>
      <c r="E45" s="519">
        <f>SUM(E46:E48)</f>
        <v>0</v>
      </c>
      <c r="F45" s="519">
        <f t="shared" ref="F45" si="26">SUM(F46:F48)</f>
        <v>0</v>
      </c>
      <c r="G45" s="519">
        <f t="shared" ref="G45" si="27">SUM(G46:G48)</f>
        <v>585</v>
      </c>
      <c r="H45" s="519">
        <f t="shared" ref="H45" si="28">SUM(H46:H48)</f>
        <v>55</v>
      </c>
      <c r="I45" s="519">
        <f t="shared" ref="I45" si="29">SUM(I46:I48)</f>
        <v>530</v>
      </c>
      <c r="J45" s="519">
        <f t="shared" ref="J45" si="30">SUM(J46:J48)</f>
        <v>14.28</v>
      </c>
      <c r="K45" s="519">
        <f t="shared" ref="K45" si="31">SUM(K46:K48)</f>
        <v>4.2839999999999998</v>
      </c>
      <c r="L45" s="519">
        <f t="shared" ref="L45" si="32">SUM(L46:L48)</f>
        <v>2.1</v>
      </c>
      <c r="M45" s="519">
        <f t="shared" ref="M45" si="33">SUM(M46:M48)</f>
        <v>0</v>
      </c>
      <c r="N45" s="519">
        <f t="shared" ref="N45" si="34">SUM(N46:N48)</f>
        <v>0</v>
      </c>
      <c r="O45" s="519">
        <f t="shared" ref="O45" si="35">SUM(O46:O48)</f>
        <v>0</v>
      </c>
      <c r="P45" s="519">
        <f t="shared" ref="P45" si="36">SUM(P46:P48)</f>
        <v>1494.6399999999999</v>
      </c>
      <c r="Q45" s="519">
        <f t="shared" ref="Q45" si="37">SUM(Q46:Q48)</f>
        <v>60</v>
      </c>
      <c r="R45" s="519">
        <f t="shared" ref="R45" si="38">SUM(R46:R48)</f>
        <v>29892800</v>
      </c>
      <c r="S45" s="519">
        <f t="shared" ref="S45" si="39">SUM(S46:S48)</f>
        <v>29892800</v>
      </c>
    </row>
    <row r="46" spans="1:19" s="596" customFormat="1" x14ac:dyDescent="0.25">
      <c r="A46" s="584"/>
      <c r="C46" s="585"/>
      <c r="D46" s="586"/>
      <c r="E46" s="586"/>
      <c r="F46" s="587" t="s">
        <v>474</v>
      </c>
      <c r="G46" s="589">
        <f t="shared" si="3"/>
        <v>55</v>
      </c>
      <c r="H46" s="529">
        <v>55</v>
      </c>
      <c r="I46" s="589"/>
      <c r="J46" s="584">
        <v>4.76</v>
      </c>
      <c r="K46" s="597">
        <f t="shared" si="24"/>
        <v>0</v>
      </c>
      <c r="L46" s="584">
        <v>1</v>
      </c>
      <c r="M46" s="589"/>
      <c r="N46" s="589"/>
      <c r="O46" s="589"/>
      <c r="P46" s="589">
        <f>L46*J46*H46</f>
        <v>261.8</v>
      </c>
      <c r="Q46" s="589">
        <v>20</v>
      </c>
      <c r="R46" s="589">
        <f t="shared" si="7"/>
        <v>5236000</v>
      </c>
      <c r="S46" s="589">
        <f t="shared" si="8"/>
        <v>5236000</v>
      </c>
    </row>
    <row r="47" spans="1:19" s="596" customFormat="1" x14ac:dyDescent="0.25">
      <c r="A47" s="584"/>
      <c r="B47" s="587"/>
      <c r="C47" s="585"/>
      <c r="D47" s="586"/>
      <c r="E47" s="586"/>
      <c r="F47" s="587" t="s">
        <v>474</v>
      </c>
      <c r="G47" s="589">
        <f t="shared" si="3"/>
        <v>200</v>
      </c>
      <c r="H47" s="529"/>
      <c r="I47" s="589">
        <v>200</v>
      </c>
      <c r="J47" s="584">
        <v>4.76</v>
      </c>
      <c r="K47" s="597">
        <f t="shared" si="24"/>
        <v>0.95199999999999996</v>
      </c>
      <c r="L47" s="584">
        <v>0.8</v>
      </c>
      <c r="M47" s="589"/>
      <c r="N47" s="589"/>
      <c r="O47" s="589"/>
      <c r="P47" s="589">
        <f t="shared" si="25"/>
        <v>761.59999999999991</v>
      </c>
      <c r="Q47" s="589">
        <v>20</v>
      </c>
      <c r="R47" s="589">
        <f t="shared" si="7"/>
        <v>15231999.999999998</v>
      </c>
      <c r="S47" s="589">
        <f t="shared" si="8"/>
        <v>15231999.999999998</v>
      </c>
    </row>
    <row r="48" spans="1:19" s="596" customFormat="1" x14ac:dyDescent="0.25">
      <c r="A48" s="584"/>
      <c r="B48" s="587"/>
      <c r="C48" s="585"/>
      <c r="D48" s="586"/>
      <c r="E48" s="586"/>
      <c r="F48" s="587" t="s">
        <v>542</v>
      </c>
      <c r="G48" s="589">
        <f t="shared" si="3"/>
        <v>330</v>
      </c>
      <c r="H48" s="529"/>
      <c r="I48" s="589">
        <f>80+250</f>
        <v>330</v>
      </c>
      <c r="J48" s="584">
        <v>4.76</v>
      </c>
      <c r="K48" s="597">
        <f t="shared" si="24"/>
        <v>3.3319999999999999</v>
      </c>
      <c r="L48" s="584">
        <v>0.3</v>
      </c>
      <c r="M48" s="589"/>
      <c r="N48" s="589"/>
      <c r="O48" s="589"/>
      <c r="P48" s="589">
        <f t="shared" si="25"/>
        <v>471.23999999999995</v>
      </c>
      <c r="Q48" s="589">
        <v>20</v>
      </c>
      <c r="R48" s="589">
        <f t="shared" si="7"/>
        <v>9424800</v>
      </c>
      <c r="S48" s="589">
        <f t="shared" si="8"/>
        <v>9424800</v>
      </c>
    </row>
    <row r="49" spans="1:19" s="595" customFormat="1" x14ac:dyDescent="0.25">
      <c r="A49" s="590"/>
      <c r="B49" s="587" t="s">
        <v>553</v>
      </c>
      <c r="C49" s="592"/>
      <c r="D49" s="519">
        <f>SUM(D50:D51)</f>
        <v>0</v>
      </c>
      <c r="E49" s="519">
        <f t="shared" ref="E49" si="40">SUM(E50:E51)</f>
        <v>0</v>
      </c>
      <c r="F49" s="519">
        <f t="shared" ref="F49" si="41">SUM(F50:F51)</f>
        <v>0</v>
      </c>
      <c r="G49" s="519">
        <f t="shared" ref="G49" si="42">SUM(G50:G51)</f>
        <v>228</v>
      </c>
      <c r="H49" s="519">
        <f t="shared" ref="H49" si="43">SUM(H50:H51)</f>
        <v>0</v>
      </c>
      <c r="I49" s="519">
        <f t="shared" ref="I49" si="44">SUM(I50:I51)</f>
        <v>228</v>
      </c>
      <c r="J49" s="519">
        <f t="shared" ref="J49" si="45">SUM(J50:J51)</f>
        <v>9.52</v>
      </c>
      <c r="K49" s="519">
        <f t="shared" ref="K49" si="46">SUM(K50:K51)</f>
        <v>6.6639999999999997</v>
      </c>
      <c r="L49" s="519">
        <f t="shared" ref="L49" si="47">SUM(L50:L51)</f>
        <v>0.6</v>
      </c>
      <c r="M49" s="519">
        <f t="shared" ref="M49" si="48">SUM(M50:M51)</f>
        <v>0</v>
      </c>
      <c r="N49" s="519">
        <f t="shared" ref="N49" si="49">SUM(N50:N51)</f>
        <v>0</v>
      </c>
      <c r="O49" s="519">
        <f t="shared" ref="O49" si="50">SUM(O50:O51)</f>
        <v>0</v>
      </c>
      <c r="P49" s="519">
        <f t="shared" ref="P49" si="51">SUM(P50:P51)</f>
        <v>325.58399999999995</v>
      </c>
      <c r="Q49" s="519">
        <f t="shared" ref="Q49" si="52">SUM(Q50:Q51)</f>
        <v>40</v>
      </c>
      <c r="R49" s="519">
        <f t="shared" ref="R49" si="53">SUM(R50:R51)</f>
        <v>6511680</v>
      </c>
      <c r="S49" s="519">
        <f t="shared" ref="S49" si="54">SUM(S50:S51)</f>
        <v>6511680</v>
      </c>
    </row>
    <row r="50" spans="1:19" s="596" customFormat="1" x14ac:dyDescent="0.25">
      <c r="A50" s="584"/>
      <c r="C50" s="585"/>
      <c r="D50" s="586"/>
      <c r="E50" s="586"/>
      <c r="F50" s="587" t="s">
        <v>554</v>
      </c>
      <c r="G50" s="589">
        <f t="shared" si="3"/>
        <v>174</v>
      </c>
      <c r="H50" s="529"/>
      <c r="I50" s="589">
        <v>174</v>
      </c>
      <c r="J50" s="584">
        <v>4.76</v>
      </c>
      <c r="K50" s="597">
        <f t="shared" si="24"/>
        <v>3.3319999999999999</v>
      </c>
      <c r="L50" s="584">
        <v>0.3</v>
      </c>
      <c r="M50" s="589"/>
      <c r="N50" s="589"/>
      <c r="O50" s="589"/>
      <c r="P50" s="589">
        <f t="shared" si="25"/>
        <v>248.47199999999998</v>
      </c>
      <c r="Q50" s="589">
        <v>20</v>
      </c>
      <c r="R50" s="589">
        <f t="shared" si="7"/>
        <v>4969440</v>
      </c>
      <c r="S50" s="589">
        <f t="shared" si="8"/>
        <v>4969440</v>
      </c>
    </row>
    <row r="51" spans="1:19" s="596" customFormat="1" x14ac:dyDescent="0.25">
      <c r="A51" s="584"/>
      <c r="B51" s="587"/>
      <c r="C51" s="585"/>
      <c r="D51" s="586"/>
      <c r="E51" s="586"/>
      <c r="F51" s="587" t="s">
        <v>504</v>
      </c>
      <c r="G51" s="589">
        <f t="shared" si="3"/>
        <v>54</v>
      </c>
      <c r="H51" s="529"/>
      <c r="I51" s="589">
        <v>54</v>
      </c>
      <c r="J51" s="584">
        <v>4.76</v>
      </c>
      <c r="K51" s="597">
        <f t="shared" si="24"/>
        <v>3.3319999999999999</v>
      </c>
      <c r="L51" s="584">
        <v>0.3</v>
      </c>
      <c r="M51" s="589"/>
      <c r="N51" s="589"/>
      <c r="O51" s="589"/>
      <c r="P51" s="589">
        <f t="shared" si="25"/>
        <v>77.111999999999995</v>
      </c>
      <c r="Q51" s="589">
        <v>20</v>
      </c>
      <c r="R51" s="589">
        <f t="shared" si="7"/>
        <v>1542239.9999999998</v>
      </c>
      <c r="S51" s="589">
        <f t="shared" si="8"/>
        <v>1542239.9999999998</v>
      </c>
    </row>
    <row r="52" spans="1:19" s="595" customFormat="1" x14ac:dyDescent="0.25">
      <c r="A52" s="590"/>
      <c r="B52" s="587" t="s">
        <v>555</v>
      </c>
      <c r="C52" s="592"/>
      <c r="D52" s="519">
        <f>SUM(D53:D54)</f>
        <v>0</v>
      </c>
      <c r="E52" s="519">
        <f t="shared" ref="E52" si="55">SUM(E53:E54)</f>
        <v>0</v>
      </c>
      <c r="F52" s="519">
        <f t="shared" ref="F52" si="56">SUM(F53:F54)</f>
        <v>0</v>
      </c>
      <c r="G52" s="519">
        <f t="shared" ref="G52" si="57">SUM(G53:G54)</f>
        <v>1306.25</v>
      </c>
      <c r="H52" s="519">
        <f t="shared" ref="H52" si="58">SUM(H53:H54)</f>
        <v>1045</v>
      </c>
      <c r="I52" s="519">
        <f t="shared" ref="I52" si="59">SUM(I53:I54)</f>
        <v>261.25</v>
      </c>
      <c r="J52" s="519">
        <f t="shared" ref="J52" si="60">SUM(J53:J54)</f>
        <v>9.11</v>
      </c>
      <c r="K52" s="519">
        <f t="shared" ref="K52" si="61">SUM(K53:K54)</f>
        <v>3.0449999999999999</v>
      </c>
      <c r="L52" s="519">
        <f t="shared" ref="L52" si="62">SUM(L53:L54)</f>
        <v>1.3</v>
      </c>
      <c r="M52" s="519">
        <f t="shared" ref="M52" si="63">SUM(M53:M54)</f>
        <v>340.93124999999998</v>
      </c>
      <c r="N52" s="519">
        <f t="shared" ref="N52" si="64">SUM(N53:N54)</f>
        <v>35721</v>
      </c>
      <c r="O52" s="519">
        <f t="shared" ref="O52" si="65">SUM(O53:O54)</f>
        <v>2799633.375</v>
      </c>
      <c r="P52" s="519">
        <f t="shared" ref="P52" si="66">SUM(P53:P54)</f>
        <v>4974.2</v>
      </c>
      <c r="Q52" s="519">
        <f t="shared" ref="Q52" si="67">SUM(Q53:Q54)</f>
        <v>20</v>
      </c>
      <c r="R52" s="519">
        <f t="shared" ref="R52" si="68">SUM(R53:R54)</f>
        <v>99484000</v>
      </c>
      <c r="S52" s="519">
        <f t="shared" ref="S52" si="69">SUM(S53:S54)</f>
        <v>102283633.375</v>
      </c>
    </row>
    <row r="53" spans="1:19" s="596" customFormat="1" x14ac:dyDescent="0.25">
      <c r="A53" s="584"/>
      <c r="C53" s="585"/>
      <c r="D53" s="586"/>
      <c r="E53" s="586"/>
      <c r="F53" s="587" t="s">
        <v>539</v>
      </c>
      <c r="G53" s="529">
        <f t="shared" si="3"/>
        <v>261.25</v>
      </c>
      <c r="H53" s="581"/>
      <c r="I53" s="582">
        <v>261.25</v>
      </c>
      <c r="J53" s="574">
        <v>4.3499999999999996</v>
      </c>
      <c r="K53" s="574">
        <f t="shared" si="24"/>
        <v>3.0449999999999999</v>
      </c>
      <c r="L53" s="575">
        <v>0.3</v>
      </c>
      <c r="M53" s="529">
        <f>L53*J53*I53</f>
        <v>340.93124999999998</v>
      </c>
      <c r="N53" s="529">
        <v>35721</v>
      </c>
      <c r="O53" s="576">
        <f>N53*L53*I53</f>
        <v>2799633.375</v>
      </c>
      <c r="P53" s="529"/>
      <c r="Q53" s="577"/>
      <c r="R53" s="583"/>
      <c r="S53" s="529">
        <f t="shared" ref="S53" si="70">R53+O53</f>
        <v>2799633.375</v>
      </c>
    </row>
    <row r="54" spans="1:19" s="596" customFormat="1" x14ac:dyDescent="0.25">
      <c r="A54" s="584"/>
      <c r="B54" s="587"/>
      <c r="C54" s="585"/>
      <c r="D54" s="586"/>
      <c r="E54" s="586"/>
      <c r="F54" s="587" t="s">
        <v>542</v>
      </c>
      <c r="G54" s="589">
        <f t="shared" si="3"/>
        <v>1045</v>
      </c>
      <c r="H54" s="529">
        <v>1045</v>
      </c>
      <c r="I54" s="589"/>
      <c r="J54" s="584">
        <v>4.76</v>
      </c>
      <c r="K54" s="597">
        <f t="shared" si="24"/>
        <v>0</v>
      </c>
      <c r="L54" s="584">
        <v>1</v>
      </c>
      <c r="M54" s="589"/>
      <c r="N54" s="597"/>
      <c r="O54" s="589"/>
      <c r="P54" s="589">
        <f>L54*J54*H54</f>
        <v>4974.2</v>
      </c>
      <c r="Q54" s="589">
        <v>20</v>
      </c>
      <c r="R54" s="589">
        <f t="shared" si="7"/>
        <v>99484000</v>
      </c>
      <c r="S54" s="589">
        <f t="shared" si="8"/>
        <v>99484000</v>
      </c>
    </row>
    <row r="55" spans="1:19" s="595" customFormat="1" x14ac:dyDescent="0.25">
      <c r="A55" s="590"/>
      <c r="B55" s="587" t="s">
        <v>556</v>
      </c>
      <c r="C55" s="592"/>
      <c r="D55" s="519">
        <f>SUM(D56:D58)</f>
        <v>0</v>
      </c>
      <c r="E55" s="519">
        <f>SUM(E56:E58)</f>
        <v>0</v>
      </c>
      <c r="F55" s="519">
        <f t="shared" ref="F55" si="71">SUM(F56:F58)</f>
        <v>0</v>
      </c>
      <c r="G55" s="519">
        <f t="shared" ref="G55" si="72">SUM(G56:G58)</f>
        <v>557.5</v>
      </c>
      <c r="H55" s="519">
        <f t="shared" ref="H55" si="73">SUM(H56:H58)</f>
        <v>377</v>
      </c>
      <c r="I55" s="519">
        <f t="shared" ref="I55" si="74">SUM(I56:I58)</f>
        <v>180.5</v>
      </c>
      <c r="J55" s="519">
        <f t="shared" ref="J55" si="75">SUM(J56:J58)</f>
        <v>14.28</v>
      </c>
      <c r="K55" s="519">
        <f t="shared" ref="K55" si="76">SUM(K56:K58)</f>
        <v>4.5220000000000002</v>
      </c>
      <c r="L55" s="519">
        <f t="shared" ref="L55" si="77">SUM(L56:L58)</f>
        <v>2.0499999999999998</v>
      </c>
      <c r="M55" s="519">
        <f t="shared" ref="M55" si="78">SUM(M56:M58)</f>
        <v>3.57</v>
      </c>
      <c r="N55" s="519">
        <f t="shared" ref="N55" si="79">SUM(N56:N58)</f>
        <v>35721</v>
      </c>
      <c r="O55" s="519">
        <f t="shared" ref="O55" si="80">SUM(O56:O58)</f>
        <v>26790.75</v>
      </c>
      <c r="P55" s="519">
        <f t="shared" ref="P55" si="81">SUM(P56:P58)</f>
        <v>2429.98</v>
      </c>
      <c r="Q55" s="519">
        <f t="shared" ref="Q55" si="82">SUM(Q56:Q58)</f>
        <v>40</v>
      </c>
      <c r="R55" s="519">
        <f t="shared" ref="R55" si="83">SUM(R56:R58)</f>
        <v>48599600</v>
      </c>
      <c r="S55" s="519">
        <f t="shared" ref="S55" si="84">SUM(S56:S58)</f>
        <v>48626390.75</v>
      </c>
    </row>
    <row r="56" spans="1:19" x14ac:dyDescent="0.25">
      <c r="A56" s="584"/>
      <c r="C56" s="585"/>
      <c r="D56" s="586"/>
      <c r="E56" s="586"/>
      <c r="F56" s="587" t="s">
        <v>539</v>
      </c>
      <c r="G56" s="589">
        <f t="shared" si="3"/>
        <v>2.5</v>
      </c>
      <c r="H56" s="529"/>
      <c r="I56" s="589">
        <v>2.5</v>
      </c>
      <c r="J56" s="584">
        <v>4.76</v>
      </c>
      <c r="K56" s="597">
        <f t="shared" si="24"/>
        <v>3.3319999999999999</v>
      </c>
      <c r="L56" s="584">
        <v>0.3</v>
      </c>
      <c r="M56" s="529">
        <f>L56*J56*I56</f>
        <v>3.57</v>
      </c>
      <c r="N56" s="529">
        <v>35721</v>
      </c>
      <c r="O56" s="576">
        <f>N56*L56*I56</f>
        <v>26790.75</v>
      </c>
      <c r="P56" s="589"/>
      <c r="Q56" s="589"/>
      <c r="R56" s="589"/>
      <c r="S56" s="589">
        <f>R56+O56</f>
        <v>26790.75</v>
      </c>
    </row>
    <row r="57" spans="1:19" s="596" customFormat="1" x14ac:dyDescent="0.25">
      <c r="A57" s="584"/>
      <c r="B57" s="587"/>
      <c r="C57" s="585"/>
      <c r="D57" s="586"/>
      <c r="E57" s="586"/>
      <c r="F57" s="587" t="s">
        <v>542</v>
      </c>
      <c r="G57" s="589">
        <f t="shared" si="3"/>
        <v>377</v>
      </c>
      <c r="H57" s="529">
        <v>377</v>
      </c>
      <c r="I57" s="589"/>
      <c r="J57" s="584">
        <v>4.76</v>
      </c>
      <c r="K57" s="597">
        <f t="shared" si="24"/>
        <v>0</v>
      </c>
      <c r="L57" s="584">
        <v>1</v>
      </c>
      <c r="M57" s="589"/>
      <c r="N57" s="589"/>
      <c r="O57" s="589"/>
      <c r="P57" s="589">
        <f>L57*J57*H57</f>
        <v>1794.52</v>
      </c>
      <c r="Q57" s="589">
        <v>20</v>
      </c>
      <c r="R57" s="589">
        <f t="shared" si="7"/>
        <v>35890400</v>
      </c>
      <c r="S57" s="589">
        <f t="shared" ref="S57:S65" si="85">R57+O57</f>
        <v>35890400</v>
      </c>
    </row>
    <row r="58" spans="1:19" x14ac:dyDescent="0.25">
      <c r="A58" s="584"/>
      <c r="B58" s="587"/>
      <c r="C58" s="585"/>
      <c r="D58" s="586"/>
      <c r="E58" s="586"/>
      <c r="F58" s="587" t="s">
        <v>474</v>
      </c>
      <c r="G58" s="589">
        <f t="shared" si="3"/>
        <v>178</v>
      </c>
      <c r="H58" s="529"/>
      <c r="I58" s="589">
        <v>178</v>
      </c>
      <c r="J58" s="584">
        <v>4.76</v>
      </c>
      <c r="K58" s="597">
        <f t="shared" si="24"/>
        <v>1.19</v>
      </c>
      <c r="L58" s="584">
        <v>0.75</v>
      </c>
      <c r="M58" s="589"/>
      <c r="N58" s="589"/>
      <c r="O58" s="589"/>
      <c r="P58" s="589">
        <f t="shared" si="25"/>
        <v>635.45999999999992</v>
      </c>
      <c r="Q58" s="589">
        <v>20</v>
      </c>
      <c r="R58" s="589">
        <f t="shared" si="7"/>
        <v>12709199.999999998</v>
      </c>
      <c r="S58" s="589">
        <f t="shared" si="85"/>
        <v>12709199.999999998</v>
      </c>
    </row>
    <row r="59" spans="1:19" s="595" customFormat="1" x14ac:dyDescent="0.25">
      <c r="A59" s="590"/>
      <c r="B59" s="587" t="s">
        <v>557</v>
      </c>
      <c r="C59" s="592"/>
      <c r="D59" s="519">
        <f>SUM(D60:D62)</f>
        <v>0</v>
      </c>
      <c r="E59" s="519">
        <f>SUM(E60:E62)</f>
        <v>0</v>
      </c>
      <c r="F59" s="519">
        <f t="shared" ref="F59" si="86">SUM(F60:F62)</f>
        <v>0</v>
      </c>
      <c r="G59" s="519">
        <f t="shared" ref="G59" si="87">SUM(G60:G62)</f>
        <v>1380.8</v>
      </c>
      <c r="H59" s="519">
        <f t="shared" ref="H59" si="88">SUM(H60:H62)</f>
        <v>791</v>
      </c>
      <c r="I59" s="519">
        <f t="shared" ref="I59" si="89">SUM(I60:I62)</f>
        <v>589.79999999999995</v>
      </c>
      <c r="J59" s="519">
        <f t="shared" ref="J59" si="90">SUM(J60:J62)</f>
        <v>14.28</v>
      </c>
      <c r="K59" s="519">
        <f t="shared" ref="K59" si="91">SUM(K60:K62)</f>
        <v>5.4740000000000002</v>
      </c>
      <c r="L59" s="519">
        <f t="shared" ref="L59" si="92">SUM(L60:L62)</f>
        <v>1.85</v>
      </c>
      <c r="M59" s="519">
        <f t="shared" ref="M59" si="93">SUM(M60:M62)</f>
        <v>0</v>
      </c>
      <c r="N59" s="519">
        <f t="shared" ref="N59" si="94">SUM(N60:N62)</f>
        <v>0</v>
      </c>
      <c r="O59" s="519">
        <f t="shared" ref="O59" si="95">SUM(O60:O62)</f>
        <v>0</v>
      </c>
      <c r="P59" s="519">
        <f t="shared" ref="P59" si="96">SUM(P60:P62)</f>
        <v>4766.9019999999991</v>
      </c>
      <c r="Q59" s="519">
        <f t="shared" ref="Q59" si="97">SUM(Q60:Q62)</f>
        <v>60</v>
      </c>
      <c r="R59" s="519">
        <f t="shared" ref="R59" si="98">SUM(R60:R62)</f>
        <v>95338040</v>
      </c>
      <c r="S59" s="519">
        <f t="shared" ref="S59" si="99">SUM(S60:S62)</f>
        <v>95338040</v>
      </c>
    </row>
    <row r="60" spans="1:19" x14ac:dyDescent="0.25">
      <c r="A60" s="584"/>
      <c r="C60" s="585"/>
      <c r="D60" s="586"/>
      <c r="E60" s="586"/>
      <c r="F60" s="587" t="s">
        <v>504</v>
      </c>
      <c r="G60" s="589">
        <f t="shared" si="3"/>
        <v>791</v>
      </c>
      <c r="H60" s="529">
        <v>791</v>
      </c>
      <c r="I60" s="589"/>
      <c r="J60" s="584">
        <v>4.76</v>
      </c>
      <c r="K60" s="597">
        <f t="shared" si="24"/>
        <v>0</v>
      </c>
      <c r="L60" s="584">
        <v>1</v>
      </c>
      <c r="M60" s="589"/>
      <c r="N60" s="589"/>
      <c r="O60" s="589"/>
      <c r="P60" s="589">
        <f>L60*J60*H60</f>
        <v>3765.16</v>
      </c>
      <c r="Q60" s="589">
        <v>20</v>
      </c>
      <c r="R60" s="589">
        <f t="shared" si="7"/>
        <v>75303200</v>
      </c>
      <c r="S60" s="589">
        <f t="shared" si="85"/>
        <v>75303200</v>
      </c>
    </row>
    <row r="61" spans="1:19" x14ac:dyDescent="0.25">
      <c r="A61" s="584"/>
      <c r="B61" s="587"/>
      <c r="C61" s="585"/>
      <c r="D61" s="586"/>
      <c r="E61" s="586"/>
      <c r="F61" s="587" t="s">
        <v>487</v>
      </c>
      <c r="G61" s="589">
        <f t="shared" si="3"/>
        <v>563</v>
      </c>
      <c r="H61" s="529"/>
      <c r="I61" s="589">
        <v>563</v>
      </c>
      <c r="J61" s="584">
        <v>4.76</v>
      </c>
      <c r="K61" s="597">
        <f t="shared" si="24"/>
        <v>3.0939999999999999</v>
      </c>
      <c r="L61" s="584">
        <v>0.35</v>
      </c>
      <c r="M61" s="589"/>
      <c r="N61" s="589"/>
      <c r="O61" s="589"/>
      <c r="P61" s="589">
        <f t="shared" si="25"/>
        <v>937.95799999999997</v>
      </c>
      <c r="Q61" s="589">
        <v>20</v>
      </c>
      <c r="R61" s="589">
        <f t="shared" si="7"/>
        <v>18759160</v>
      </c>
      <c r="S61" s="589">
        <f t="shared" si="85"/>
        <v>18759160</v>
      </c>
    </row>
    <row r="62" spans="1:19" x14ac:dyDescent="0.25">
      <c r="A62" s="584"/>
      <c r="B62" s="587"/>
      <c r="C62" s="585"/>
      <c r="D62" s="586"/>
      <c r="E62" s="586"/>
      <c r="F62" s="587" t="s">
        <v>485</v>
      </c>
      <c r="G62" s="589">
        <f t="shared" si="3"/>
        <v>26.8</v>
      </c>
      <c r="H62" s="529"/>
      <c r="I62" s="589">
        <v>26.8</v>
      </c>
      <c r="J62" s="584">
        <v>4.76</v>
      </c>
      <c r="K62" s="597">
        <f t="shared" si="24"/>
        <v>2.38</v>
      </c>
      <c r="L62" s="584">
        <v>0.5</v>
      </c>
      <c r="M62" s="589"/>
      <c r="N62" s="589"/>
      <c r="O62" s="589"/>
      <c r="P62" s="589">
        <f t="shared" si="25"/>
        <v>63.783999999999999</v>
      </c>
      <c r="Q62" s="589">
        <v>20</v>
      </c>
      <c r="R62" s="589">
        <f t="shared" si="7"/>
        <v>1275680</v>
      </c>
      <c r="S62" s="589">
        <f t="shared" si="85"/>
        <v>1275680</v>
      </c>
    </row>
    <row r="63" spans="1:19" s="595" customFormat="1" x14ac:dyDescent="0.25">
      <c r="A63" s="590"/>
      <c r="B63" s="587" t="s">
        <v>558</v>
      </c>
      <c r="C63" s="592"/>
      <c r="D63" s="519">
        <f>SUM(D64:D65)</f>
        <v>0</v>
      </c>
      <c r="E63" s="519">
        <f t="shared" ref="E63" si="100">SUM(E64:E65)</f>
        <v>0</v>
      </c>
      <c r="F63" s="519">
        <f t="shared" ref="F63" si="101">SUM(F64:F65)</f>
        <v>0</v>
      </c>
      <c r="G63" s="519">
        <f t="shared" ref="G63" si="102">SUM(G64:G65)</f>
        <v>739.5</v>
      </c>
      <c r="H63" s="519">
        <f t="shared" ref="H63" si="103">SUM(H64:H65)</f>
        <v>689.25</v>
      </c>
      <c r="I63" s="519">
        <f t="shared" ref="I63" si="104">SUM(I64:I65)</f>
        <v>50.25</v>
      </c>
      <c r="J63" s="519">
        <f t="shared" ref="J63" si="105">SUM(J64:J65)</f>
        <v>9.52</v>
      </c>
      <c r="K63" s="519">
        <f t="shared" ref="K63" si="106">SUM(K64:K65)</f>
        <v>2.38</v>
      </c>
      <c r="L63" s="519">
        <f t="shared" ref="L63" si="107">SUM(L64:L65)</f>
        <v>1.5</v>
      </c>
      <c r="M63" s="519">
        <f t="shared" ref="M63" si="108">SUM(M64:M65)</f>
        <v>0</v>
      </c>
      <c r="N63" s="519">
        <f t="shared" ref="N63" si="109">SUM(N64:N65)</f>
        <v>0</v>
      </c>
      <c r="O63" s="519">
        <f t="shared" ref="O63" si="110">SUM(O64:O65)</f>
        <v>0</v>
      </c>
      <c r="P63" s="519">
        <f t="shared" ref="P63" si="111">SUM(P64:P65)</f>
        <v>3400.4249999999997</v>
      </c>
      <c r="Q63" s="519">
        <f t="shared" ref="Q63" si="112">SUM(Q64:Q65)</f>
        <v>40</v>
      </c>
      <c r="R63" s="519">
        <f t="shared" ref="R63" si="113">SUM(R64:R65)</f>
        <v>68008500</v>
      </c>
      <c r="S63" s="519">
        <f t="shared" ref="S63" si="114">SUM(S64:S65)</f>
        <v>68008500</v>
      </c>
    </row>
    <row r="64" spans="1:19" x14ac:dyDescent="0.25">
      <c r="A64" s="584"/>
      <c r="C64" s="585"/>
      <c r="D64" s="586"/>
      <c r="E64" s="586"/>
      <c r="F64" s="587" t="s">
        <v>504</v>
      </c>
      <c r="G64" s="589">
        <f t="shared" si="3"/>
        <v>689.25</v>
      </c>
      <c r="H64" s="529">
        <v>689.25</v>
      </c>
      <c r="I64" s="589"/>
      <c r="J64" s="584">
        <v>4.76</v>
      </c>
      <c r="K64" s="597">
        <f t="shared" si="24"/>
        <v>0</v>
      </c>
      <c r="L64" s="584">
        <v>1</v>
      </c>
      <c r="M64" s="589"/>
      <c r="N64" s="589"/>
      <c r="O64" s="589"/>
      <c r="P64" s="589">
        <f>L64*J64*H64</f>
        <v>3280.83</v>
      </c>
      <c r="Q64" s="589">
        <v>20</v>
      </c>
      <c r="R64" s="589">
        <f t="shared" si="7"/>
        <v>65616600.000000007</v>
      </c>
      <c r="S64" s="589">
        <f t="shared" si="85"/>
        <v>65616600.000000007</v>
      </c>
    </row>
    <row r="65" spans="1:19" x14ac:dyDescent="0.25">
      <c r="A65" s="584"/>
      <c r="B65" s="587"/>
      <c r="C65" s="585"/>
      <c r="D65" s="586"/>
      <c r="E65" s="586"/>
      <c r="F65" s="587" t="s">
        <v>504</v>
      </c>
      <c r="G65" s="589">
        <f t="shared" si="3"/>
        <v>50.25</v>
      </c>
      <c r="H65" s="529"/>
      <c r="I65" s="589">
        <v>50.25</v>
      </c>
      <c r="J65" s="584">
        <v>4.76</v>
      </c>
      <c r="K65" s="597">
        <f t="shared" si="24"/>
        <v>2.38</v>
      </c>
      <c r="L65" s="584">
        <v>0.5</v>
      </c>
      <c r="M65" s="589"/>
      <c r="N65" s="589"/>
      <c r="O65" s="589"/>
      <c r="P65" s="589">
        <f>L65*J65*I65</f>
        <v>119.595</v>
      </c>
      <c r="Q65" s="589">
        <v>20</v>
      </c>
      <c r="R65" s="589">
        <f t="shared" si="7"/>
        <v>2391900</v>
      </c>
      <c r="S65" s="589">
        <f t="shared" si="85"/>
        <v>2391900</v>
      </c>
    </row>
    <row r="66" spans="1:19" x14ac:dyDescent="0.25">
      <c r="A66" s="584"/>
      <c r="B66" s="585" t="s">
        <v>475</v>
      </c>
      <c r="C66" s="585"/>
      <c r="D66" s="586"/>
      <c r="E66" s="586"/>
      <c r="F66" s="587"/>
      <c r="G66" s="586"/>
      <c r="H66" s="546"/>
      <c r="I66" s="586"/>
      <c r="J66" s="588"/>
      <c r="K66" s="588"/>
      <c r="L66" s="588"/>
      <c r="M66" s="586"/>
      <c r="N66" s="586"/>
      <c r="O66" s="586"/>
      <c r="P66" s="586"/>
      <c r="Q66" s="586"/>
      <c r="R66" s="586"/>
      <c r="S66" s="586"/>
    </row>
    <row r="67" spans="1:19" s="595" customFormat="1" x14ac:dyDescent="0.25">
      <c r="A67" s="590"/>
      <c r="B67" s="587" t="s">
        <v>559</v>
      </c>
      <c r="C67" s="592"/>
      <c r="D67" s="519">
        <f>SUM(D68:D69)</f>
        <v>0</v>
      </c>
      <c r="E67" s="519">
        <f t="shared" ref="E67" si="115">SUM(E68:E69)</f>
        <v>0</v>
      </c>
      <c r="F67" s="519">
        <f t="shared" ref="F67" si="116">SUM(F68:F69)</f>
        <v>0</v>
      </c>
      <c r="G67" s="519">
        <f t="shared" ref="G67" si="117">SUM(G68:G69)</f>
        <v>630.1</v>
      </c>
      <c r="H67" s="519">
        <f t="shared" ref="H67" si="118">SUM(H68:H69)</f>
        <v>285.5</v>
      </c>
      <c r="I67" s="519">
        <f t="shared" ref="I67" si="119">SUM(I68:I69)</f>
        <v>344.6</v>
      </c>
      <c r="J67" s="519">
        <f t="shared" ref="J67" si="120">SUM(J68:J69)</f>
        <v>9.52</v>
      </c>
      <c r="K67" s="519">
        <f t="shared" ref="K67" si="121">SUM(K68:K69)</f>
        <v>1.4279999999999999</v>
      </c>
      <c r="L67" s="519">
        <f t="shared" ref="L67" si="122">SUM(L68:L69)</f>
        <v>1.7</v>
      </c>
      <c r="M67" s="519">
        <f t="shared" ref="M67" si="123">SUM(M68:M69)</f>
        <v>0</v>
      </c>
      <c r="N67" s="519">
        <f t="shared" ref="N67" si="124">SUM(N68:N69)</f>
        <v>0</v>
      </c>
      <c r="O67" s="519">
        <f t="shared" ref="O67" si="125">SUM(O68:O69)</f>
        <v>0</v>
      </c>
      <c r="P67" s="519">
        <f t="shared" ref="P67" si="126">SUM(P68:P69)</f>
        <v>2507.1872000000003</v>
      </c>
      <c r="Q67" s="519">
        <f t="shared" ref="Q67" si="127">SUM(Q68:Q69)</f>
        <v>40</v>
      </c>
      <c r="R67" s="519">
        <f t="shared" ref="R67" si="128">SUM(R68:R69)</f>
        <v>50143744</v>
      </c>
      <c r="S67" s="519">
        <f t="shared" ref="S67" si="129">SUM(S68:S69)</f>
        <v>50143744</v>
      </c>
    </row>
    <row r="68" spans="1:19" x14ac:dyDescent="0.25">
      <c r="A68" s="584"/>
      <c r="C68" s="585"/>
      <c r="D68" s="589"/>
      <c r="E68" s="586"/>
      <c r="F68" s="589" t="s">
        <v>542</v>
      </c>
      <c r="G68" s="589">
        <f t="shared" ref="G68:G126" si="130">SUM(H68:I68)</f>
        <v>344.6</v>
      </c>
      <c r="H68" s="573"/>
      <c r="I68" s="598">
        <f>122+222.6</f>
        <v>344.6</v>
      </c>
      <c r="J68" s="584">
        <v>4.76</v>
      </c>
      <c r="K68" s="589">
        <f t="shared" ref="K68:K126" si="131">J68-(J68*L68)</f>
        <v>1.4279999999999999</v>
      </c>
      <c r="L68" s="599">
        <v>0.7</v>
      </c>
      <c r="M68" s="589"/>
      <c r="N68" s="589"/>
      <c r="O68" s="600"/>
      <c r="P68" s="589">
        <f t="shared" ref="P68:P83" si="132">L68*J68*I68</f>
        <v>1148.2072000000001</v>
      </c>
      <c r="Q68" s="589">
        <v>20</v>
      </c>
      <c r="R68" s="589">
        <f t="shared" ref="R68:R127" si="133">P68*Q68*1000</f>
        <v>22964144</v>
      </c>
      <c r="S68" s="589">
        <f t="shared" ref="S68:S126" si="134">R68</f>
        <v>22964144</v>
      </c>
    </row>
    <row r="69" spans="1:19" x14ac:dyDescent="0.25">
      <c r="A69" s="584"/>
      <c r="B69" s="587"/>
      <c r="C69" s="585"/>
      <c r="D69" s="589"/>
      <c r="E69" s="586"/>
      <c r="F69" s="589" t="s">
        <v>542</v>
      </c>
      <c r="G69" s="589">
        <f t="shared" si="130"/>
        <v>285.5</v>
      </c>
      <c r="H69" s="573">
        <f>75+210.5</f>
        <v>285.5</v>
      </c>
      <c r="I69" s="598"/>
      <c r="J69" s="584">
        <v>4.76</v>
      </c>
      <c r="K69" s="589">
        <f t="shared" si="131"/>
        <v>0</v>
      </c>
      <c r="L69" s="599">
        <v>1</v>
      </c>
      <c r="M69" s="589"/>
      <c r="N69" s="589"/>
      <c r="O69" s="600"/>
      <c r="P69" s="589">
        <f>L69*J69*H69</f>
        <v>1358.98</v>
      </c>
      <c r="Q69" s="589">
        <v>20</v>
      </c>
      <c r="R69" s="589">
        <f t="shared" si="133"/>
        <v>27179600</v>
      </c>
      <c r="S69" s="589">
        <f t="shared" si="134"/>
        <v>27179600</v>
      </c>
    </row>
    <row r="70" spans="1:19" x14ac:dyDescent="0.25">
      <c r="A70" s="584"/>
      <c r="B70" s="587" t="s">
        <v>560</v>
      </c>
      <c r="C70" s="585"/>
      <c r="D70" s="589"/>
      <c r="E70" s="586"/>
      <c r="F70" s="589" t="s">
        <v>542</v>
      </c>
      <c r="G70" s="589">
        <f t="shared" si="130"/>
        <v>207</v>
      </c>
      <c r="H70" s="573"/>
      <c r="I70" s="598">
        <f>205+2</f>
        <v>207</v>
      </c>
      <c r="J70" s="584">
        <v>4.76</v>
      </c>
      <c r="K70" s="589">
        <f t="shared" si="131"/>
        <v>2.38</v>
      </c>
      <c r="L70" s="599">
        <v>0.5</v>
      </c>
      <c r="M70" s="589"/>
      <c r="N70" s="589"/>
      <c r="O70" s="600"/>
      <c r="P70" s="589">
        <f t="shared" si="132"/>
        <v>492.65999999999997</v>
      </c>
      <c r="Q70" s="589">
        <v>20</v>
      </c>
      <c r="R70" s="589">
        <f t="shared" si="133"/>
        <v>9853199.9999999981</v>
      </c>
      <c r="S70" s="589">
        <f t="shared" si="134"/>
        <v>9853199.9999999981</v>
      </c>
    </row>
    <row r="71" spans="1:19" x14ac:dyDescent="0.25">
      <c r="A71" s="584"/>
      <c r="B71" t="s">
        <v>129</v>
      </c>
      <c r="C71" s="585"/>
      <c r="D71" s="589"/>
      <c r="E71" s="586"/>
      <c r="F71" s="589" t="s">
        <v>542</v>
      </c>
      <c r="G71" s="589">
        <f t="shared" si="130"/>
        <v>1800</v>
      </c>
      <c r="H71" s="573"/>
      <c r="I71" s="598">
        <v>1800</v>
      </c>
      <c r="J71" s="584">
        <v>4.76</v>
      </c>
      <c r="K71" s="589">
        <f t="shared" si="131"/>
        <v>2.8559999999999999</v>
      </c>
      <c r="L71" s="599">
        <v>0.4</v>
      </c>
      <c r="M71" s="589"/>
      <c r="N71" s="589"/>
      <c r="O71" s="600"/>
      <c r="P71" s="589">
        <f t="shared" si="132"/>
        <v>3427.2</v>
      </c>
      <c r="Q71" s="589">
        <v>20</v>
      </c>
      <c r="R71" s="589">
        <f t="shared" si="133"/>
        <v>68544000</v>
      </c>
      <c r="S71" s="589">
        <f t="shared" si="134"/>
        <v>68544000</v>
      </c>
    </row>
    <row r="72" spans="1:19" x14ac:dyDescent="0.25">
      <c r="A72" s="584"/>
      <c r="B72" s="587" t="s">
        <v>561</v>
      </c>
      <c r="C72" s="585"/>
      <c r="D72" s="589"/>
      <c r="E72" s="586"/>
      <c r="F72" s="589" t="s">
        <v>542</v>
      </c>
      <c r="G72" s="589">
        <f t="shared" si="130"/>
        <v>242.5</v>
      </c>
      <c r="H72" s="573"/>
      <c r="I72" s="598">
        <v>242.5</v>
      </c>
      <c r="J72" s="584">
        <v>4.76</v>
      </c>
      <c r="K72" s="601">
        <f t="shared" si="131"/>
        <v>0.47599999999999998</v>
      </c>
      <c r="L72" s="599">
        <v>0.9</v>
      </c>
      <c r="M72" s="589"/>
      <c r="N72" s="589"/>
      <c r="O72" s="600"/>
      <c r="P72" s="589">
        <f t="shared" si="132"/>
        <v>1038.8699999999999</v>
      </c>
      <c r="Q72" s="589">
        <v>20</v>
      </c>
      <c r="R72" s="589">
        <f t="shared" si="133"/>
        <v>20777399.999999996</v>
      </c>
      <c r="S72" s="589">
        <f t="shared" si="134"/>
        <v>20777399.999999996</v>
      </c>
    </row>
    <row r="73" spans="1:19" x14ac:dyDescent="0.25">
      <c r="A73" s="584"/>
      <c r="B73" s="587" t="s">
        <v>562</v>
      </c>
      <c r="C73" s="585"/>
      <c r="D73" s="589"/>
      <c r="E73" s="586"/>
      <c r="F73" s="589" t="s">
        <v>542</v>
      </c>
      <c r="G73" s="589">
        <f t="shared" si="130"/>
        <v>42.4</v>
      </c>
      <c r="H73" s="573"/>
      <c r="I73" s="598">
        <v>42.4</v>
      </c>
      <c r="J73" s="584">
        <v>4.76</v>
      </c>
      <c r="K73" s="600">
        <f t="shared" si="131"/>
        <v>2.38</v>
      </c>
      <c r="L73" s="599">
        <v>0.5</v>
      </c>
      <c r="M73" s="589"/>
      <c r="N73" s="589"/>
      <c r="O73" s="600"/>
      <c r="P73" s="589">
        <f t="shared" si="132"/>
        <v>100.91199999999999</v>
      </c>
      <c r="Q73" s="589">
        <v>20</v>
      </c>
      <c r="R73" s="589">
        <f t="shared" si="133"/>
        <v>2018239.9999999998</v>
      </c>
      <c r="S73" s="589">
        <f t="shared" si="134"/>
        <v>2018239.9999999998</v>
      </c>
    </row>
    <row r="74" spans="1:19" s="595" customFormat="1" x14ac:dyDescent="0.25">
      <c r="A74" s="590"/>
      <c r="B74" s="587" t="s">
        <v>563</v>
      </c>
      <c r="C74" s="592"/>
      <c r="D74" s="594">
        <f>SUM(D75:D78)</f>
        <v>0</v>
      </c>
      <c r="E74" s="594">
        <f t="shared" ref="E74:S74" si="135">SUM(E75:E78)</f>
        <v>0</v>
      </c>
      <c r="F74" s="594">
        <f t="shared" si="135"/>
        <v>0</v>
      </c>
      <c r="G74" s="594">
        <f t="shared" si="135"/>
        <v>1612.5</v>
      </c>
      <c r="H74" s="594">
        <f t="shared" si="135"/>
        <v>0</v>
      </c>
      <c r="I74" s="594">
        <f t="shared" si="135"/>
        <v>1612.5</v>
      </c>
      <c r="J74" s="594">
        <f t="shared" si="135"/>
        <v>19.04</v>
      </c>
      <c r="K74" s="594">
        <f t="shared" si="135"/>
        <v>4.9980000000000002</v>
      </c>
      <c r="L74" s="594">
        <f t="shared" si="135"/>
        <v>2.9499999999999997</v>
      </c>
      <c r="M74" s="594">
        <f t="shared" si="135"/>
        <v>0</v>
      </c>
      <c r="N74" s="594">
        <f t="shared" si="135"/>
        <v>0</v>
      </c>
      <c r="O74" s="594">
        <f t="shared" si="135"/>
        <v>0</v>
      </c>
      <c r="P74" s="594">
        <f t="shared" si="135"/>
        <v>6113.7439999999997</v>
      </c>
      <c r="Q74" s="594">
        <f t="shared" si="135"/>
        <v>80</v>
      </c>
      <c r="R74" s="594">
        <f t="shared" si="135"/>
        <v>122274880</v>
      </c>
      <c r="S74" s="594">
        <f t="shared" si="135"/>
        <v>122274880</v>
      </c>
    </row>
    <row r="75" spans="1:19" x14ac:dyDescent="0.25">
      <c r="A75" s="584"/>
      <c r="C75" s="585"/>
      <c r="D75" s="589"/>
      <c r="E75" s="586"/>
      <c r="F75" s="589" t="s">
        <v>504</v>
      </c>
      <c r="G75" s="589">
        <f t="shared" si="130"/>
        <v>537</v>
      </c>
      <c r="H75" s="573"/>
      <c r="I75" s="598">
        <v>537</v>
      </c>
      <c r="J75" s="584">
        <v>4.76</v>
      </c>
      <c r="K75" s="600">
        <f t="shared" si="131"/>
        <v>0.47599999999999998</v>
      </c>
      <c r="L75" s="599">
        <v>0.9</v>
      </c>
      <c r="M75" s="589"/>
      <c r="N75" s="589"/>
      <c r="O75" s="600"/>
      <c r="P75" s="589">
        <f t="shared" si="132"/>
        <v>2300.5079999999998</v>
      </c>
      <c r="Q75" s="589">
        <v>20</v>
      </c>
      <c r="R75" s="589">
        <f t="shared" si="133"/>
        <v>46010159.999999993</v>
      </c>
      <c r="S75" s="589">
        <f t="shared" si="134"/>
        <v>46010159.999999993</v>
      </c>
    </row>
    <row r="76" spans="1:19" x14ac:dyDescent="0.25">
      <c r="A76" s="584"/>
      <c r="B76" s="587"/>
      <c r="C76" s="585"/>
      <c r="D76" s="589"/>
      <c r="E76" s="586"/>
      <c r="F76" s="589" t="s">
        <v>487</v>
      </c>
      <c r="G76" s="589">
        <f t="shared" si="130"/>
        <v>174</v>
      </c>
      <c r="H76" s="573"/>
      <c r="I76" s="598">
        <v>174</v>
      </c>
      <c r="J76" s="584">
        <v>4.76</v>
      </c>
      <c r="K76" s="600">
        <f t="shared" si="131"/>
        <v>3.0939999999999999</v>
      </c>
      <c r="L76" s="599">
        <v>0.35</v>
      </c>
      <c r="M76" s="589"/>
      <c r="N76" s="589"/>
      <c r="O76" s="600"/>
      <c r="P76" s="589">
        <f t="shared" si="132"/>
        <v>289.88400000000001</v>
      </c>
      <c r="Q76" s="589">
        <v>20</v>
      </c>
      <c r="R76" s="589">
        <f t="shared" si="133"/>
        <v>5797680</v>
      </c>
      <c r="S76" s="589">
        <f t="shared" si="134"/>
        <v>5797680</v>
      </c>
    </row>
    <row r="77" spans="1:19" x14ac:dyDescent="0.25">
      <c r="A77" s="584"/>
      <c r="B77" s="587"/>
      <c r="C77" s="585"/>
      <c r="D77" s="589"/>
      <c r="E77" s="586"/>
      <c r="F77" s="589" t="s">
        <v>501</v>
      </c>
      <c r="G77" s="589">
        <f t="shared" si="130"/>
        <v>711.5</v>
      </c>
      <c r="H77" s="573"/>
      <c r="I77" s="598">
        <v>711.5</v>
      </c>
      <c r="J77" s="584">
        <v>4.76</v>
      </c>
      <c r="K77" s="600">
        <f t="shared" si="131"/>
        <v>0.95199999999999996</v>
      </c>
      <c r="L77" s="599">
        <v>0.8</v>
      </c>
      <c r="M77" s="589"/>
      <c r="N77" s="589"/>
      <c r="O77" s="600"/>
      <c r="P77" s="589">
        <f t="shared" si="132"/>
        <v>2709.3919999999998</v>
      </c>
      <c r="Q77" s="589">
        <v>20</v>
      </c>
      <c r="R77" s="589">
        <f t="shared" si="133"/>
        <v>54187840</v>
      </c>
      <c r="S77" s="589">
        <f t="shared" si="134"/>
        <v>54187840</v>
      </c>
    </row>
    <row r="78" spans="1:19" x14ac:dyDescent="0.25">
      <c r="A78" s="584"/>
      <c r="B78" s="587"/>
      <c r="C78" s="585"/>
      <c r="D78" s="589"/>
      <c r="E78" s="586"/>
      <c r="F78" s="589" t="s">
        <v>481</v>
      </c>
      <c r="G78" s="589">
        <f t="shared" si="130"/>
        <v>190</v>
      </c>
      <c r="H78" s="573"/>
      <c r="I78" s="598">
        <v>190</v>
      </c>
      <c r="J78" s="584">
        <v>4.76</v>
      </c>
      <c r="K78" s="600">
        <f t="shared" si="131"/>
        <v>0.47599999999999998</v>
      </c>
      <c r="L78" s="599">
        <v>0.9</v>
      </c>
      <c r="M78" s="589"/>
      <c r="N78" s="589"/>
      <c r="O78" s="600"/>
      <c r="P78" s="589">
        <f t="shared" si="132"/>
        <v>813.95999999999992</v>
      </c>
      <c r="Q78" s="589">
        <v>20</v>
      </c>
      <c r="R78" s="589">
        <f t="shared" si="133"/>
        <v>16279199.999999998</v>
      </c>
      <c r="S78" s="589">
        <f t="shared" si="134"/>
        <v>16279199.999999998</v>
      </c>
    </row>
    <row r="79" spans="1:19" s="595" customFormat="1" x14ac:dyDescent="0.25">
      <c r="A79" s="590"/>
      <c r="B79" s="587" t="s">
        <v>564</v>
      </c>
      <c r="C79" s="592"/>
      <c r="D79" s="519">
        <f>SUM(D80:D81)</f>
        <v>0</v>
      </c>
      <c r="E79" s="519">
        <f t="shared" ref="E79" si="136">SUM(E80:E81)</f>
        <v>0</v>
      </c>
      <c r="F79" s="519">
        <f t="shared" ref="F79" si="137">SUM(F80:F81)</f>
        <v>0</v>
      </c>
      <c r="G79" s="519">
        <f t="shared" ref="G79" si="138">SUM(G80:G81)</f>
        <v>879.7</v>
      </c>
      <c r="H79" s="519">
        <f t="shared" ref="H79" si="139">SUM(H80:H81)</f>
        <v>247.7</v>
      </c>
      <c r="I79" s="519">
        <f t="shared" ref="I79" si="140">SUM(I80:I81)</f>
        <v>632</v>
      </c>
      <c r="J79" s="519">
        <f t="shared" ref="J79" si="141">SUM(J80:J81)</f>
        <v>9.52</v>
      </c>
      <c r="K79" s="519">
        <f t="shared" ref="K79" si="142">SUM(K80:K81)</f>
        <v>2.38</v>
      </c>
      <c r="L79" s="519">
        <f t="shared" ref="L79" si="143">SUM(L80:L81)</f>
        <v>1.5</v>
      </c>
      <c r="M79" s="519">
        <f t="shared" ref="M79" si="144">SUM(M80:M81)</f>
        <v>0</v>
      </c>
      <c r="N79" s="519">
        <f t="shared" ref="N79" si="145">SUM(N80:N81)</f>
        <v>0</v>
      </c>
      <c r="O79" s="519">
        <f t="shared" ref="O79" si="146">SUM(O80:O81)</f>
        <v>0</v>
      </c>
      <c r="P79" s="519">
        <f t="shared" ref="P79" si="147">SUM(P80:P81)</f>
        <v>2683.2119999999995</v>
      </c>
      <c r="Q79" s="519">
        <f t="shared" ref="Q79" si="148">SUM(Q80:Q81)</f>
        <v>40</v>
      </c>
      <c r="R79" s="519">
        <f t="shared" ref="R79" si="149">SUM(R80:R81)</f>
        <v>53664239.999999993</v>
      </c>
      <c r="S79" s="519">
        <f t="shared" ref="S79" si="150">SUM(S80:S81)</f>
        <v>53664239.999999993</v>
      </c>
    </row>
    <row r="80" spans="1:19" x14ac:dyDescent="0.25">
      <c r="A80" s="584"/>
      <c r="C80" s="585"/>
      <c r="D80" s="589"/>
      <c r="E80" s="586"/>
      <c r="F80" s="589" t="s">
        <v>542</v>
      </c>
      <c r="G80" s="589">
        <f t="shared" si="130"/>
        <v>632</v>
      </c>
      <c r="H80" s="573"/>
      <c r="I80" s="598">
        <v>632</v>
      </c>
      <c r="J80" s="584">
        <v>4.76</v>
      </c>
      <c r="K80" s="600">
        <f t="shared" si="131"/>
        <v>2.38</v>
      </c>
      <c r="L80" s="599">
        <v>0.5</v>
      </c>
      <c r="M80" s="589"/>
      <c r="N80" s="589"/>
      <c r="O80" s="600"/>
      <c r="P80" s="589">
        <f t="shared" si="132"/>
        <v>1504.1599999999999</v>
      </c>
      <c r="Q80" s="589">
        <v>20</v>
      </c>
      <c r="R80" s="589">
        <f t="shared" si="133"/>
        <v>30083199.999999996</v>
      </c>
      <c r="S80" s="589">
        <f t="shared" si="134"/>
        <v>30083199.999999996</v>
      </c>
    </row>
    <row r="81" spans="1:19" x14ac:dyDescent="0.25">
      <c r="A81" s="584"/>
      <c r="B81" s="587"/>
      <c r="C81" s="585"/>
      <c r="D81" s="589"/>
      <c r="E81" s="586"/>
      <c r="F81" s="589" t="s">
        <v>542</v>
      </c>
      <c r="G81" s="589">
        <f t="shared" si="130"/>
        <v>247.7</v>
      </c>
      <c r="H81" s="573">
        <v>247.7</v>
      </c>
      <c r="I81" s="598"/>
      <c r="J81" s="584">
        <v>4.76</v>
      </c>
      <c r="K81" s="600">
        <f t="shared" si="131"/>
        <v>0</v>
      </c>
      <c r="L81" s="599">
        <v>1</v>
      </c>
      <c r="M81" s="589"/>
      <c r="N81" s="589"/>
      <c r="O81" s="600"/>
      <c r="P81" s="589">
        <f>L81*J81*H81</f>
        <v>1179.0519999999999</v>
      </c>
      <c r="Q81" s="589">
        <v>20</v>
      </c>
      <c r="R81" s="589">
        <f t="shared" si="133"/>
        <v>23581039.999999996</v>
      </c>
      <c r="S81" s="589">
        <f t="shared" si="134"/>
        <v>23581039.999999996</v>
      </c>
    </row>
    <row r="82" spans="1:19" s="595" customFormat="1" x14ac:dyDescent="0.25">
      <c r="A82" s="590"/>
      <c r="B82" s="587" t="s">
        <v>565</v>
      </c>
      <c r="C82" s="592"/>
      <c r="D82" s="519">
        <f>SUM(D83:D84)</f>
        <v>0</v>
      </c>
      <c r="E82" s="519">
        <f t="shared" ref="E82" si="151">SUM(E83:E84)</f>
        <v>0</v>
      </c>
      <c r="F82" s="519">
        <f t="shared" ref="F82" si="152">SUM(F83:F84)</f>
        <v>0</v>
      </c>
      <c r="G82" s="519">
        <f t="shared" ref="G82" si="153">SUM(G83:G84)</f>
        <v>720.32</v>
      </c>
      <c r="H82" s="519">
        <f t="shared" ref="H82" si="154">SUM(H83:H84)</f>
        <v>17.2</v>
      </c>
      <c r="I82" s="519">
        <f t="shared" ref="I82" si="155">SUM(I83:I84)</f>
        <v>703.12</v>
      </c>
      <c r="J82" s="519">
        <f t="shared" ref="J82" si="156">SUM(J83:J84)</f>
        <v>9.52</v>
      </c>
      <c r="K82" s="519">
        <f t="shared" ref="K82" si="157">SUM(K83:K84)</f>
        <v>2.8559999999999999</v>
      </c>
      <c r="L82" s="519">
        <f t="shared" ref="L82" si="158">SUM(L83:L84)</f>
        <v>1.4</v>
      </c>
      <c r="M82" s="519">
        <f t="shared" ref="M82" si="159">SUM(M83:M84)</f>
        <v>0</v>
      </c>
      <c r="N82" s="519">
        <f t="shared" ref="N82" si="160">SUM(N83:N84)</f>
        <v>0</v>
      </c>
      <c r="O82" s="519">
        <f t="shared" ref="O82" si="161">SUM(O83:O84)</f>
        <v>0</v>
      </c>
      <c r="P82" s="519">
        <f t="shared" ref="P82" si="162">SUM(P83:P84)</f>
        <v>1420.61248</v>
      </c>
      <c r="Q82" s="519">
        <f t="shared" ref="Q82" si="163">SUM(Q83:Q84)</f>
        <v>40</v>
      </c>
      <c r="R82" s="519">
        <f t="shared" ref="R82" si="164">SUM(R83:R84)</f>
        <v>28412249.600000001</v>
      </c>
      <c r="S82" s="519">
        <f t="shared" ref="S82" si="165">SUM(S83:S84)</f>
        <v>28412249.600000001</v>
      </c>
    </row>
    <row r="83" spans="1:19" x14ac:dyDescent="0.25">
      <c r="A83" s="584"/>
      <c r="C83" s="585"/>
      <c r="D83" s="589"/>
      <c r="E83" s="586"/>
      <c r="F83" s="589" t="s">
        <v>542</v>
      </c>
      <c r="G83" s="589">
        <f t="shared" si="130"/>
        <v>703.12</v>
      </c>
      <c r="H83" s="573"/>
      <c r="I83" s="598">
        <f>695+2.12+6</f>
        <v>703.12</v>
      </c>
      <c r="J83" s="584">
        <v>4.76</v>
      </c>
      <c r="K83" s="600">
        <f t="shared" si="131"/>
        <v>2.8559999999999999</v>
      </c>
      <c r="L83" s="599">
        <v>0.4</v>
      </c>
      <c r="M83" s="589"/>
      <c r="N83" s="589"/>
      <c r="O83" s="600"/>
      <c r="P83" s="589">
        <f t="shared" si="132"/>
        <v>1338.7404799999999</v>
      </c>
      <c r="Q83" s="589">
        <v>20</v>
      </c>
      <c r="R83" s="589">
        <f t="shared" si="133"/>
        <v>26774809.600000001</v>
      </c>
      <c r="S83" s="589">
        <f t="shared" si="134"/>
        <v>26774809.600000001</v>
      </c>
    </row>
    <row r="84" spans="1:19" x14ac:dyDescent="0.25">
      <c r="A84" s="584"/>
      <c r="B84" s="587"/>
      <c r="C84" s="585"/>
      <c r="D84" s="589"/>
      <c r="E84" s="586"/>
      <c r="F84" s="589" t="s">
        <v>542</v>
      </c>
      <c r="G84" s="589">
        <f t="shared" ref="G84" si="166">SUM(H84:I84)</f>
        <v>17.2</v>
      </c>
      <c r="H84" s="573">
        <v>17.2</v>
      </c>
      <c r="I84" s="598"/>
      <c r="J84" s="584">
        <v>4.76</v>
      </c>
      <c r="K84" s="600">
        <f t="shared" si="131"/>
        <v>0</v>
      </c>
      <c r="L84" s="599">
        <v>1</v>
      </c>
      <c r="M84" s="589"/>
      <c r="N84" s="589"/>
      <c r="O84" s="600"/>
      <c r="P84" s="589">
        <f>L84*J84*H84</f>
        <v>81.872</v>
      </c>
      <c r="Q84" s="589">
        <v>20</v>
      </c>
      <c r="R84" s="589">
        <f t="shared" si="133"/>
        <v>1637440</v>
      </c>
      <c r="S84" s="589">
        <f t="shared" si="134"/>
        <v>1637440</v>
      </c>
    </row>
    <row r="85" spans="1:19" s="595" customFormat="1" x14ac:dyDescent="0.25">
      <c r="A85" s="590"/>
      <c r="B85" s="587" t="s">
        <v>566</v>
      </c>
      <c r="C85" s="592"/>
      <c r="D85" s="519">
        <f>SUM(D86:D87)</f>
        <v>0</v>
      </c>
      <c r="E85" s="519">
        <f t="shared" ref="E85" si="167">SUM(E86:E87)</f>
        <v>0</v>
      </c>
      <c r="F85" s="519">
        <f t="shared" ref="F85" si="168">SUM(F86:F87)</f>
        <v>0</v>
      </c>
      <c r="G85" s="519">
        <f t="shared" ref="G85" si="169">SUM(G86:G87)</f>
        <v>196</v>
      </c>
      <c r="H85" s="519">
        <f t="shared" ref="H85" si="170">SUM(H86:H87)</f>
        <v>196</v>
      </c>
      <c r="I85" s="519">
        <f t="shared" ref="I85" si="171">SUM(I86:I87)</f>
        <v>0</v>
      </c>
      <c r="J85" s="519">
        <f t="shared" ref="J85" si="172">SUM(J86:J87)</f>
        <v>9.52</v>
      </c>
      <c r="K85" s="519">
        <f t="shared" ref="K85" si="173">SUM(K86:K87)</f>
        <v>0</v>
      </c>
      <c r="L85" s="519">
        <f t="shared" ref="L85" si="174">SUM(L86:L87)</f>
        <v>2</v>
      </c>
      <c r="M85" s="519">
        <f t="shared" ref="M85" si="175">SUM(M86:M87)</f>
        <v>0</v>
      </c>
      <c r="N85" s="519">
        <f t="shared" ref="N85" si="176">SUM(N86:N87)</f>
        <v>0</v>
      </c>
      <c r="O85" s="519">
        <f t="shared" ref="O85" si="177">SUM(O86:O87)</f>
        <v>0</v>
      </c>
      <c r="P85" s="519">
        <f t="shared" ref="P85" si="178">SUM(P86:P87)</f>
        <v>932.95999999999992</v>
      </c>
      <c r="Q85" s="519">
        <f t="shared" ref="Q85" si="179">SUM(Q86:Q87)</f>
        <v>40</v>
      </c>
      <c r="R85" s="519">
        <f t="shared" ref="R85" si="180">SUM(R86:R87)</f>
        <v>18659200</v>
      </c>
      <c r="S85" s="519">
        <f t="shared" ref="S85" si="181">SUM(S86:S87)</f>
        <v>18659200</v>
      </c>
    </row>
    <row r="86" spans="1:19" x14ac:dyDescent="0.25">
      <c r="A86" s="584"/>
      <c r="C86" s="587" t="s">
        <v>567</v>
      </c>
      <c r="D86" s="589"/>
      <c r="E86" s="586"/>
      <c r="F86" s="589" t="s">
        <v>542</v>
      </c>
      <c r="G86" s="589">
        <f t="shared" si="130"/>
        <v>134</v>
      </c>
      <c r="H86" s="573">
        <v>134</v>
      </c>
      <c r="I86" s="598"/>
      <c r="J86" s="584">
        <v>4.76</v>
      </c>
      <c r="K86" s="600">
        <f t="shared" si="131"/>
        <v>0</v>
      </c>
      <c r="L86" s="599">
        <v>1</v>
      </c>
      <c r="M86" s="589"/>
      <c r="N86" s="589"/>
      <c r="O86" s="600"/>
      <c r="P86" s="589">
        <f>L86*J86*H86</f>
        <v>637.83999999999992</v>
      </c>
      <c r="Q86" s="589">
        <v>20</v>
      </c>
      <c r="R86" s="589">
        <f t="shared" si="133"/>
        <v>12756800</v>
      </c>
      <c r="S86" s="589">
        <f t="shared" si="134"/>
        <v>12756800</v>
      </c>
    </row>
    <row r="87" spans="1:19" x14ac:dyDescent="0.25">
      <c r="A87" s="584"/>
      <c r="B87" s="587"/>
      <c r="C87" s="587" t="s">
        <v>568</v>
      </c>
      <c r="D87" s="589"/>
      <c r="E87" s="586"/>
      <c r="F87" s="589" t="s">
        <v>542</v>
      </c>
      <c r="G87" s="589">
        <f t="shared" si="130"/>
        <v>62</v>
      </c>
      <c r="H87" s="573">
        <v>62</v>
      </c>
      <c r="I87" s="598"/>
      <c r="J87" s="584">
        <v>4.76</v>
      </c>
      <c r="K87" s="600">
        <f t="shared" si="131"/>
        <v>0</v>
      </c>
      <c r="L87" s="599">
        <v>1</v>
      </c>
      <c r="M87" s="589"/>
      <c r="N87" s="589"/>
      <c r="O87" s="600"/>
      <c r="P87" s="589">
        <f>L87*J87*H87</f>
        <v>295.12</v>
      </c>
      <c r="Q87" s="589">
        <v>20</v>
      </c>
      <c r="R87" s="589">
        <f t="shared" si="133"/>
        <v>5902400</v>
      </c>
      <c r="S87" s="589">
        <f t="shared" si="134"/>
        <v>5902400</v>
      </c>
    </row>
    <row r="88" spans="1:19" s="595" customFormat="1" x14ac:dyDescent="0.25">
      <c r="A88" s="590"/>
      <c r="B88" s="587" t="s">
        <v>569</v>
      </c>
      <c r="C88" s="591"/>
      <c r="D88" s="519">
        <f>SUM(D89:D91)</f>
        <v>0</v>
      </c>
      <c r="E88" s="519">
        <f>SUM(E89:E91)</f>
        <v>0</v>
      </c>
      <c r="F88" s="519">
        <f t="shared" ref="F88" si="182">SUM(F89:F91)</f>
        <v>0</v>
      </c>
      <c r="G88" s="519">
        <f t="shared" ref="G88" si="183">SUM(G89:G91)</f>
        <v>161</v>
      </c>
      <c r="H88" s="519">
        <f t="shared" ref="H88" si="184">SUM(H89:H91)</f>
        <v>75</v>
      </c>
      <c r="I88" s="519">
        <f t="shared" ref="I88" si="185">SUM(I89:I91)</f>
        <v>86</v>
      </c>
      <c r="J88" s="519">
        <f t="shared" ref="J88" si="186">SUM(J89:J91)</f>
        <v>14.28</v>
      </c>
      <c r="K88" s="519">
        <f t="shared" ref="K88" si="187">SUM(K89:K91)</f>
        <v>5.4740000000000002</v>
      </c>
      <c r="L88" s="519">
        <f t="shared" ref="L88" si="188">SUM(L89:L91)</f>
        <v>1.85</v>
      </c>
      <c r="M88" s="519">
        <f t="shared" ref="M88" si="189">SUM(M89:M91)</f>
        <v>0</v>
      </c>
      <c r="N88" s="519">
        <f t="shared" ref="N88" si="190">SUM(N89:N91)</f>
        <v>0</v>
      </c>
      <c r="O88" s="519">
        <f t="shared" ref="O88" si="191">SUM(O89:O91)</f>
        <v>0</v>
      </c>
      <c r="P88" s="519">
        <f t="shared" ref="P88" si="192">SUM(P89:P91)</f>
        <v>558.11</v>
      </c>
      <c r="Q88" s="519">
        <f t="shared" ref="Q88" si="193">SUM(Q89:Q91)</f>
        <v>60</v>
      </c>
      <c r="R88" s="519">
        <f t="shared" ref="R88" si="194">SUM(R89:R91)</f>
        <v>11162200</v>
      </c>
      <c r="S88" s="519">
        <f t="shared" ref="S88" si="195">SUM(S89:S91)</f>
        <v>11162200</v>
      </c>
    </row>
    <row r="89" spans="1:19" x14ac:dyDescent="0.25">
      <c r="A89" s="584"/>
      <c r="C89" s="587"/>
      <c r="D89" s="589"/>
      <c r="E89" s="586"/>
      <c r="F89" s="589" t="s">
        <v>504</v>
      </c>
      <c r="G89" s="589">
        <f t="shared" si="130"/>
        <v>75</v>
      </c>
      <c r="H89" s="573">
        <v>75</v>
      </c>
      <c r="I89" s="598"/>
      <c r="J89" s="584">
        <v>4.76</v>
      </c>
      <c r="K89" s="600">
        <f>J89-(J89*L89)</f>
        <v>0</v>
      </c>
      <c r="L89" s="599">
        <v>1</v>
      </c>
      <c r="M89" s="589"/>
      <c r="N89" s="589"/>
      <c r="O89" s="600"/>
      <c r="P89" s="589">
        <f t="shared" ref="P89" si="196">L89*J89*H89</f>
        <v>357</v>
      </c>
      <c r="Q89" s="589">
        <v>20</v>
      </c>
      <c r="R89" s="589">
        <f>P89*Q89*1000</f>
        <v>7140000</v>
      </c>
      <c r="S89" s="589">
        <f t="shared" si="134"/>
        <v>7140000</v>
      </c>
    </row>
    <row r="90" spans="1:19" x14ac:dyDescent="0.25">
      <c r="A90" s="584"/>
      <c r="B90" s="587"/>
      <c r="C90" s="587"/>
      <c r="D90" s="589"/>
      <c r="E90" s="586"/>
      <c r="F90" s="589" t="s">
        <v>474</v>
      </c>
      <c r="G90" s="589">
        <f t="shared" si="130"/>
        <v>5</v>
      </c>
      <c r="H90" s="573"/>
      <c r="I90" s="598">
        <v>5</v>
      </c>
      <c r="J90" s="584">
        <v>4.76</v>
      </c>
      <c r="K90" s="600">
        <f t="shared" si="131"/>
        <v>3.0939999999999999</v>
      </c>
      <c r="L90" s="599">
        <v>0.35</v>
      </c>
      <c r="M90" s="589"/>
      <c r="N90" s="589"/>
      <c r="O90" s="600"/>
      <c r="P90" s="589">
        <f>L90*J90*I90</f>
        <v>8.33</v>
      </c>
      <c r="Q90" s="589">
        <v>20</v>
      </c>
      <c r="R90" s="589">
        <f t="shared" si="133"/>
        <v>166600</v>
      </c>
      <c r="S90" s="589">
        <f t="shared" si="134"/>
        <v>166600</v>
      </c>
    </row>
    <row r="91" spans="1:19" x14ac:dyDescent="0.25">
      <c r="A91" s="584"/>
      <c r="B91" s="587"/>
      <c r="C91" s="587"/>
      <c r="D91" s="589"/>
      <c r="E91" s="586"/>
      <c r="F91" s="589" t="s">
        <v>487</v>
      </c>
      <c r="G91" s="589">
        <f t="shared" si="130"/>
        <v>81</v>
      </c>
      <c r="H91" s="573"/>
      <c r="I91" s="598">
        <v>81</v>
      </c>
      <c r="J91" s="584">
        <v>4.76</v>
      </c>
      <c r="K91" s="600">
        <f t="shared" si="131"/>
        <v>2.38</v>
      </c>
      <c r="L91" s="599">
        <v>0.5</v>
      </c>
      <c r="M91" s="589"/>
      <c r="N91" s="589"/>
      <c r="O91" s="600"/>
      <c r="P91" s="589">
        <f>L91*J91*I91</f>
        <v>192.78</v>
      </c>
      <c r="Q91" s="589">
        <v>20</v>
      </c>
      <c r="R91" s="589">
        <f t="shared" si="133"/>
        <v>3855600</v>
      </c>
      <c r="S91" s="589">
        <f t="shared" si="134"/>
        <v>3855600</v>
      </c>
    </row>
    <row r="92" spans="1:19" s="595" customFormat="1" x14ac:dyDescent="0.25">
      <c r="A92" s="590"/>
      <c r="B92" s="587" t="s">
        <v>570</v>
      </c>
      <c r="C92" s="591"/>
      <c r="D92" s="519">
        <f>SUM(D93:D94)</f>
        <v>0</v>
      </c>
      <c r="E92" s="519">
        <f t="shared" ref="E92" si="197">SUM(E93:E94)</f>
        <v>0</v>
      </c>
      <c r="F92" s="519">
        <f t="shared" ref="F92" si="198">SUM(F93:F94)</f>
        <v>0</v>
      </c>
      <c r="G92" s="519">
        <f t="shared" ref="G92" si="199">SUM(G93:G94)</f>
        <v>776</v>
      </c>
      <c r="H92" s="519">
        <f t="shared" ref="H92" si="200">SUM(H93:H94)</f>
        <v>0</v>
      </c>
      <c r="I92" s="519">
        <f t="shared" ref="I92" si="201">SUM(I93:I94)</f>
        <v>776</v>
      </c>
      <c r="J92" s="519">
        <f t="shared" ref="J92" si="202">SUM(J93:J94)</f>
        <v>9.52</v>
      </c>
      <c r="K92" s="519">
        <f t="shared" ref="K92" si="203">SUM(K93:K94)</f>
        <v>5.7119999999999997</v>
      </c>
      <c r="L92" s="519">
        <f t="shared" ref="L92" si="204">SUM(L93:L94)</f>
        <v>0.8</v>
      </c>
      <c r="M92" s="519">
        <f t="shared" ref="M92" si="205">SUM(M93:M94)</f>
        <v>0</v>
      </c>
      <c r="N92" s="519">
        <f t="shared" ref="N92" si="206">SUM(N93:N94)</f>
        <v>0</v>
      </c>
      <c r="O92" s="519">
        <f t="shared" ref="O92" si="207">SUM(O93:O94)</f>
        <v>0</v>
      </c>
      <c r="P92" s="519">
        <f t="shared" ref="P92" si="208">SUM(P93:P94)</f>
        <v>1388.9679999999998</v>
      </c>
      <c r="Q92" s="519">
        <f t="shared" ref="Q92" si="209">SUM(Q93:Q94)</f>
        <v>40</v>
      </c>
      <c r="R92" s="519">
        <f t="shared" ref="R92" si="210">SUM(R93:R94)</f>
        <v>27779360</v>
      </c>
      <c r="S92" s="519">
        <f t="shared" ref="S92" si="211">SUM(S93:S94)</f>
        <v>27779360</v>
      </c>
    </row>
    <row r="93" spans="1:19" x14ac:dyDescent="0.25">
      <c r="A93" s="584"/>
      <c r="C93" s="587"/>
      <c r="D93" s="589"/>
      <c r="E93" s="586"/>
      <c r="F93" s="589" t="s">
        <v>571</v>
      </c>
      <c r="G93" s="589">
        <f t="shared" si="130"/>
        <v>326</v>
      </c>
      <c r="H93" s="573"/>
      <c r="I93" s="598">
        <v>326</v>
      </c>
      <c r="J93" s="584">
        <v>4.76</v>
      </c>
      <c r="K93" s="600">
        <f t="shared" si="131"/>
        <v>2.1419999999999999</v>
      </c>
      <c r="L93" s="599">
        <v>0.55000000000000004</v>
      </c>
      <c r="M93" s="589"/>
      <c r="N93" s="589"/>
      <c r="O93" s="600"/>
      <c r="P93" s="589">
        <f>L93*J93*I93</f>
        <v>853.46799999999996</v>
      </c>
      <c r="Q93" s="589">
        <v>20</v>
      </c>
      <c r="R93" s="589">
        <f t="shared" si="133"/>
        <v>17069360</v>
      </c>
      <c r="S93" s="589">
        <f t="shared" si="134"/>
        <v>17069360</v>
      </c>
    </row>
    <row r="94" spans="1:19" x14ac:dyDescent="0.25">
      <c r="A94" s="584"/>
      <c r="B94" s="587"/>
      <c r="C94" s="587"/>
      <c r="D94" s="589"/>
      <c r="E94" s="586"/>
      <c r="F94" s="589" t="s">
        <v>487</v>
      </c>
      <c r="G94" s="589">
        <f t="shared" si="130"/>
        <v>450</v>
      </c>
      <c r="H94" s="573"/>
      <c r="I94" s="598">
        <v>450</v>
      </c>
      <c r="J94" s="584">
        <v>4.76</v>
      </c>
      <c r="K94" s="600">
        <f t="shared" si="131"/>
        <v>3.57</v>
      </c>
      <c r="L94" s="599">
        <v>0.25</v>
      </c>
      <c r="M94" s="589"/>
      <c r="N94" s="589"/>
      <c r="O94" s="600"/>
      <c r="P94" s="589">
        <f t="shared" ref="P94:P100" si="212">L94*J94*I94</f>
        <v>535.5</v>
      </c>
      <c r="Q94" s="589">
        <v>20</v>
      </c>
      <c r="R94" s="589">
        <f t="shared" si="133"/>
        <v>10710000</v>
      </c>
      <c r="S94" s="589">
        <f t="shared" si="134"/>
        <v>10710000</v>
      </c>
    </row>
    <row r="95" spans="1:19" x14ac:dyDescent="0.25">
      <c r="A95" s="584"/>
      <c r="B95" s="587" t="s">
        <v>572</v>
      </c>
      <c r="C95" s="587"/>
      <c r="D95" s="589"/>
      <c r="E95" s="586"/>
      <c r="F95" s="589" t="s">
        <v>573</v>
      </c>
      <c r="G95" s="589">
        <f t="shared" si="130"/>
        <v>635</v>
      </c>
      <c r="H95" s="573"/>
      <c r="I95" s="598">
        <f>453.25+181.75</f>
        <v>635</v>
      </c>
      <c r="J95" s="584">
        <v>4.76</v>
      </c>
      <c r="K95" s="600">
        <f t="shared" si="131"/>
        <v>0.47599999999999998</v>
      </c>
      <c r="L95" s="599">
        <v>0.9</v>
      </c>
      <c r="M95" s="589"/>
      <c r="N95" s="589"/>
      <c r="O95" s="600"/>
      <c r="P95" s="589">
        <f t="shared" si="212"/>
        <v>2720.3399999999997</v>
      </c>
      <c r="Q95" s="589">
        <v>20</v>
      </c>
      <c r="R95" s="589">
        <f t="shared" si="133"/>
        <v>54406799.999999993</v>
      </c>
      <c r="S95" s="589">
        <f t="shared" si="134"/>
        <v>54406799.999999993</v>
      </c>
    </row>
    <row r="96" spans="1:19" x14ac:dyDescent="0.25">
      <c r="A96" s="584"/>
      <c r="B96" s="587" t="s">
        <v>574</v>
      </c>
      <c r="C96" s="587"/>
      <c r="D96" s="589"/>
      <c r="E96" s="586"/>
      <c r="F96" s="589" t="s">
        <v>504</v>
      </c>
      <c r="G96" s="589">
        <f t="shared" si="130"/>
        <v>30</v>
      </c>
      <c r="H96" s="573"/>
      <c r="I96" s="598">
        <v>30</v>
      </c>
      <c r="J96" s="584">
        <v>4.76</v>
      </c>
      <c r="K96" s="600">
        <f t="shared" si="131"/>
        <v>1.19</v>
      </c>
      <c r="L96" s="599">
        <v>0.75</v>
      </c>
      <c r="M96" s="589"/>
      <c r="N96" s="589"/>
      <c r="O96" s="600"/>
      <c r="P96" s="589">
        <f t="shared" si="212"/>
        <v>107.1</v>
      </c>
      <c r="Q96" s="589">
        <v>20</v>
      </c>
      <c r="R96" s="589">
        <f t="shared" si="133"/>
        <v>2142000</v>
      </c>
      <c r="S96" s="589">
        <f t="shared" si="134"/>
        <v>2142000</v>
      </c>
    </row>
    <row r="97" spans="1:19" x14ac:dyDescent="0.25">
      <c r="A97" s="584"/>
      <c r="B97" s="587" t="s">
        <v>575</v>
      </c>
      <c r="C97" s="587"/>
      <c r="D97" s="589"/>
      <c r="E97" s="586"/>
      <c r="F97" s="589" t="s">
        <v>504</v>
      </c>
      <c r="G97" s="589">
        <f t="shared" si="130"/>
        <v>150</v>
      </c>
      <c r="H97" s="573"/>
      <c r="I97" s="598">
        <v>150</v>
      </c>
      <c r="J97" s="584">
        <v>4.76</v>
      </c>
      <c r="K97" s="600">
        <f t="shared" si="131"/>
        <v>3.0939999999999999</v>
      </c>
      <c r="L97" s="599">
        <v>0.35</v>
      </c>
      <c r="M97" s="589"/>
      <c r="N97" s="589"/>
      <c r="O97" s="600"/>
      <c r="P97" s="589">
        <f t="shared" si="212"/>
        <v>249.89999999999998</v>
      </c>
      <c r="Q97" s="589">
        <v>20</v>
      </c>
      <c r="R97" s="589">
        <f t="shared" si="133"/>
        <v>4998000</v>
      </c>
      <c r="S97" s="589">
        <f t="shared" si="134"/>
        <v>4998000</v>
      </c>
    </row>
    <row r="98" spans="1:19" s="595" customFormat="1" x14ac:dyDescent="0.25">
      <c r="A98" s="590"/>
      <c r="B98" s="587" t="s">
        <v>576</v>
      </c>
      <c r="C98" s="591"/>
      <c r="D98" s="519">
        <f>SUM(D99:D100)</f>
        <v>0</v>
      </c>
      <c r="E98" s="519">
        <f t="shared" ref="E98" si="213">SUM(E99:E100)</f>
        <v>0</v>
      </c>
      <c r="F98" s="519">
        <f t="shared" ref="F98" si="214">SUM(F99:F100)</f>
        <v>0</v>
      </c>
      <c r="G98" s="519">
        <f t="shared" ref="G98" si="215">SUM(G99:G100)</f>
        <v>40</v>
      </c>
      <c r="H98" s="519">
        <f t="shared" ref="H98" si="216">SUM(H99:H100)</f>
        <v>0</v>
      </c>
      <c r="I98" s="519">
        <f t="shared" ref="I98" si="217">SUM(I99:I100)</f>
        <v>40</v>
      </c>
      <c r="J98" s="519">
        <f t="shared" ref="J98" si="218">SUM(J99:J100)</f>
        <v>9.52</v>
      </c>
      <c r="K98" s="519">
        <f t="shared" ref="K98" si="219">SUM(K99:K100)</f>
        <v>4.76</v>
      </c>
      <c r="L98" s="519">
        <f t="shared" ref="L98" si="220">SUM(L99:L100)</f>
        <v>1</v>
      </c>
      <c r="M98" s="519">
        <f t="shared" ref="M98" si="221">SUM(M99:M100)</f>
        <v>0</v>
      </c>
      <c r="N98" s="519">
        <f t="shared" ref="N98" si="222">SUM(N99:N100)</f>
        <v>0</v>
      </c>
      <c r="O98" s="519">
        <f t="shared" ref="O98" si="223">SUM(O99:O100)</f>
        <v>0</v>
      </c>
      <c r="P98" s="519">
        <f t="shared" ref="P98" si="224">SUM(P99:P100)</f>
        <v>114.24</v>
      </c>
      <c r="Q98" s="519">
        <f t="shared" ref="Q98" si="225">SUM(Q99:Q100)</f>
        <v>40</v>
      </c>
      <c r="R98" s="519">
        <f t="shared" ref="R98" si="226">SUM(R99:R100)</f>
        <v>2284799.9999999995</v>
      </c>
      <c r="S98" s="519">
        <f t="shared" ref="S98" si="227">SUM(S99:S100)</f>
        <v>2284799.9999999995</v>
      </c>
    </row>
    <row r="99" spans="1:19" x14ac:dyDescent="0.25">
      <c r="A99" s="584"/>
      <c r="C99" s="587"/>
      <c r="D99" s="589"/>
      <c r="E99" s="586"/>
      <c r="F99" s="589" t="s">
        <v>504</v>
      </c>
      <c r="G99" s="589">
        <f t="shared" si="130"/>
        <v>30</v>
      </c>
      <c r="H99" s="573"/>
      <c r="I99" s="598">
        <v>30</v>
      </c>
      <c r="J99" s="584">
        <v>4.76</v>
      </c>
      <c r="K99" s="600">
        <f t="shared" si="131"/>
        <v>1.4279999999999999</v>
      </c>
      <c r="L99" s="599">
        <v>0.7</v>
      </c>
      <c r="M99" s="589"/>
      <c r="N99" s="589"/>
      <c r="O99" s="600"/>
      <c r="P99" s="589">
        <f t="shared" si="212"/>
        <v>99.96</v>
      </c>
      <c r="Q99" s="589">
        <v>20</v>
      </c>
      <c r="R99" s="589">
        <f t="shared" si="133"/>
        <v>1999199.9999999998</v>
      </c>
      <c r="S99" s="589">
        <f t="shared" si="134"/>
        <v>1999199.9999999998</v>
      </c>
    </row>
    <row r="100" spans="1:19" x14ac:dyDescent="0.25">
      <c r="A100" s="584"/>
      <c r="B100" s="587"/>
      <c r="C100" s="587"/>
      <c r="D100" s="589"/>
      <c r="E100" s="586"/>
      <c r="F100" s="589" t="s">
        <v>577</v>
      </c>
      <c r="G100" s="589">
        <f t="shared" si="130"/>
        <v>10</v>
      </c>
      <c r="H100" s="573"/>
      <c r="I100" s="598">
        <v>10</v>
      </c>
      <c r="J100" s="584">
        <v>4.76</v>
      </c>
      <c r="K100" s="600">
        <f t="shared" si="131"/>
        <v>3.3319999999999999</v>
      </c>
      <c r="L100" s="599">
        <v>0.3</v>
      </c>
      <c r="M100" s="589"/>
      <c r="N100" s="589"/>
      <c r="O100" s="600"/>
      <c r="P100" s="589">
        <f t="shared" si="212"/>
        <v>14.28</v>
      </c>
      <c r="Q100" s="589">
        <v>20</v>
      </c>
      <c r="R100" s="589">
        <f t="shared" si="133"/>
        <v>285599.99999999994</v>
      </c>
      <c r="S100" s="589">
        <f t="shared" si="134"/>
        <v>285599.99999999994</v>
      </c>
    </row>
    <row r="101" spans="1:19" s="595" customFormat="1" x14ac:dyDescent="0.25">
      <c r="A101" s="590"/>
      <c r="B101" s="587" t="s">
        <v>578</v>
      </c>
      <c r="C101" s="591"/>
      <c r="D101" s="519">
        <f>SUM(D102:D103)</f>
        <v>0</v>
      </c>
      <c r="E101" s="519">
        <f t="shared" ref="E101" si="228">SUM(E102:E103)</f>
        <v>0</v>
      </c>
      <c r="F101" s="519">
        <f t="shared" ref="F101" si="229">SUM(F102:F103)</f>
        <v>0</v>
      </c>
      <c r="G101" s="519">
        <f t="shared" ref="G101" si="230">SUM(G102:G103)</f>
        <v>99.5</v>
      </c>
      <c r="H101" s="519">
        <f t="shared" ref="H101" si="231">SUM(H102:H103)</f>
        <v>1.5</v>
      </c>
      <c r="I101" s="519">
        <f t="shared" ref="I101" si="232">SUM(I102:I103)</f>
        <v>98</v>
      </c>
      <c r="J101" s="519">
        <f t="shared" ref="J101" si="233">SUM(J102:J103)</f>
        <v>9.52</v>
      </c>
      <c r="K101" s="519">
        <f t="shared" ref="K101" si="234">SUM(K102:K103)</f>
        <v>3.57</v>
      </c>
      <c r="L101" s="519">
        <f t="shared" ref="L101" si="235">SUM(L102:L103)</f>
        <v>1.25</v>
      </c>
      <c r="M101" s="519">
        <f t="shared" ref="M101" si="236">SUM(M102:M103)</f>
        <v>0</v>
      </c>
      <c r="N101" s="519">
        <f t="shared" ref="N101" si="237">SUM(N102:N103)</f>
        <v>0</v>
      </c>
      <c r="O101" s="519">
        <f t="shared" ref="O101" si="238">SUM(O102:O103)</f>
        <v>0</v>
      </c>
      <c r="P101" s="519">
        <f t="shared" ref="P101" si="239">SUM(P102:P103)</f>
        <v>123.75999999999999</v>
      </c>
      <c r="Q101" s="519">
        <f t="shared" ref="Q101" si="240">SUM(Q102:Q103)</f>
        <v>40</v>
      </c>
      <c r="R101" s="519">
        <f t="shared" ref="R101" si="241">SUM(R102:R103)</f>
        <v>2475199.9999999995</v>
      </c>
      <c r="S101" s="519">
        <f t="shared" ref="S101" si="242">SUM(S102:S103)</f>
        <v>2475199.9999999995</v>
      </c>
    </row>
    <row r="102" spans="1:19" x14ac:dyDescent="0.25">
      <c r="A102" s="584"/>
      <c r="C102" s="587"/>
      <c r="D102" s="589"/>
      <c r="E102" s="586"/>
      <c r="F102" s="589" t="s">
        <v>487</v>
      </c>
      <c r="G102" s="589">
        <f t="shared" si="130"/>
        <v>1.5</v>
      </c>
      <c r="H102" s="573">
        <v>1.5</v>
      </c>
      <c r="I102" s="598"/>
      <c r="J102" s="584">
        <v>4.76</v>
      </c>
      <c r="K102" s="600">
        <f t="shared" si="131"/>
        <v>0</v>
      </c>
      <c r="L102" s="599">
        <v>1</v>
      </c>
      <c r="M102" s="589"/>
      <c r="N102" s="589"/>
      <c r="O102" s="600"/>
      <c r="P102" s="589">
        <f>L102*J102*H102</f>
        <v>7.14</v>
      </c>
      <c r="Q102" s="589">
        <v>20</v>
      </c>
      <c r="R102" s="589">
        <f t="shared" si="133"/>
        <v>142799.99999999997</v>
      </c>
      <c r="S102" s="589">
        <f t="shared" si="134"/>
        <v>142799.99999999997</v>
      </c>
    </row>
    <row r="103" spans="1:19" x14ac:dyDescent="0.25">
      <c r="A103" s="584"/>
      <c r="B103" s="587"/>
      <c r="C103" s="587"/>
      <c r="D103" s="589"/>
      <c r="E103" s="586"/>
      <c r="F103" s="589" t="s">
        <v>487</v>
      </c>
      <c r="G103" s="589">
        <f t="shared" si="130"/>
        <v>98</v>
      </c>
      <c r="H103" s="573"/>
      <c r="I103" s="598">
        <v>98</v>
      </c>
      <c r="J103" s="584">
        <v>4.76</v>
      </c>
      <c r="K103" s="600">
        <f t="shared" si="131"/>
        <v>3.57</v>
      </c>
      <c r="L103" s="599">
        <v>0.25</v>
      </c>
      <c r="M103" s="589"/>
      <c r="N103" s="589"/>
      <c r="O103" s="600"/>
      <c r="P103" s="589">
        <f>L103*J103*I103</f>
        <v>116.61999999999999</v>
      </c>
      <c r="Q103" s="589">
        <v>20</v>
      </c>
      <c r="R103" s="589">
        <f t="shared" si="133"/>
        <v>2332399.9999999995</v>
      </c>
      <c r="S103" s="589">
        <f t="shared" si="134"/>
        <v>2332399.9999999995</v>
      </c>
    </row>
    <row r="104" spans="1:19" s="595" customFormat="1" x14ac:dyDescent="0.25">
      <c r="A104" s="590"/>
      <c r="B104" s="587" t="s">
        <v>579</v>
      </c>
      <c r="C104" s="591"/>
      <c r="D104" s="519">
        <f>SUM(D105:D107)</f>
        <v>0</v>
      </c>
      <c r="E104" s="519">
        <f>SUM(E105:E107)</f>
        <v>0</v>
      </c>
      <c r="F104" s="519">
        <f t="shared" ref="F104" si="243">SUM(F105:F107)</f>
        <v>0</v>
      </c>
      <c r="G104" s="519">
        <f t="shared" ref="G104" si="244">SUM(G105:G107)</f>
        <v>473.7</v>
      </c>
      <c r="H104" s="519">
        <f t="shared" ref="H104" si="245">SUM(H105:H107)</f>
        <v>0</v>
      </c>
      <c r="I104" s="519">
        <f t="shared" ref="I104" si="246">SUM(I105:I107)</f>
        <v>473.7</v>
      </c>
      <c r="J104" s="519">
        <f t="shared" ref="J104" si="247">SUM(J105:J107)</f>
        <v>14.28</v>
      </c>
      <c r="K104" s="519">
        <f t="shared" ref="K104" si="248">SUM(K105:K107)</f>
        <v>8.8060000000000009</v>
      </c>
      <c r="L104" s="519">
        <f t="shared" ref="L104" si="249">SUM(L105:L107)</f>
        <v>1.1499999999999999</v>
      </c>
      <c r="M104" s="519">
        <f t="shared" ref="M104" si="250">SUM(M105:M107)</f>
        <v>0</v>
      </c>
      <c r="N104" s="519">
        <f t="shared" ref="N104" si="251">SUM(N105:N107)</f>
        <v>0</v>
      </c>
      <c r="O104" s="519">
        <f t="shared" ref="O104" si="252">SUM(O105:O107)</f>
        <v>0</v>
      </c>
      <c r="P104" s="519">
        <f t="shared" ref="P104" si="253">SUM(P105:P107)</f>
        <v>912.52769999999987</v>
      </c>
      <c r="Q104" s="519">
        <f t="shared" ref="Q104" si="254">SUM(Q105:Q107)</f>
        <v>60</v>
      </c>
      <c r="R104" s="519">
        <f t="shared" ref="R104" si="255">SUM(R105:R107)</f>
        <v>18250554</v>
      </c>
      <c r="S104" s="519">
        <f t="shared" ref="S104" si="256">SUM(S105:S107)</f>
        <v>18250554</v>
      </c>
    </row>
    <row r="105" spans="1:19" x14ac:dyDescent="0.25">
      <c r="A105" s="584"/>
      <c r="C105" s="587"/>
      <c r="D105" s="589"/>
      <c r="E105" s="586"/>
      <c r="F105" s="589" t="s">
        <v>487</v>
      </c>
      <c r="G105" s="589">
        <f t="shared" si="130"/>
        <v>237.95</v>
      </c>
      <c r="H105" s="573"/>
      <c r="I105" s="598">
        <v>237.95</v>
      </c>
      <c r="J105" s="584">
        <v>4.76</v>
      </c>
      <c r="K105" s="600">
        <f t="shared" si="131"/>
        <v>3.0939999999999999</v>
      </c>
      <c r="L105" s="599">
        <v>0.35</v>
      </c>
      <c r="M105" s="589"/>
      <c r="N105" s="589"/>
      <c r="O105" s="600"/>
      <c r="P105" s="589">
        <f>L105*J105*I105</f>
        <v>396.42469999999997</v>
      </c>
      <c r="Q105" s="589">
        <v>20</v>
      </c>
      <c r="R105" s="589">
        <f t="shared" si="133"/>
        <v>7928494</v>
      </c>
      <c r="S105" s="589">
        <f t="shared" si="134"/>
        <v>7928494</v>
      </c>
    </row>
    <row r="106" spans="1:19" x14ac:dyDescent="0.25">
      <c r="A106" s="584"/>
      <c r="B106" s="587"/>
      <c r="C106" s="587"/>
      <c r="D106" s="589"/>
      <c r="E106" s="586"/>
      <c r="F106" s="589" t="s">
        <v>504</v>
      </c>
      <c r="G106" s="589">
        <f t="shared" si="130"/>
        <v>188.5</v>
      </c>
      <c r="H106" s="573"/>
      <c r="I106" s="598">
        <f>125.5+63</f>
        <v>188.5</v>
      </c>
      <c r="J106" s="584">
        <v>4.76</v>
      </c>
      <c r="K106" s="600">
        <f t="shared" si="131"/>
        <v>2.38</v>
      </c>
      <c r="L106" s="599">
        <v>0.5</v>
      </c>
      <c r="M106" s="589"/>
      <c r="N106" s="589"/>
      <c r="O106" s="600"/>
      <c r="P106" s="589">
        <f>L106*J106*I106</f>
        <v>448.63</v>
      </c>
      <c r="Q106" s="589">
        <v>20</v>
      </c>
      <c r="R106" s="589">
        <f t="shared" si="133"/>
        <v>8972600</v>
      </c>
      <c r="S106" s="589">
        <f t="shared" si="134"/>
        <v>8972600</v>
      </c>
    </row>
    <row r="107" spans="1:19" x14ac:dyDescent="0.25">
      <c r="A107" s="584"/>
      <c r="B107" s="587"/>
      <c r="C107" s="587"/>
      <c r="D107" s="589"/>
      <c r="E107" s="586"/>
      <c r="F107" s="589" t="s">
        <v>474</v>
      </c>
      <c r="G107" s="589">
        <f t="shared" si="130"/>
        <v>47.25</v>
      </c>
      <c r="H107" s="573"/>
      <c r="I107" s="598">
        <v>47.25</v>
      </c>
      <c r="J107" s="584">
        <v>4.76</v>
      </c>
      <c r="K107" s="600">
        <f t="shared" si="131"/>
        <v>3.3319999999999999</v>
      </c>
      <c r="L107" s="599">
        <v>0.3</v>
      </c>
      <c r="M107" s="589"/>
      <c r="N107" s="589"/>
      <c r="O107" s="600"/>
      <c r="P107" s="589">
        <f>L107*J107*I107</f>
        <v>67.472999999999999</v>
      </c>
      <c r="Q107" s="589">
        <v>20</v>
      </c>
      <c r="R107" s="589">
        <f t="shared" si="133"/>
        <v>1349460</v>
      </c>
      <c r="S107" s="589">
        <f t="shared" si="134"/>
        <v>1349460</v>
      </c>
    </row>
    <row r="108" spans="1:19" s="595" customFormat="1" x14ac:dyDescent="0.25">
      <c r="A108" s="590"/>
      <c r="B108" s="587" t="s">
        <v>508</v>
      </c>
      <c r="C108" s="591"/>
      <c r="D108" s="519">
        <f>SUM(D109:D110)</f>
        <v>0</v>
      </c>
      <c r="E108" s="519">
        <f t="shared" ref="E108" si="257">SUM(E109:E110)</f>
        <v>0</v>
      </c>
      <c r="F108" s="519">
        <f t="shared" ref="F108" si="258">SUM(F109:F110)</f>
        <v>0</v>
      </c>
      <c r="G108" s="519">
        <f t="shared" ref="G108" si="259">SUM(G109:G110)</f>
        <v>1626.08</v>
      </c>
      <c r="H108" s="519">
        <f t="shared" ref="H108" si="260">SUM(H109:H110)</f>
        <v>10</v>
      </c>
      <c r="I108" s="519">
        <f t="shared" ref="I108" si="261">SUM(I109:I110)</f>
        <v>1616.08</v>
      </c>
      <c r="J108" s="519">
        <f t="shared" ref="J108" si="262">SUM(J109:J110)</f>
        <v>9.52</v>
      </c>
      <c r="K108" s="519">
        <f t="shared" ref="K108" si="263">SUM(K109:K110)</f>
        <v>1.4279999999999999</v>
      </c>
      <c r="L108" s="519">
        <f t="shared" ref="L108" si="264">SUM(L109:L110)</f>
        <v>1.7</v>
      </c>
      <c r="M108" s="519">
        <f t="shared" ref="M108" si="265">SUM(M109:M110)</f>
        <v>0</v>
      </c>
      <c r="N108" s="519">
        <f t="shared" ref="N108" si="266">SUM(N109:N110)</f>
        <v>0</v>
      </c>
      <c r="O108" s="519">
        <f t="shared" ref="O108" si="267">SUM(O109:O110)</f>
        <v>0</v>
      </c>
      <c r="P108" s="519">
        <f t="shared" ref="P108" si="268">SUM(P109:P110)</f>
        <v>5432.3785600000001</v>
      </c>
      <c r="Q108" s="519">
        <f t="shared" ref="Q108" si="269">SUM(Q109:Q110)</f>
        <v>40</v>
      </c>
      <c r="R108" s="519">
        <f t="shared" ref="R108" si="270">SUM(R109:R110)</f>
        <v>108647571.19999999</v>
      </c>
      <c r="S108" s="519">
        <f t="shared" ref="S108" si="271">SUM(S109:S110)</f>
        <v>108647571.19999999</v>
      </c>
    </row>
    <row r="109" spans="1:19" x14ac:dyDescent="0.25">
      <c r="A109" s="584"/>
      <c r="C109" s="587"/>
      <c r="D109" s="589"/>
      <c r="E109" s="586"/>
      <c r="F109" s="589" t="s">
        <v>504</v>
      </c>
      <c r="G109" s="589">
        <f t="shared" si="130"/>
        <v>1616.08</v>
      </c>
      <c r="H109" s="573"/>
      <c r="I109" s="598">
        <f>851.44+662.8+101.84</f>
        <v>1616.08</v>
      </c>
      <c r="J109" s="584">
        <v>4.76</v>
      </c>
      <c r="K109" s="600">
        <f t="shared" si="131"/>
        <v>1.4279999999999999</v>
      </c>
      <c r="L109" s="599">
        <v>0.7</v>
      </c>
      <c r="M109" s="589"/>
      <c r="N109" s="589"/>
      <c r="O109" s="600"/>
      <c r="P109" s="589">
        <f>L109*J109*I109</f>
        <v>5384.7785599999997</v>
      </c>
      <c r="Q109" s="589">
        <v>20</v>
      </c>
      <c r="R109" s="589">
        <f t="shared" si="133"/>
        <v>107695571.19999999</v>
      </c>
      <c r="S109" s="589">
        <f t="shared" si="134"/>
        <v>107695571.19999999</v>
      </c>
    </row>
    <row r="110" spans="1:19" x14ac:dyDescent="0.25">
      <c r="A110" s="584"/>
      <c r="B110" s="587"/>
      <c r="C110" s="587"/>
      <c r="D110" s="589"/>
      <c r="E110" s="586"/>
      <c r="F110" s="589" t="s">
        <v>504</v>
      </c>
      <c r="G110" s="589">
        <f t="shared" si="130"/>
        <v>10</v>
      </c>
      <c r="H110" s="573">
        <v>10</v>
      </c>
      <c r="I110" s="598"/>
      <c r="J110" s="584">
        <v>4.76</v>
      </c>
      <c r="K110" s="600">
        <f t="shared" si="131"/>
        <v>0</v>
      </c>
      <c r="L110" s="599">
        <v>1</v>
      </c>
      <c r="M110" s="589"/>
      <c r="N110" s="589"/>
      <c r="O110" s="600"/>
      <c r="P110" s="589">
        <f>L110*J110*H110</f>
        <v>47.599999999999994</v>
      </c>
      <c r="Q110" s="589">
        <v>20</v>
      </c>
      <c r="R110" s="589">
        <f t="shared" si="133"/>
        <v>951999.99999999988</v>
      </c>
      <c r="S110" s="589">
        <f t="shared" si="134"/>
        <v>951999.99999999988</v>
      </c>
    </row>
    <row r="111" spans="1:19" s="595" customFormat="1" x14ac:dyDescent="0.25">
      <c r="A111" s="590"/>
      <c r="B111" s="587" t="s">
        <v>580</v>
      </c>
      <c r="C111" s="591"/>
      <c r="D111" s="519">
        <f>SUM(D112:D114)</f>
        <v>0</v>
      </c>
      <c r="E111" s="519">
        <f>SUM(E112:E114)</f>
        <v>0</v>
      </c>
      <c r="F111" s="519">
        <f t="shared" ref="F111" si="272">SUM(F112:F114)</f>
        <v>0</v>
      </c>
      <c r="G111" s="519">
        <f t="shared" ref="G111" si="273">SUM(G112:G114)</f>
        <v>28</v>
      </c>
      <c r="H111" s="519">
        <f t="shared" ref="H111" si="274">SUM(H112:H114)</f>
        <v>3.5</v>
      </c>
      <c r="I111" s="519">
        <f t="shared" ref="I111" si="275">SUM(I112:I114)</f>
        <v>24.5</v>
      </c>
      <c r="J111" s="519">
        <f t="shared" ref="J111" si="276">SUM(J112:J114)</f>
        <v>14.28</v>
      </c>
      <c r="K111" s="519">
        <f t="shared" ref="K111" si="277">SUM(K112:K114)</f>
        <v>1.9039999999999999</v>
      </c>
      <c r="L111" s="519">
        <f t="shared" ref="L111" si="278">SUM(L112:L114)</f>
        <v>2.6</v>
      </c>
      <c r="M111" s="519">
        <f t="shared" ref="M111" si="279">SUM(M112:M114)</f>
        <v>0</v>
      </c>
      <c r="N111" s="519">
        <f t="shared" ref="N111" si="280">SUM(N112:N114)</f>
        <v>0</v>
      </c>
      <c r="O111" s="519">
        <f t="shared" ref="O111" si="281">SUM(O112:O114)</f>
        <v>0</v>
      </c>
      <c r="P111" s="519">
        <f t="shared" ref="P111" si="282">SUM(P112:P114)</f>
        <v>99.245999999999995</v>
      </c>
      <c r="Q111" s="519">
        <f t="shared" ref="Q111" si="283">SUM(Q112:Q114)</f>
        <v>60</v>
      </c>
      <c r="R111" s="519">
        <f t="shared" ref="R111" si="284">SUM(R112:R114)</f>
        <v>1984920</v>
      </c>
      <c r="S111" s="519">
        <f t="shared" ref="S111" si="285">SUM(S112:S114)</f>
        <v>1984920</v>
      </c>
    </row>
    <row r="112" spans="1:19" x14ac:dyDescent="0.25">
      <c r="A112" s="584"/>
      <c r="C112" s="587"/>
      <c r="D112" s="589"/>
      <c r="E112" s="586"/>
      <c r="F112" s="589" t="s">
        <v>504</v>
      </c>
      <c r="G112" s="589">
        <f t="shared" si="130"/>
        <v>23.5</v>
      </c>
      <c r="H112" s="573"/>
      <c r="I112" s="598">
        <v>23.5</v>
      </c>
      <c r="J112" s="584">
        <v>4.76</v>
      </c>
      <c r="K112" s="600">
        <f t="shared" si="131"/>
        <v>1.4279999999999999</v>
      </c>
      <c r="L112" s="599">
        <v>0.7</v>
      </c>
      <c r="M112" s="589"/>
      <c r="N112" s="589"/>
      <c r="O112" s="600"/>
      <c r="P112" s="589">
        <f>L112*J112*G112</f>
        <v>78.301999999999992</v>
      </c>
      <c r="Q112" s="589">
        <v>20</v>
      </c>
      <c r="R112" s="589">
        <f t="shared" si="133"/>
        <v>1566040</v>
      </c>
      <c r="S112" s="589">
        <f t="shared" si="134"/>
        <v>1566040</v>
      </c>
    </row>
    <row r="113" spans="1:19" x14ac:dyDescent="0.25">
      <c r="A113" s="584"/>
      <c r="B113" s="587"/>
      <c r="C113" s="587"/>
      <c r="D113" s="589"/>
      <c r="E113" s="586"/>
      <c r="F113" s="589" t="s">
        <v>481</v>
      </c>
      <c r="G113" s="589">
        <f t="shared" si="130"/>
        <v>1</v>
      </c>
      <c r="H113" s="573"/>
      <c r="I113" s="598">
        <v>1</v>
      </c>
      <c r="J113" s="584">
        <v>4.76</v>
      </c>
      <c r="K113" s="600">
        <f t="shared" si="131"/>
        <v>0.47599999999999998</v>
      </c>
      <c r="L113" s="599">
        <v>0.9</v>
      </c>
      <c r="M113" s="589"/>
      <c r="N113" s="589"/>
      <c r="O113" s="600"/>
      <c r="P113" s="589">
        <f>L113*J113*I113</f>
        <v>4.2839999999999998</v>
      </c>
      <c r="Q113" s="589">
        <v>20</v>
      </c>
      <c r="R113" s="589">
        <f t="shared" si="133"/>
        <v>85679.999999999985</v>
      </c>
      <c r="S113" s="589">
        <f t="shared" si="134"/>
        <v>85679.999999999985</v>
      </c>
    </row>
    <row r="114" spans="1:19" x14ac:dyDescent="0.25">
      <c r="A114" s="584"/>
      <c r="B114" s="587"/>
      <c r="C114" s="587"/>
      <c r="D114" s="589"/>
      <c r="E114" s="586"/>
      <c r="F114" s="589" t="s">
        <v>581</v>
      </c>
      <c r="G114" s="589">
        <f t="shared" si="130"/>
        <v>3.5</v>
      </c>
      <c r="H114" s="573">
        <v>3.5</v>
      </c>
      <c r="I114" s="598"/>
      <c r="J114" s="584">
        <v>4.76</v>
      </c>
      <c r="K114" s="600">
        <f t="shared" si="131"/>
        <v>0</v>
      </c>
      <c r="L114" s="599">
        <v>1</v>
      </c>
      <c r="M114" s="589"/>
      <c r="N114" s="589"/>
      <c r="O114" s="600"/>
      <c r="P114" s="589">
        <f t="shared" ref="P114" si="286">L114*J114*H114</f>
        <v>16.66</v>
      </c>
      <c r="Q114" s="589">
        <v>20</v>
      </c>
      <c r="R114" s="589">
        <f t="shared" si="133"/>
        <v>333200</v>
      </c>
      <c r="S114" s="589">
        <f t="shared" si="134"/>
        <v>333200</v>
      </c>
    </row>
    <row r="115" spans="1:19" s="595" customFormat="1" x14ac:dyDescent="0.25">
      <c r="A115" s="590"/>
      <c r="B115" s="587" t="s">
        <v>582</v>
      </c>
      <c r="C115" s="591"/>
      <c r="D115" s="519">
        <f>SUM(D116:D118)</f>
        <v>0</v>
      </c>
      <c r="E115" s="519">
        <f>SUM(E116:E118)</f>
        <v>0</v>
      </c>
      <c r="F115" s="519">
        <f t="shared" ref="F115" si="287">SUM(F116:F118)</f>
        <v>0</v>
      </c>
      <c r="G115" s="519">
        <f t="shared" ref="G115" si="288">SUM(G116:G118)</f>
        <v>2036</v>
      </c>
      <c r="H115" s="519">
        <f t="shared" ref="H115" si="289">SUM(H116:H118)</f>
        <v>961</v>
      </c>
      <c r="I115" s="519">
        <f t="shared" ref="I115" si="290">SUM(I116:I118)</f>
        <v>1075</v>
      </c>
      <c r="J115" s="519">
        <f t="shared" ref="J115" si="291">SUM(J116:J118)</f>
        <v>14.28</v>
      </c>
      <c r="K115" s="519">
        <f t="shared" ref="K115" si="292">SUM(K116:K118)</f>
        <v>4.76</v>
      </c>
      <c r="L115" s="519">
        <f t="shared" ref="L115" si="293">SUM(L116:L118)</f>
        <v>2</v>
      </c>
      <c r="M115" s="519">
        <f t="shared" ref="M115" si="294">SUM(M116:M118)</f>
        <v>0</v>
      </c>
      <c r="N115" s="519">
        <f t="shared" ref="N115" si="295">SUM(N116:N118)</f>
        <v>0</v>
      </c>
      <c r="O115" s="519">
        <f t="shared" ref="O115" si="296">SUM(O116:O118)</f>
        <v>0</v>
      </c>
      <c r="P115" s="519">
        <f t="shared" ref="P115" si="297">SUM(P116:P118)</f>
        <v>7132.86</v>
      </c>
      <c r="Q115" s="519">
        <f t="shared" ref="Q115" si="298">SUM(Q116:Q118)</f>
        <v>60</v>
      </c>
      <c r="R115" s="519">
        <f t="shared" ref="R115" si="299">SUM(R116:R118)</f>
        <v>142657200</v>
      </c>
      <c r="S115" s="519">
        <f t="shared" ref="S115" si="300">SUM(S116:S118)</f>
        <v>142657200</v>
      </c>
    </row>
    <row r="116" spans="1:19" x14ac:dyDescent="0.25">
      <c r="A116" s="584"/>
      <c r="C116" s="587"/>
      <c r="D116" s="589"/>
      <c r="E116" s="586"/>
      <c r="F116" s="589" t="s">
        <v>504</v>
      </c>
      <c r="G116" s="589">
        <f t="shared" si="130"/>
        <v>961</v>
      </c>
      <c r="H116" s="573">
        <v>961</v>
      </c>
      <c r="I116" s="598"/>
      <c r="J116" s="584">
        <v>4.76</v>
      </c>
      <c r="K116" s="600">
        <f>J116-(J116*L116)</f>
        <v>0</v>
      </c>
      <c r="L116" s="599">
        <v>1</v>
      </c>
      <c r="M116" s="589"/>
      <c r="N116" s="589"/>
      <c r="O116" s="600"/>
      <c r="P116" s="589">
        <f>L116*J116*H116</f>
        <v>4574.3599999999997</v>
      </c>
      <c r="Q116" s="589">
        <v>20</v>
      </c>
      <c r="R116" s="589">
        <f t="shared" si="133"/>
        <v>91487200</v>
      </c>
      <c r="S116" s="589">
        <f t="shared" si="134"/>
        <v>91487200</v>
      </c>
    </row>
    <row r="117" spans="1:19" x14ac:dyDescent="0.25">
      <c r="A117" s="584"/>
      <c r="B117" s="587"/>
      <c r="C117" s="587"/>
      <c r="D117" s="589"/>
      <c r="E117" s="586"/>
      <c r="F117" s="589" t="s">
        <v>577</v>
      </c>
      <c r="G117" s="589">
        <f t="shared" si="130"/>
        <v>491</v>
      </c>
      <c r="H117" s="573"/>
      <c r="I117" s="598">
        <v>491</v>
      </c>
      <c r="J117" s="584">
        <v>4.76</v>
      </c>
      <c r="K117" s="600">
        <f t="shared" ref="K117:K118" si="301">J117-(J117*L117)</f>
        <v>2.38</v>
      </c>
      <c r="L117" s="599">
        <v>0.5</v>
      </c>
      <c r="M117" s="589"/>
      <c r="N117" s="589"/>
      <c r="O117" s="600"/>
      <c r="P117" s="589">
        <f>L117*J117*I117</f>
        <v>1168.58</v>
      </c>
      <c r="Q117" s="589">
        <v>20</v>
      </c>
      <c r="R117" s="589">
        <f t="shared" si="133"/>
        <v>23371600</v>
      </c>
      <c r="S117" s="589">
        <f t="shared" si="134"/>
        <v>23371600</v>
      </c>
    </row>
    <row r="118" spans="1:19" x14ac:dyDescent="0.25">
      <c r="A118" s="584"/>
      <c r="B118" s="587"/>
      <c r="C118" s="587"/>
      <c r="D118" s="589"/>
      <c r="E118" s="586"/>
      <c r="F118" s="589" t="s">
        <v>497</v>
      </c>
      <c r="G118" s="589">
        <f t="shared" si="130"/>
        <v>584</v>
      </c>
      <c r="H118" s="573"/>
      <c r="I118" s="598">
        <v>584</v>
      </c>
      <c r="J118" s="584">
        <v>4.76</v>
      </c>
      <c r="K118" s="600">
        <f t="shared" si="301"/>
        <v>2.38</v>
      </c>
      <c r="L118" s="599">
        <v>0.5</v>
      </c>
      <c r="M118" s="589"/>
      <c r="N118" s="589"/>
      <c r="O118" s="600"/>
      <c r="P118" s="589">
        <f>L118*J118*I118</f>
        <v>1389.9199999999998</v>
      </c>
      <c r="Q118" s="589">
        <v>20</v>
      </c>
      <c r="R118" s="589">
        <f t="shared" si="133"/>
        <v>27798399.999999996</v>
      </c>
      <c r="S118" s="589">
        <f t="shared" si="134"/>
        <v>27798399.999999996</v>
      </c>
    </row>
    <row r="119" spans="1:19" s="595" customFormat="1" x14ac:dyDescent="0.25">
      <c r="A119" s="590"/>
      <c r="B119" s="587" t="s">
        <v>583</v>
      </c>
      <c r="C119" s="591"/>
      <c r="D119" s="519">
        <f>SUM(D120:D121)</f>
        <v>0</v>
      </c>
      <c r="E119" s="519">
        <f t="shared" ref="E119" si="302">SUM(E120:E121)</f>
        <v>0</v>
      </c>
      <c r="F119" s="519">
        <f t="shared" ref="F119" si="303">SUM(F120:F121)</f>
        <v>0</v>
      </c>
      <c r="G119" s="519">
        <f t="shared" ref="G119" si="304">SUM(G120:G121)</f>
        <v>18.600000000000001</v>
      </c>
      <c r="H119" s="519">
        <f t="shared" ref="H119" si="305">SUM(H120:H121)</f>
        <v>5.2</v>
      </c>
      <c r="I119" s="519">
        <f t="shared" ref="I119" si="306">SUM(I120:I121)</f>
        <v>13.4</v>
      </c>
      <c r="J119" s="519">
        <f t="shared" ref="J119" si="307">SUM(J120:J121)</f>
        <v>9.52</v>
      </c>
      <c r="K119" s="519">
        <f t="shared" ref="K119" si="308">SUM(K120:K121)</f>
        <v>2.38</v>
      </c>
      <c r="L119" s="519">
        <f t="shared" ref="L119" si="309">SUM(L120:L121)</f>
        <v>1.5</v>
      </c>
      <c r="M119" s="519">
        <f t="shared" ref="M119" si="310">SUM(M120:M121)</f>
        <v>0</v>
      </c>
      <c r="N119" s="519">
        <f t="shared" ref="N119" si="311">SUM(N120:N121)</f>
        <v>0</v>
      </c>
      <c r="O119" s="519">
        <f t="shared" ref="O119" si="312">SUM(O120:O121)</f>
        <v>0</v>
      </c>
      <c r="P119" s="519">
        <f t="shared" ref="P119" si="313">SUM(P120:P121)</f>
        <v>56.643999999999998</v>
      </c>
      <c r="Q119" s="519">
        <f t="shared" ref="Q119" si="314">SUM(Q120:Q121)</f>
        <v>40</v>
      </c>
      <c r="R119" s="519">
        <f t="shared" ref="R119" si="315">SUM(R120:R121)</f>
        <v>1132880</v>
      </c>
      <c r="S119" s="519">
        <f t="shared" ref="S119" si="316">SUM(S120:S121)</f>
        <v>1132880</v>
      </c>
    </row>
    <row r="120" spans="1:19" x14ac:dyDescent="0.25">
      <c r="A120" s="584"/>
      <c r="C120" s="587"/>
      <c r="D120" s="589"/>
      <c r="E120" s="586"/>
      <c r="F120" s="589" t="s">
        <v>584</v>
      </c>
      <c r="G120" s="589">
        <f t="shared" si="130"/>
        <v>5.2</v>
      </c>
      <c r="H120" s="573">
        <v>5.2</v>
      </c>
      <c r="I120" s="598"/>
      <c r="J120" s="584">
        <v>4.76</v>
      </c>
      <c r="K120" s="600">
        <f t="shared" si="131"/>
        <v>0</v>
      </c>
      <c r="L120" s="599">
        <v>1</v>
      </c>
      <c r="M120" s="589"/>
      <c r="N120" s="589"/>
      <c r="O120" s="600"/>
      <c r="P120" s="589">
        <f t="shared" ref="P120" si="317">L120*J120*H120</f>
        <v>24.751999999999999</v>
      </c>
      <c r="Q120" s="589">
        <v>20</v>
      </c>
      <c r="R120" s="589">
        <f t="shared" si="133"/>
        <v>495039.99999999994</v>
      </c>
      <c r="S120" s="589">
        <f t="shared" si="134"/>
        <v>495039.99999999994</v>
      </c>
    </row>
    <row r="121" spans="1:19" x14ac:dyDescent="0.25">
      <c r="A121" s="584"/>
      <c r="B121" s="587"/>
      <c r="C121" s="587"/>
      <c r="D121" s="589"/>
      <c r="E121" s="586"/>
      <c r="F121" s="589" t="s">
        <v>584</v>
      </c>
      <c r="G121" s="589">
        <f t="shared" si="130"/>
        <v>13.4</v>
      </c>
      <c r="H121" s="573"/>
      <c r="I121" s="598">
        <v>13.4</v>
      </c>
      <c r="J121" s="584">
        <v>4.76</v>
      </c>
      <c r="K121" s="600">
        <f t="shared" si="131"/>
        <v>2.38</v>
      </c>
      <c r="L121" s="599">
        <v>0.5</v>
      </c>
      <c r="M121" s="589"/>
      <c r="N121" s="589"/>
      <c r="O121" s="600"/>
      <c r="P121" s="589">
        <f>L121*J121*I121</f>
        <v>31.891999999999999</v>
      </c>
      <c r="Q121" s="589">
        <v>20</v>
      </c>
      <c r="R121" s="589">
        <f t="shared" si="133"/>
        <v>637840</v>
      </c>
      <c r="S121" s="589">
        <f t="shared" si="134"/>
        <v>637840</v>
      </c>
    </row>
    <row r="122" spans="1:19" x14ac:dyDescent="0.25">
      <c r="A122" s="584"/>
      <c r="B122" s="587" t="s">
        <v>585</v>
      </c>
      <c r="C122" s="587"/>
      <c r="D122" s="589"/>
      <c r="E122" s="586"/>
      <c r="F122" s="589" t="s">
        <v>586</v>
      </c>
      <c r="G122" s="589">
        <f t="shared" si="130"/>
        <v>3.375</v>
      </c>
      <c r="H122" s="573"/>
      <c r="I122" s="598">
        <v>3.375</v>
      </c>
      <c r="J122" s="584">
        <v>4.76</v>
      </c>
      <c r="K122" s="600">
        <f t="shared" si="131"/>
        <v>2.38</v>
      </c>
      <c r="L122" s="599">
        <v>0.5</v>
      </c>
      <c r="M122" s="589"/>
      <c r="N122" s="589"/>
      <c r="O122" s="600"/>
      <c r="P122" s="589">
        <f>L122*J122*I122</f>
        <v>8.0324999999999989</v>
      </c>
      <c r="Q122" s="589">
        <v>20</v>
      </c>
      <c r="R122" s="589">
        <f t="shared" si="133"/>
        <v>160649.99999999997</v>
      </c>
      <c r="S122" s="589">
        <f t="shared" si="134"/>
        <v>160649.99999999997</v>
      </c>
    </row>
    <row r="123" spans="1:19" s="595" customFormat="1" x14ac:dyDescent="0.25">
      <c r="A123" s="590"/>
      <c r="B123" s="587" t="s">
        <v>587</v>
      </c>
      <c r="C123" s="591"/>
      <c r="D123" s="519">
        <f>SUM(D124:D126)</f>
        <v>0</v>
      </c>
      <c r="E123" s="519">
        <f>SUM(E124:E126)</f>
        <v>0</v>
      </c>
      <c r="F123" s="519">
        <f t="shared" ref="F123" si="318">SUM(F124:F126)</f>
        <v>0</v>
      </c>
      <c r="G123" s="519">
        <f t="shared" ref="G123" si="319">SUM(G124:G126)</f>
        <v>217.5</v>
      </c>
      <c r="H123" s="519">
        <f t="shared" ref="H123" si="320">SUM(H124:H126)</f>
        <v>2.5</v>
      </c>
      <c r="I123" s="519">
        <f t="shared" ref="I123" si="321">SUM(I124:I126)</f>
        <v>215</v>
      </c>
      <c r="J123" s="519">
        <f t="shared" ref="J123" si="322">SUM(J124:J126)</f>
        <v>14.28</v>
      </c>
      <c r="K123" s="519">
        <f t="shared" ref="K123" si="323">SUM(K124:K126)</f>
        <v>2.38</v>
      </c>
      <c r="L123" s="519">
        <f t="shared" ref="L123" si="324">SUM(L124:L126)</f>
        <v>2.5</v>
      </c>
      <c r="M123" s="519">
        <f t="shared" ref="M123" si="325">SUM(M124:M126)</f>
        <v>0</v>
      </c>
      <c r="N123" s="519">
        <f t="shared" ref="N123" si="326">SUM(N124:N126)</f>
        <v>0</v>
      </c>
      <c r="O123" s="519">
        <f t="shared" ref="O123" si="327">SUM(O124:O126)</f>
        <v>0</v>
      </c>
      <c r="P123" s="519">
        <f t="shared" ref="P123" si="328">SUM(P124:P126)</f>
        <v>523.6</v>
      </c>
      <c r="Q123" s="519">
        <f t="shared" ref="Q123" si="329">SUM(Q124:Q126)</f>
        <v>60</v>
      </c>
      <c r="R123" s="519">
        <f t="shared" ref="R123" si="330">SUM(R124:R126)</f>
        <v>10472000</v>
      </c>
      <c r="S123" s="519">
        <f t="shared" ref="S123" si="331">SUM(S124:S126)</f>
        <v>10472000</v>
      </c>
    </row>
    <row r="124" spans="1:19" x14ac:dyDescent="0.25">
      <c r="A124" s="584"/>
      <c r="C124" s="587"/>
      <c r="D124" s="589"/>
      <c r="E124" s="586"/>
      <c r="F124" s="589" t="s">
        <v>588</v>
      </c>
      <c r="G124" s="589">
        <f t="shared" si="130"/>
        <v>2</v>
      </c>
      <c r="H124" s="573">
        <v>2</v>
      </c>
      <c r="I124" s="598"/>
      <c r="J124" s="584">
        <v>4.76</v>
      </c>
      <c r="K124" s="600">
        <f t="shared" si="131"/>
        <v>0</v>
      </c>
      <c r="L124" s="599">
        <v>1</v>
      </c>
      <c r="M124" s="589"/>
      <c r="N124" s="589"/>
      <c r="O124" s="600"/>
      <c r="P124" s="589">
        <f>L124*J124*H124</f>
        <v>9.52</v>
      </c>
      <c r="Q124" s="589">
        <v>20</v>
      </c>
      <c r="R124" s="589">
        <f t="shared" si="133"/>
        <v>190399.99999999997</v>
      </c>
      <c r="S124" s="589">
        <f t="shared" si="134"/>
        <v>190399.99999999997</v>
      </c>
    </row>
    <row r="125" spans="1:19" x14ac:dyDescent="0.25">
      <c r="A125" s="584"/>
      <c r="B125" s="587"/>
      <c r="C125" s="587"/>
      <c r="D125" s="589"/>
      <c r="E125" s="586"/>
      <c r="F125" s="589" t="s">
        <v>586</v>
      </c>
      <c r="G125" s="589">
        <f t="shared" si="130"/>
        <v>215</v>
      </c>
      <c r="H125" s="573"/>
      <c r="I125" s="598">
        <f>15+190+10</f>
        <v>215</v>
      </c>
      <c r="J125" s="584">
        <v>4.76</v>
      </c>
      <c r="K125" s="600">
        <f t="shared" si="131"/>
        <v>2.38</v>
      </c>
      <c r="L125" s="599">
        <v>0.5</v>
      </c>
      <c r="M125" s="589"/>
      <c r="N125" s="589"/>
      <c r="O125" s="600"/>
      <c r="P125" s="589">
        <f t="shared" ref="P125" si="332">L125*J125*I125</f>
        <v>511.7</v>
      </c>
      <c r="Q125" s="589">
        <v>20</v>
      </c>
      <c r="R125" s="589">
        <f t="shared" si="133"/>
        <v>10234000</v>
      </c>
      <c r="S125" s="589">
        <f t="shared" si="134"/>
        <v>10234000</v>
      </c>
    </row>
    <row r="126" spans="1:19" x14ac:dyDescent="0.25">
      <c r="A126" s="584"/>
      <c r="B126" s="587"/>
      <c r="C126" s="587"/>
      <c r="D126" s="589"/>
      <c r="E126" s="586"/>
      <c r="F126" s="589" t="s">
        <v>586</v>
      </c>
      <c r="G126" s="589">
        <f t="shared" si="130"/>
        <v>0.5</v>
      </c>
      <c r="H126" s="573">
        <v>0.5</v>
      </c>
      <c r="I126" s="598"/>
      <c r="J126" s="584">
        <v>4.76</v>
      </c>
      <c r="K126" s="600">
        <f t="shared" si="131"/>
        <v>0</v>
      </c>
      <c r="L126" s="599">
        <v>1</v>
      </c>
      <c r="M126" s="589"/>
      <c r="N126" s="589"/>
      <c r="O126" s="600"/>
      <c r="P126" s="589">
        <f>L126*J126*H126</f>
        <v>2.38</v>
      </c>
      <c r="Q126" s="589">
        <v>20</v>
      </c>
      <c r="R126" s="589">
        <f t="shared" si="133"/>
        <v>47599.999999999993</v>
      </c>
      <c r="S126" s="589">
        <f t="shared" si="134"/>
        <v>47599.999999999993</v>
      </c>
    </row>
    <row r="127" spans="1:19" x14ac:dyDescent="0.25">
      <c r="A127" s="584"/>
      <c r="B127" s="587"/>
      <c r="C127" s="587"/>
      <c r="D127" s="589"/>
      <c r="E127" s="586"/>
      <c r="F127" s="589"/>
      <c r="G127" s="589"/>
      <c r="H127" s="573"/>
      <c r="I127" s="598"/>
      <c r="J127" s="584"/>
      <c r="K127" s="600"/>
      <c r="L127" s="599"/>
      <c r="M127" s="589"/>
      <c r="N127" s="589"/>
      <c r="O127" s="600"/>
      <c r="P127" s="589"/>
      <c r="Q127" s="589"/>
      <c r="R127" s="589">
        <f t="shared" si="133"/>
        <v>0</v>
      </c>
      <c r="S127" s="589"/>
    </row>
    <row r="128" spans="1:19" x14ac:dyDescent="0.25">
      <c r="A128" s="556"/>
      <c r="B128" s="557" t="s">
        <v>589</v>
      </c>
      <c r="C128" s="557"/>
      <c r="D128" s="558"/>
      <c r="E128" s="558"/>
      <c r="F128" s="559"/>
      <c r="G128" s="560">
        <f>SUM(G131:G187)</f>
        <v>27851.46</v>
      </c>
      <c r="H128" s="560">
        <f>SUM(H131:H187)</f>
        <v>2574</v>
      </c>
      <c r="I128" s="560">
        <f>SUM(I131:I187)</f>
        <v>25277.46</v>
      </c>
      <c r="J128" s="561"/>
      <c r="K128" s="561"/>
      <c r="L128" s="561"/>
      <c r="M128" s="558">
        <f>SUM(M131:M177)</f>
        <v>3774.0600000000004</v>
      </c>
      <c r="N128" s="558"/>
      <c r="O128" s="558">
        <f>SUM(O131:O177)</f>
        <v>26875692</v>
      </c>
      <c r="P128" s="558">
        <f>SUM(P131:P177)</f>
        <v>56303.528599999991</v>
      </c>
      <c r="Q128" s="558"/>
      <c r="R128" s="558">
        <f>SUM(R131:R177)</f>
        <v>1126070572</v>
      </c>
      <c r="S128" s="558">
        <f>SUM(S131:S188)</f>
        <v>1356237476</v>
      </c>
    </row>
    <row r="129" spans="1:19" x14ac:dyDescent="0.25">
      <c r="A129" s="563"/>
      <c r="B129" s="564" t="s">
        <v>471</v>
      </c>
      <c r="C129" s="564"/>
      <c r="D129" s="565"/>
      <c r="E129" s="565"/>
      <c r="F129" s="566"/>
      <c r="G129" s="565"/>
      <c r="H129" s="567"/>
      <c r="I129" s="565"/>
      <c r="J129" s="568"/>
      <c r="K129" s="568"/>
      <c r="L129" s="568"/>
      <c r="M129" s="565"/>
      <c r="N129" s="565"/>
      <c r="O129" s="565"/>
      <c r="P129" s="565"/>
      <c r="Q129" s="569"/>
      <c r="R129" s="569"/>
      <c r="S129" s="565"/>
    </row>
    <row r="130" spans="1:19" s="595" customFormat="1" x14ac:dyDescent="0.25">
      <c r="A130" s="602"/>
      <c r="B130" s="605" t="s">
        <v>590</v>
      </c>
      <c r="C130" s="603"/>
      <c r="D130" s="519">
        <f>SUM(D131:D133)</f>
        <v>80</v>
      </c>
      <c r="E130" s="519">
        <f t="shared" ref="E130:S130" si="333">SUM(E131:E133)</f>
        <v>1883</v>
      </c>
      <c r="F130" s="519">
        <f t="shared" si="333"/>
        <v>0</v>
      </c>
      <c r="G130" s="519">
        <f t="shared" si="333"/>
        <v>1068.1600000000001</v>
      </c>
      <c r="H130" s="519">
        <f t="shared" si="333"/>
        <v>630</v>
      </c>
      <c r="I130" s="519">
        <f t="shared" si="333"/>
        <v>438.16</v>
      </c>
      <c r="J130" s="519">
        <f t="shared" si="333"/>
        <v>14.46</v>
      </c>
      <c r="K130" s="519">
        <f t="shared" si="333"/>
        <v>5.7840000000000007</v>
      </c>
      <c r="L130" s="519">
        <f t="shared" si="333"/>
        <v>1.8</v>
      </c>
      <c r="M130" s="519">
        <f t="shared" si="333"/>
        <v>0</v>
      </c>
      <c r="N130" s="519">
        <f t="shared" si="333"/>
        <v>0</v>
      </c>
      <c r="O130" s="519">
        <f t="shared" si="333"/>
        <v>0</v>
      </c>
      <c r="P130" s="519">
        <f t="shared" si="333"/>
        <v>4034.7256000000007</v>
      </c>
      <c r="Q130" s="519">
        <f t="shared" si="333"/>
        <v>60</v>
      </c>
      <c r="R130" s="519">
        <f t="shared" si="333"/>
        <v>80694512</v>
      </c>
      <c r="S130" s="519">
        <f t="shared" si="333"/>
        <v>80694512</v>
      </c>
    </row>
    <row r="131" spans="1:19" x14ac:dyDescent="0.25">
      <c r="A131" s="604"/>
      <c r="C131" s="606" t="s">
        <v>567</v>
      </c>
      <c r="D131" s="606">
        <f>13+67</f>
        <v>80</v>
      </c>
      <c r="E131" s="606">
        <v>1883</v>
      </c>
      <c r="F131" s="607" t="s">
        <v>474</v>
      </c>
      <c r="G131" s="606">
        <f>SUM(H131:I131)</f>
        <v>60</v>
      </c>
      <c r="H131" s="606"/>
      <c r="I131" s="606">
        <v>60</v>
      </c>
      <c r="J131" s="604">
        <v>4.82</v>
      </c>
      <c r="K131" s="608">
        <f t="shared" ref="K131:K154" si="334">J131-(J131*L131)</f>
        <v>3.3740000000000006</v>
      </c>
      <c r="L131" s="604">
        <v>0.3</v>
      </c>
      <c r="M131" s="606"/>
      <c r="N131" s="606"/>
      <c r="O131" s="606"/>
      <c r="P131" s="609">
        <f>L131*J131*I131</f>
        <v>86.759999999999991</v>
      </c>
      <c r="Q131" s="609">
        <v>20</v>
      </c>
      <c r="R131" s="609">
        <f t="shared" ref="R131:R155" si="335">P131*Q131*1000</f>
        <v>1735199.9999999998</v>
      </c>
      <c r="S131" s="609">
        <f>R131+O131</f>
        <v>1735199.9999999998</v>
      </c>
    </row>
    <row r="132" spans="1:19" x14ac:dyDescent="0.25">
      <c r="A132" s="610"/>
      <c r="B132" s="607"/>
      <c r="C132" s="611"/>
      <c r="D132" s="606"/>
      <c r="E132" s="611"/>
      <c r="F132" s="607" t="s">
        <v>586</v>
      </c>
      <c r="G132" s="606">
        <f>SUM(H132:I132)</f>
        <v>378.16</v>
      </c>
      <c r="H132" s="606"/>
      <c r="I132" s="606">
        <v>378.16</v>
      </c>
      <c r="J132" s="604">
        <v>4.82</v>
      </c>
      <c r="K132" s="608">
        <f t="shared" si="334"/>
        <v>2.41</v>
      </c>
      <c r="L132" s="604">
        <v>0.5</v>
      </c>
      <c r="M132" s="606"/>
      <c r="N132" s="606"/>
      <c r="O132" s="606"/>
      <c r="P132" s="609">
        <f>L132*J132*I132</f>
        <v>911.36560000000009</v>
      </c>
      <c r="Q132" s="609">
        <v>20</v>
      </c>
      <c r="R132" s="609">
        <f t="shared" si="335"/>
        <v>18227312</v>
      </c>
      <c r="S132" s="609">
        <f>R132+O132</f>
        <v>18227312</v>
      </c>
    </row>
    <row r="133" spans="1:19" x14ac:dyDescent="0.25">
      <c r="A133" s="610"/>
      <c r="B133" s="607"/>
      <c r="C133" s="611"/>
      <c r="D133" s="606"/>
      <c r="E133" s="611"/>
      <c r="F133" s="570" t="s">
        <v>586</v>
      </c>
      <c r="G133" s="606">
        <f t="shared" ref="G133" si="336">SUM(H133:I133)</f>
        <v>630</v>
      </c>
      <c r="H133" s="547">
        <v>630</v>
      </c>
      <c r="I133" s="612"/>
      <c r="J133" s="604">
        <v>4.82</v>
      </c>
      <c r="K133" s="608">
        <f>J133-(J133*L133)</f>
        <v>0</v>
      </c>
      <c r="L133" s="604">
        <v>1</v>
      </c>
      <c r="M133" s="612"/>
      <c r="N133" s="612"/>
      <c r="O133" s="612"/>
      <c r="P133" s="609">
        <f>L133*J133*H133</f>
        <v>3036.6000000000004</v>
      </c>
      <c r="Q133" s="609">
        <v>20</v>
      </c>
      <c r="R133" s="609">
        <f t="shared" si="335"/>
        <v>60732000.000000007</v>
      </c>
      <c r="S133" s="609">
        <f t="shared" ref="S133:S155" si="337">R133+O133</f>
        <v>60732000.000000007</v>
      </c>
    </row>
    <row r="134" spans="1:19" x14ac:dyDescent="0.25">
      <c r="A134" s="613"/>
      <c r="B134" s="579" t="s">
        <v>472</v>
      </c>
      <c r="C134" s="613" t="s">
        <v>591</v>
      </c>
      <c r="D134" s="614">
        <f t="shared" ref="D134:D136" si="338">G134/0.75</f>
        <v>1594.6666666666667</v>
      </c>
      <c r="E134" s="613">
        <v>1589</v>
      </c>
      <c r="F134" s="570" t="s">
        <v>586</v>
      </c>
      <c r="G134" s="606">
        <f t="shared" ref="G134:G150" si="339">SUM(H134:I134)</f>
        <v>1196</v>
      </c>
      <c r="H134" s="611"/>
      <c r="I134" s="611">
        <v>1196</v>
      </c>
      <c r="J134" s="604">
        <v>4.82</v>
      </c>
      <c r="K134" s="608">
        <f t="shared" si="334"/>
        <v>2.41</v>
      </c>
      <c r="L134" s="604">
        <v>0.5</v>
      </c>
      <c r="M134" s="615"/>
      <c r="N134" s="614"/>
      <c r="O134" s="615"/>
      <c r="P134" s="609">
        <f t="shared" ref="P134:P154" si="340">L134*J134*I134</f>
        <v>2882.36</v>
      </c>
      <c r="Q134" s="609">
        <v>20</v>
      </c>
      <c r="R134" s="609">
        <f t="shared" si="335"/>
        <v>57647200.000000007</v>
      </c>
      <c r="S134" s="609">
        <f t="shared" si="337"/>
        <v>57647200.000000007</v>
      </c>
    </row>
    <row r="135" spans="1:19" s="595" customFormat="1" x14ac:dyDescent="0.25">
      <c r="A135" s="616"/>
      <c r="B135" s="579" t="s">
        <v>592</v>
      </c>
      <c r="C135" s="616"/>
      <c r="D135" s="519">
        <f>SUM(D136:D138)</f>
        <v>685.33333333333337</v>
      </c>
      <c r="E135" s="519">
        <f>SUM(E136:E138)</f>
        <v>1040</v>
      </c>
      <c r="F135" s="519">
        <f t="shared" ref="F135:S135" si="341">SUM(F136:F138)</f>
        <v>0</v>
      </c>
      <c r="G135" s="519">
        <f t="shared" si="341"/>
        <v>562</v>
      </c>
      <c r="H135" s="519">
        <f t="shared" si="341"/>
        <v>0</v>
      </c>
      <c r="I135" s="519">
        <f t="shared" si="341"/>
        <v>562</v>
      </c>
      <c r="J135" s="519">
        <f t="shared" si="341"/>
        <v>14.46</v>
      </c>
      <c r="K135" s="519">
        <f t="shared" si="341"/>
        <v>7.23</v>
      </c>
      <c r="L135" s="519">
        <f t="shared" si="341"/>
        <v>1.5</v>
      </c>
      <c r="M135" s="519">
        <f t="shared" si="341"/>
        <v>67.48</v>
      </c>
      <c r="N135" s="519">
        <f t="shared" si="341"/>
        <v>34324</v>
      </c>
      <c r="O135" s="519">
        <f t="shared" si="341"/>
        <v>480536</v>
      </c>
      <c r="P135" s="519">
        <f t="shared" si="341"/>
        <v>1286.94</v>
      </c>
      <c r="Q135" s="519">
        <f t="shared" si="341"/>
        <v>40</v>
      </c>
      <c r="R135" s="519">
        <f t="shared" si="341"/>
        <v>25738800</v>
      </c>
      <c r="S135" s="519">
        <f t="shared" si="341"/>
        <v>26219336</v>
      </c>
    </row>
    <row r="136" spans="1:19" x14ac:dyDescent="0.25">
      <c r="A136" s="613"/>
      <c r="C136" s="613"/>
      <c r="D136" s="614">
        <f t="shared" si="338"/>
        <v>685.33333333333337</v>
      </c>
      <c r="E136" s="613">
        <v>1040</v>
      </c>
      <c r="F136" s="570" t="s">
        <v>586</v>
      </c>
      <c r="G136" s="606">
        <f t="shared" si="339"/>
        <v>514</v>
      </c>
      <c r="H136" s="611"/>
      <c r="I136" s="611">
        <v>514</v>
      </c>
      <c r="J136" s="604">
        <v>4.82</v>
      </c>
      <c r="K136" s="608">
        <f t="shared" si="334"/>
        <v>2.41</v>
      </c>
      <c r="L136" s="604">
        <v>0.5</v>
      </c>
      <c r="M136" s="615"/>
      <c r="N136" s="614"/>
      <c r="O136" s="615"/>
      <c r="P136" s="609">
        <f t="shared" si="340"/>
        <v>1238.74</v>
      </c>
      <c r="Q136" s="609">
        <v>20</v>
      </c>
      <c r="R136" s="609">
        <f t="shared" si="335"/>
        <v>24774800</v>
      </c>
      <c r="S136" s="609">
        <f t="shared" si="337"/>
        <v>24774800</v>
      </c>
    </row>
    <row r="137" spans="1:19" x14ac:dyDescent="0.25">
      <c r="A137" s="613"/>
      <c r="B137" s="579"/>
      <c r="C137" s="613"/>
      <c r="D137" s="614"/>
      <c r="E137" s="613"/>
      <c r="F137" s="570" t="s">
        <v>474</v>
      </c>
      <c r="G137" s="606">
        <f t="shared" ref="G137:G138" si="342">SUM(H137:I137)</f>
        <v>20</v>
      </c>
      <c r="H137" s="611"/>
      <c r="I137" s="611">
        <v>20</v>
      </c>
      <c r="J137" s="604">
        <v>4.82</v>
      </c>
      <c r="K137" s="608">
        <f t="shared" si="334"/>
        <v>2.41</v>
      </c>
      <c r="L137" s="604">
        <v>0.5</v>
      </c>
      <c r="M137" s="615"/>
      <c r="N137" s="614"/>
      <c r="O137" s="615"/>
      <c r="P137" s="609">
        <f t="shared" si="340"/>
        <v>48.2</v>
      </c>
      <c r="Q137" s="609">
        <v>20</v>
      </c>
      <c r="R137" s="609">
        <f t="shared" si="335"/>
        <v>964000</v>
      </c>
      <c r="S137" s="609">
        <f t="shared" si="337"/>
        <v>964000</v>
      </c>
    </row>
    <row r="138" spans="1:19" x14ac:dyDescent="0.25">
      <c r="A138" s="613"/>
      <c r="B138" s="579"/>
      <c r="C138" s="613"/>
      <c r="D138" s="614"/>
      <c r="E138" s="613"/>
      <c r="F138" s="570" t="s">
        <v>539</v>
      </c>
      <c r="G138" s="606">
        <f t="shared" si="342"/>
        <v>28</v>
      </c>
      <c r="H138" s="547"/>
      <c r="I138" s="547">
        <v>28</v>
      </c>
      <c r="J138" s="612">
        <v>4.82</v>
      </c>
      <c r="K138" s="608">
        <f t="shared" si="334"/>
        <v>2.41</v>
      </c>
      <c r="L138" s="618">
        <v>0.5</v>
      </c>
      <c r="M138" s="529">
        <f>L138*J138*I138</f>
        <v>67.48</v>
      </c>
      <c r="N138" s="619">
        <v>34324</v>
      </c>
      <c r="O138" s="576">
        <f>N138*L138*I138</f>
        <v>480536</v>
      </c>
      <c r="P138" s="609"/>
      <c r="Q138" s="609"/>
      <c r="R138" s="609">
        <f t="shared" si="335"/>
        <v>0</v>
      </c>
      <c r="S138" s="609">
        <f t="shared" si="337"/>
        <v>480536</v>
      </c>
    </row>
    <row r="139" spans="1:19" s="595" customFormat="1" x14ac:dyDescent="0.25">
      <c r="A139" s="616"/>
      <c r="B139" s="570" t="s">
        <v>593</v>
      </c>
      <c r="C139" s="616"/>
      <c r="D139" s="519">
        <f>SUM(D140:D141)</f>
        <v>631</v>
      </c>
      <c r="E139" s="519">
        <f t="shared" ref="E139" si="343">SUM(E140:E141)</f>
        <v>1037</v>
      </c>
      <c r="F139" s="519">
        <f t="shared" ref="F139" si="344">SUM(F140:F141)</f>
        <v>0</v>
      </c>
      <c r="G139" s="519">
        <f t="shared" ref="G139" si="345">SUM(G140:G141)</f>
        <v>473</v>
      </c>
      <c r="H139" s="519">
        <f t="shared" ref="H139" si="346">SUM(H140:H141)</f>
        <v>0</v>
      </c>
      <c r="I139" s="519">
        <f t="shared" ref="I139" si="347">SUM(I140:I141)</f>
        <v>473</v>
      </c>
      <c r="J139" s="519">
        <f t="shared" ref="J139" si="348">SUM(J140:J141)</f>
        <v>9.64</v>
      </c>
      <c r="K139" s="519">
        <f t="shared" ref="K139" si="349">SUM(K140:K141)</f>
        <v>5.7840000000000007</v>
      </c>
      <c r="L139" s="519">
        <f t="shared" ref="L139" si="350">SUM(L140:L141)</f>
        <v>0.8</v>
      </c>
      <c r="M139" s="519">
        <f t="shared" ref="M139" si="351">SUM(M140:M141)</f>
        <v>0</v>
      </c>
      <c r="N139" s="519">
        <f t="shared" ref="N139" si="352">SUM(N140:N141)</f>
        <v>0</v>
      </c>
      <c r="O139" s="519">
        <f t="shared" ref="O139" si="353">SUM(O140:O141)</f>
        <v>0</v>
      </c>
      <c r="P139" s="519">
        <f t="shared" ref="P139" si="354">SUM(P140:P141)</f>
        <v>1091.73</v>
      </c>
      <c r="Q139" s="519">
        <f t="shared" ref="Q139" si="355">SUM(Q140:Q141)</f>
        <v>40</v>
      </c>
      <c r="R139" s="519">
        <f t="shared" ref="R139" si="356">SUM(R140:R141)</f>
        <v>21834600.000000004</v>
      </c>
      <c r="S139" s="519">
        <f t="shared" ref="S139" si="357">SUM(S140:S141)</f>
        <v>21834600.000000004</v>
      </c>
    </row>
    <row r="140" spans="1:19" x14ac:dyDescent="0.25">
      <c r="A140" s="614"/>
      <c r="C140" s="613" t="s">
        <v>594</v>
      </c>
      <c r="D140" s="614">
        <v>631</v>
      </c>
      <c r="E140" s="614">
        <v>1037</v>
      </c>
      <c r="F140" s="570" t="s">
        <v>586</v>
      </c>
      <c r="G140" s="606">
        <f t="shared" si="339"/>
        <v>423</v>
      </c>
      <c r="H140" s="606"/>
      <c r="I140" s="606">
        <v>423</v>
      </c>
      <c r="J140" s="604">
        <v>4.82</v>
      </c>
      <c r="K140" s="608">
        <f t="shared" si="334"/>
        <v>2.41</v>
      </c>
      <c r="L140" s="604">
        <v>0.5</v>
      </c>
      <c r="M140" s="609"/>
      <c r="N140" s="614"/>
      <c r="O140" s="609"/>
      <c r="P140" s="609">
        <f t="shared" si="340"/>
        <v>1019.4300000000001</v>
      </c>
      <c r="Q140" s="609">
        <v>20</v>
      </c>
      <c r="R140" s="609">
        <f t="shared" si="335"/>
        <v>20388600.000000004</v>
      </c>
      <c r="S140" s="609">
        <f t="shared" si="337"/>
        <v>20388600.000000004</v>
      </c>
    </row>
    <row r="141" spans="1:19" x14ac:dyDescent="0.25">
      <c r="A141" s="614"/>
      <c r="B141" s="570"/>
      <c r="C141" s="613"/>
      <c r="D141" s="614"/>
      <c r="E141" s="614"/>
      <c r="F141" s="607" t="s">
        <v>474</v>
      </c>
      <c r="G141" s="606">
        <f>SUM(H141:I141)</f>
        <v>50</v>
      </c>
      <c r="H141" s="606"/>
      <c r="I141" s="606">
        <v>50</v>
      </c>
      <c r="J141" s="604">
        <v>4.82</v>
      </c>
      <c r="K141" s="608">
        <f t="shared" si="334"/>
        <v>3.3740000000000006</v>
      </c>
      <c r="L141" s="604">
        <v>0.3</v>
      </c>
      <c r="M141" s="606"/>
      <c r="N141" s="606"/>
      <c r="O141" s="606"/>
      <c r="P141" s="609">
        <f>L141*J141*I141</f>
        <v>72.3</v>
      </c>
      <c r="Q141" s="609">
        <v>20</v>
      </c>
      <c r="R141" s="609">
        <f t="shared" si="335"/>
        <v>1446000</v>
      </c>
      <c r="S141" s="609">
        <f>R141+O141</f>
        <v>1446000</v>
      </c>
    </row>
    <row r="142" spans="1:19" s="595" customFormat="1" x14ac:dyDescent="0.25">
      <c r="A142" s="617"/>
      <c r="B142" s="570" t="s">
        <v>595</v>
      </c>
      <c r="C142" s="616"/>
      <c r="D142" s="519">
        <f>SUM(D143:D144)</f>
        <v>200</v>
      </c>
      <c r="E142" s="519">
        <f t="shared" ref="E142" si="358">SUM(E143:E144)</f>
        <v>1872</v>
      </c>
      <c r="F142" s="519">
        <f t="shared" ref="F142" si="359">SUM(F143:F144)</f>
        <v>0</v>
      </c>
      <c r="G142" s="519">
        <f t="shared" ref="G142" si="360">SUM(G143:G144)</f>
        <v>1200</v>
      </c>
      <c r="H142" s="519">
        <f t="shared" ref="H142" si="361">SUM(H143:H144)</f>
        <v>0</v>
      </c>
      <c r="I142" s="519">
        <f t="shared" ref="I142" si="362">SUM(I143:I144)</f>
        <v>1200</v>
      </c>
      <c r="J142" s="519">
        <f t="shared" ref="J142" si="363">SUM(J143:J144)</f>
        <v>9.64</v>
      </c>
      <c r="K142" s="519">
        <f t="shared" ref="K142" si="364">SUM(K143:K144)</f>
        <v>5.7840000000000007</v>
      </c>
      <c r="L142" s="519">
        <f t="shared" ref="L142" si="365">SUM(L143:L144)</f>
        <v>0.8</v>
      </c>
      <c r="M142" s="519">
        <f t="shared" ref="M142" si="366">SUM(M143:M144)</f>
        <v>0</v>
      </c>
      <c r="N142" s="519">
        <f t="shared" ref="N142" si="367">SUM(N143:N144)</f>
        <v>0</v>
      </c>
      <c r="O142" s="519">
        <f t="shared" ref="O142" si="368">SUM(O143:O144)</f>
        <v>0</v>
      </c>
      <c r="P142" s="519">
        <f t="shared" ref="P142" si="369">SUM(P143:P144)</f>
        <v>2699.2</v>
      </c>
      <c r="Q142" s="519">
        <f t="shared" ref="Q142" si="370">SUM(Q143:Q144)</f>
        <v>40</v>
      </c>
      <c r="R142" s="519">
        <f t="shared" ref="R142" si="371">SUM(R143:R144)</f>
        <v>53984000</v>
      </c>
      <c r="S142" s="519">
        <f t="shared" ref="S142" si="372">SUM(S143:S144)</f>
        <v>53984000</v>
      </c>
    </row>
    <row r="143" spans="1:19" x14ac:dyDescent="0.25">
      <c r="A143" s="614"/>
      <c r="C143" s="613"/>
      <c r="D143" s="614">
        <v>200</v>
      </c>
      <c r="E143" s="614">
        <v>1872</v>
      </c>
      <c r="F143" s="570" t="s">
        <v>586</v>
      </c>
      <c r="G143" s="606">
        <f t="shared" si="339"/>
        <v>1000</v>
      </c>
      <c r="H143" s="606"/>
      <c r="I143" s="606">
        <v>1000</v>
      </c>
      <c r="J143" s="604">
        <v>4.82</v>
      </c>
      <c r="K143" s="608">
        <f t="shared" si="334"/>
        <v>2.41</v>
      </c>
      <c r="L143" s="604">
        <v>0.5</v>
      </c>
      <c r="M143" s="614"/>
      <c r="N143" s="614"/>
      <c r="O143" s="614"/>
      <c r="P143" s="609">
        <f t="shared" si="340"/>
        <v>2410</v>
      </c>
      <c r="Q143" s="609">
        <v>20</v>
      </c>
      <c r="R143" s="609">
        <f t="shared" si="335"/>
        <v>48200000</v>
      </c>
      <c r="S143" s="609">
        <f t="shared" si="337"/>
        <v>48200000</v>
      </c>
    </row>
    <row r="144" spans="1:19" x14ac:dyDescent="0.25">
      <c r="A144" s="614"/>
      <c r="B144" s="570"/>
      <c r="C144" s="613"/>
      <c r="D144" s="614"/>
      <c r="E144" s="614"/>
      <c r="F144" s="607" t="s">
        <v>474</v>
      </c>
      <c r="G144" s="606">
        <f>SUM(H144:I144)</f>
        <v>200</v>
      </c>
      <c r="H144" s="606"/>
      <c r="I144" s="606">
        <v>200</v>
      </c>
      <c r="J144" s="604">
        <v>4.82</v>
      </c>
      <c r="K144" s="608">
        <f t="shared" si="334"/>
        <v>3.3740000000000006</v>
      </c>
      <c r="L144" s="604">
        <v>0.3</v>
      </c>
      <c r="M144" s="606"/>
      <c r="N144" s="606"/>
      <c r="O144" s="606"/>
      <c r="P144" s="609">
        <f>L144*J144*I144</f>
        <v>289.2</v>
      </c>
      <c r="Q144" s="609">
        <v>20</v>
      </c>
      <c r="R144" s="609">
        <f t="shared" si="335"/>
        <v>5784000</v>
      </c>
      <c r="S144" s="609">
        <f>R144+O144</f>
        <v>5784000</v>
      </c>
    </row>
    <row r="145" spans="1:19" x14ac:dyDescent="0.25">
      <c r="A145" s="614"/>
      <c r="B145" s="570" t="s">
        <v>238</v>
      </c>
      <c r="C145" s="613" t="s">
        <v>594</v>
      </c>
      <c r="D145" s="614">
        <v>133</v>
      </c>
      <c r="E145" s="614">
        <v>1788</v>
      </c>
      <c r="F145" s="570" t="s">
        <v>586</v>
      </c>
      <c r="G145" s="606">
        <f t="shared" si="339"/>
        <v>100</v>
      </c>
      <c r="H145" s="606"/>
      <c r="I145" s="606">
        <v>100</v>
      </c>
      <c r="J145" s="604">
        <v>4.82</v>
      </c>
      <c r="K145" s="608">
        <f t="shared" si="334"/>
        <v>2.41</v>
      </c>
      <c r="L145" s="604">
        <v>0.5</v>
      </c>
      <c r="M145" s="614"/>
      <c r="N145" s="614"/>
      <c r="O145" s="614"/>
      <c r="P145" s="609">
        <f t="shared" si="340"/>
        <v>241</v>
      </c>
      <c r="Q145" s="609">
        <v>20</v>
      </c>
      <c r="R145" s="609">
        <f t="shared" si="335"/>
        <v>4820000</v>
      </c>
      <c r="S145" s="609">
        <f t="shared" si="337"/>
        <v>4820000</v>
      </c>
    </row>
    <row r="146" spans="1:19" s="595" customFormat="1" x14ac:dyDescent="0.25">
      <c r="A146" s="617"/>
      <c r="B146" s="580" t="s">
        <v>596</v>
      </c>
      <c r="C146" s="616"/>
      <c r="D146" s="519">
        <f>SUM(D147:D148)</f>
        <v>577</v>
      </c>
      <c r="E146" s="519">
        <f t="shared" ref="E146" si="373">SUM(E147:E148)</f>
        <v>1916</v>
      </c>
      <c r="F146" s="519">
        <f t="shared" ref="F146" si="374">SUM(F147:F148)</f>
        <v>0</v>
      </c>
      <c r="G146" s="519">
        <f t="shared" ref="G146" si="375">SUM(G147:G148)</f>
        <v>770</v>
      </c>
      <c r="H146" s="519">
        <f t="shared" ref="H146" si="376">SUM(H147:H148)</f>
        <v>0</v>
      </c>
      <c r="I146" s="519">
        <f t="shared" ref="I146" si="377">SUM(I147:I148)</f>
        <v>770</v>
      </c>
      <c r="J146" s="519">
        <f t="shared" ref="J146" si="378">SUM(J147:J148)</f>
        <v>9.64</v>
      </c>
      <c r="K146" s="519">
        <f t="shared" ref="K146" si="379">SUM(K147:K148)</f>
        <v>5.7840000000000007</v>
      </c>
      <c r="L146" s="519">
        <f t="shared" ref="L146" si="380">SUM(L147:L148)</f>
        <v>0.8</v>
      </c>
      <c r="M146" s="519">
        <f t="shared" ref="M146" si="381">SUM(M147:M148)</f>
        <v>0</v>
      </c>
      <c r="N146" s="519">
        <f t="shared" ref="N146" si="382">SUM(N147:N148)</f>
        <v>0</v>
      </c>
      <c r="O146" s="519">
        <f t="shared" ref="O146" si="383">SUM(O147:O148)</f>
        <v>0</v>
      </c>
      <c r="P146" s="519">
        <f t="shared" ref="P146" si="384">SUM(P147:P148)</f>
        <v>1758.3360000000002</v>
      </c>
      <c r="Q146" s="519">
        <f t="shared" ref="Q146" si="385">SUM(Q147:Q148)</f>
        <v>40</v>
      </c>
      <c r="R146" s="519">
        <f t="shared" ref="R146" si="386">SUM(R147:R148)</f>
        <v>35166720</v>
      </c>
      <c r="S146" s="519">
        <f t="shared" ref="S146" si="387">SUM(S147:S148)</f>
        <v>35166720</v>
      </c>
    </row>
    <row r="147" spans="1:19" x14ac:dyDescent="0.25">
      <c r="A147" s="614"/>
      <c r="C147" s="620"/>
      <c r="D147" s="612">
        <v>577</v>
      </c>
      <c r="E147" s="580">
        <v>1916</v>
      </c>
      <c r="F147" s="570" t="s">
        <v>586</v>
      </c>
      <c r="G147" s="606">
        <f t="shared" si="339"/>
        <v>669</v>
      </c>
      <c r="H147" s="547"/>
      <c r="I147" s="547">
        <v>669</v>
      </c>
      <c r="J147" s="604">
        <v>4.82</v>
      </c>
      <c r="K147" s="608">
        <f t="shared" si="334"/>
        <v>2.41</v>
      </c>
      <c r="L147" s="604">
        <v>0.5</v>
      </c>
      <c r="M147" s="612"/>
      <c r="N147" s="612"/>
      <c r="O147" s="612"/>
      <c r="P147" s="609">
        <f t="shared" si="340"/>
        <v>1612.2900000000002</v>
      </c>
      <c r="Q147" s="609">
        <v>20</v>
      </c>
      <c r="R147" s="609">
        <f t="shared" si="335"/>
        <v>32245800.000000004</v>
      </c>
      <c r="S147" s="609">
        <f t="shared" si="337"/>
        <v>32245800.000000004</v>
      </c>
    </row>
    <row r="148" spans="1:19" x14ac:dyDescent="0.25">
      <c r="A148" s="614"/>
      <c r="B148" s="580"/>
      <c r="C148" s="620"/>
      <c r="D148" s="612"/>
      <c r="E148" s="580"/>
      <c r="F148" s="579" t="s">
        <v>474</v>
      </c>
      <c r="G148" s="606">
        <f>SUM(H148:I148)</f>
        <v>101</v>
      </c>
      <c r="H148" s="606"/>
      <c r="I148" s="606">
        <v>101</v>
      </c>
      <c r="J148" s="604">
        <v>4.82</v>
      </c>
      <c r="K148" s="608">
        <f t="shared" si="334"/>
        <v>3.3740000000000006</v>
      </c>
      <c r="L148" s="604">
        <v>0.3</v>
      </c>
      <c r="M148" s="606"/>
      <c r="N148" s="606"/>
      <c r="O148" s="606"/>
      <c r="P148" s="609">
        <f>L148*J148*I148</f>
        <v>146.04599999999999</v>
      </c>
      <c r="Q148" s="609">
        <v>20</v>
      </c>
      <c r="R148" s="609">
        <f t="shared" si="335"/>
        <v>2920920</v>
      </c>
      <c r="S148" s="609">
        <f>R148+O148</f>
        <v>2920920</v>
      </c>
    </row>
    <row r="149" spans="1:19" s="595" customFormat="1" x14ac:dyDescent="0.25">
      <c r="A149" s="617"/>
      <c r="B149" s="580" t="s">
        <v>597</v>
      </c>
      <c r="C149" s="621"/>
      <c r="D149" s="519">
        <f>SUM(D150:D152)</f>
        <v>0</v>
      </c>
      <c r="E149" s="519">
        <f t="shared" ref="E149:S149" si="388">SUM(E150:E152)</f>
        <v>1777</v>
      </c>
      <c r="F149" s="519">
        <f t="shared" si="388"/>
        <v>0</v>
      </c>
      <c r="G149" s="519">
        <f t="shared" si="388"/>
        <v>1462</v>
      </c>
      <c r="H149" s="519">
        <f t="shared" si="388"/>
        <v>2</v>
      </c>
      <c r="I149" s="519">
        <f t="shared" si="388"/>
        <v>1460</v>
      </c>
      <c r="J149" s="519">
        <f t="shared" si="388"/>
        <v>14.46</v>
      </c>
      <c r="K149" s="519">
        <f t="shared" si="388"/>
        <v>5.7840000000000007</v>
      </c>
      <c r="L149" s="519">
        <f t="shared" si="388"/>
        <v>1.8</v>
      </c>
      <c r="M149" s="519">
        <f t="shared" si="388"/>
        <v>0</v>
      </c>
      <c r="N149" s="519">
        <f t="shared" si="388"/>
        <v>0</v>
      </c>
      <c r="O149" s="519">
        <f t="shared" si="388"/>
        <v>0</v>
      </c>
      <c r="P149" s="519">
        <f t="shared" si="388"/>
        <v>2648.1080000000002</v>
      </c>
      <c r="Q149" s="519">
        <f t="shared" si="388"/>
        <v>60</v>
      </c>
      <c r="R149" s="519">
        <f t="shared" si="388"/>
        <v>52962160</v>
      </c>
      <c r="S149" s="519">
        <f t="shared" si="388"/>
        <v>52962160</v>
      </c>
    </row>
    <row r="150" spans="1:19" x14ac:dyDescent="0.25">
      <c r="A150" s="614"/>
      <c r="C150" s="620"/>
      <c r="D150" s="612"/>
      <c r="E150" s="580">
        <v>1777</v>
      </c>
      <c r="F150" s="570" t="s">
        <v>586</v>
      </c>
      <c r="G150" s="606">
        <f t="shared" si="339"/>
        <v>2</v>
      </c>
      <c r="H150" s="547">
        <v>2</v>
      </c>
      <c r="I150" s="547"/>
      <c r="J150" s="604">
        <v>4.82</v>
      </c>
      <c r="K150" s="608">
        <f>J150-(J150*L150)</f>
        <v>0</v>
      </c>
      <c r="L150" s="604">
        <v>1</v>
      </c>
      <c r="M150" s="612"/>
      <c r="N150" s="612"/>
      <c r="O150" s="612"/>
      <c r="P150" s="609">
        <f>L150*J150*H150</f>
        <v>9.64</v>
      </c>
      <c r="Q150" s="609">
        <v>20</v>
      </c>
      <c r="R150" s="609">
        <f t="shared" si="335"/>
        <v>192800</v>
      </c>
      <c r="S150" s="609">
        <f t="shared" si="337"/>
        <v>192800</v>
      </c>
    </row>
    <row r="151" spans="1:19" x14ac:dyDescent="0.25">
      <c r="A151" s="614"/>
      <c r="B151" s="580"/>
      <c r="C151" s="620"/>
      <c r="D151" s="612"/>
      <c r="E151" s="580"/>
      <c r="F151" s="570" t="s">
        <v>586</v>
      </c>
      <c r="G151" s="606">
        <f>SUM(H151:I151)</f>
        <v>547</v>
      </c>
      <c r="H151" s="547"/>
      <c r="I151" s="547">
        <v>547</v>
      </c>
      <c r="J151" s="604">
        <v>4.82</v>
      </c>
      <c r="K151" s="608">
        <f t="shared" si="334"/>
        <v>2.41</v>
      </c>
      <c r="L151" s="604">
        <v>0.5</v>
      </c>
      <c r="M151" s="612"/>
      <c r="N151" s="612"/>
      <c r="O151" s="612"/>
      <c r="P151" s="609">
        <f t="shared" si="340"/>
        <v>1318.27</v>
      </c>
      <c r="Q151" s="609">
        <v>20</v>
      </c>
      <c r="R151" s="609">
        <f t="shared" si="335"/>
        <v>26365400</v>
      </c>
      <c r="S151" s="609">
        <f t="shared" si="337"/>
        <v>26365400</v>
      </c>
    </row>
    <row r="152" spans="1:19" x14ac:dyDescent="0.25">
      <c r="A152" s="614"/>
      <c r="B152" s="580"/>
      <c r="C152" s="620"/>
      <c r="D152" s="612"/>
      <c r="E152" s="580"/>
      <c r="F152" s="579" t="s">
        <v>474</v>
      </c>
      <c r="G152" s="606">
        <f t="shared" ref="G152:G155" si="389">SUM(H152:I152)</f>
        <v>913</v>
      </c>
      <c r="H152" s="547"/>
      <c r="I152" s="547">
        <v>913</v>
      </c>
      <c r="J152" s="604">
        <v>4.82</v>
      </c>
      <c r="K152" s="608">
        <f t="shared" si="334"/>
        <v>3.3740000000000006</v>
      </c>
      <c r="L152" s="604">
        <v>0.3</v>
      </c>
      <c r="M152" s="612"/>
      <c r="N152" s="612"/>
      <c r="O152" s="612"/>
      <c r="P152" s="609">
        <f t="shared" si="340"/>
        <v>1320.1979999999999</v>
      </c>
      <c r="Q152" s="609">
        <v>20</v>
      </c>
      <c r="R152" s="609">
        <f t="shared" si="335"/>
        <v>26403960</v>
      </c>
      <c r="S152" s="609">
        <f t="shared" si="337"/>
        <v>26403960</v>
      </c>
    </row>
    <row r="153" spans="1:19" s="595" customFormat="1" x14ac:dyDescent="0.25">
      <c r="A153" s="617"/>
      <c r="B153" s="580" t="s">
        <v>598</v>
      </c>
      <c r="C153" s="621"/>
      <c r="D153" s="519">
        <f>SUM(D154:D155)</f>
        <v>1899</v>
      </c>
      <c r="E153" s="519">
        <f t="shared" ref="E153" si="390">SUM(E154:E155)</f>
        <v>1424</v>
      </c>
      <c r="F153" s="519">
        <f t="shared" ref="F153" si="391">SUM(F154:F155)</f>
        <v>0</v>
      </c>
      <c r="G153" s="519">
        <f t="shared" ref="G153" si="392">SUM(G154:G155)</f>
        <v>1420</v>
      </c>
      <c r="H153" s="519">
        <f t="shared" ref="H153" si="393">SUM(H154:H155)</f>
        <v>210</v>
      </c>
      <c r="I153" s="519">
        <f t="shared" ref="I153" si="394">SUM(I154:I155)</f>
        <v>1210</v>
      </c>
      <c r="J153" s="519">
        <f t="shared" ref="J153" si="395">SUM(J154:J155)</f>
        <v>9.64</v>
      </c>
      <c r="K153" s="519">
        <f t="shared" ref="K153" si="396">SUM(K154:K155)</f>
        <v>2.41</v>
      </c>
      <c r="L153" s="519">
        <f t="shared" ref="L153" si="397">SUM(L154:L155)</f>
        <v>1.5</v>
      </c>
      <c r="M153" s="519">
        <f t="shared" ref="M153" si="398">SUM(M154:M155)</f>
        <v>0</v>
      </c>
      <c r="N153" s="519">
        <f t="shared" ref="N153" si="399">SUM(N154:N155)</f>
        <v>0</v>
      </c>
      <c r="O153" s="519">
        <f t="shared" ref="O153" si="400">SUM(O154:O155)</f>
        <v>0</v>
      </c>
      <c r="P153" s="519">
        <f t="shared" ref="P153" si="401">SUM(P154:P155)</f>
        <v>3928.3</v>
      </c>
      <c r="Q153" s="519">
        <f t="shared" ref="Q153" si="402">SUM(Q154:Q155)</f>
        <v>40</v>
      </c>
      <c r="R153" s="519">
        <f t="shared" ref="R153" si="403">SUM(R154:R155)</f>
        <v>78566000</v>
      </c>
      <c r="S153" s="519">
        <f t="shared" ref="S153" si="404">SUM(S154:S155)</f>
        <v>78566000</v>
      </c>
    </row>
    <row r="154" spans="1:19" x14ac:dyDescent="0.25">
      <c r="A154" s="614"/>
      <c r="C154" s="620"/>
      <c r="D154" s="612">
        <v>1899</v>
      </c>
      <c r="E154" s="580">
        <v>1424</v>
      </c>
      <c r="F154" s="579" t="s">
        <v>586</v>
      </c>
      <c r="G154" s="606">
        <f t="shared" si="389"/>
        <v>1210</v>
      </c>
      <c r="H154" s="547"/>
      <c r="I154" s="547">
        <v>1210</v>
      </c>
      <c r="J154" s="604">
        <v>4.82</v>
      </c>
      <c r="K154" s="608">
        <f t="shared" si="334"/>
        <v>2.41</v>
      </c>
      <c r="L154" s="604">
        <v>0.5</v>
      </c>
      <c r="M154" s="612"/>
      <c r="N154" s="612"/>
      <c r="O154" s="612"/>
      <c r="P154" s="609">
        <f t="shared" si="340"/>
        <v>2916.1000000000004</v>
      </c>
      <c r="Q154" s="609">
        <v>20</v>
      </c>
      <c r="R154" s="609">
        <f t="shared" si="335"/>
        <v>58322000.000000007</v>
      </c>
      <c r="S154" s="609">
        <f t="shared" si="337"/>
        <v>58322000.000000007</v>
      </c>
    </row>
    <row r="155" spans="1:19" x14ac:dyDescent="0.25">
      <c r="A155" s="614"/>
      <c r="B155" s="580"/>
      <c r="C155" s="620"/>
      <c r="D155" s="612"/>
      <c r="E155" s="580"/>
      <c r="F155" s="570" t="s">
        <v>586</v>
      </c>
      <c r="G155" s="606">
        <f t="shared" si="389"/>
        <v>210</v>
      </c>
      <c r="H155" s="547">
        <v>210</v>
      </c>
      <c r="I155" s="547"/>
      <c r="J155" s="604">
        <v>4.82</v>
      </c>
      <c r="K155" s="608">
        <f>J155-(J155*L155)</f>
        <v>0</v>
      </c>
      <c r="L155" s="604">
        <v>1</v>
      </c>
      <c r="M155" s="612"/>
      <c r="N155" s="612"/>
      <c r="O155" s="612"/>
      <c r="P155" s="609">
        <f>L155*J155*H155</f>
        <v>1012.2</v>
      </c>
      <c r="Q155" s="609">
        <v>20</v>
      </c>
      <c r="R155" s="609">
        <f t="shared" si="335"/>
        <v>20244000</v>
      </c>
      <c r="S155" s="609">
        <f t="shared" si="337"/>
        <v>20244000</v>
      </c>
    </row>
    <row r="156" spans="1:19" x14ac:dyDescent="0.25">
      <c r="A156" s="622"/>
      <c r="B156" s="623" t="s">
        <v>475</v>
      </c>
      <c r="C156" s="623"/>
      <c r="D156" s="624"/>
      <c r="E156" s="624"/>
      <c r="F156" s="625"/>
      <c r="G156" s="567"/>
      <c r="H156" s="567"/>
      <c r="I156" s="626"/>
      <c r="J156" s="627"/>
      <c r="K156" s="628"/>
      <c r="L156" s="624"/>
      <c r="M156" s="628"/>
      <c r="N156" s="624"/>
      <c r="O156" s="624"/>
      <c r="P156" s="624"/>
      <c r="Q156" s="629"/>
      <c r="R156" s="630"/>
      <c r="S156" s="630"/>
    </row>
    <row r="157" spans="1:19" x14ac:dyDescent="0.25">
      <c r="A157" s="551"/>
      <c r="B157" s="580" t="s">
        <v>599</v>
      </c>
      <c r="C157" s="620" t="s">
        <v>600</v>
      </c>
      <c r="D157" s="612">
        <v>1652</v>
      </c>
      <c r="E157" s="580">
        <v>1487</v>
      </c>
      <c r="F157" s="612" t="s">
        <v>586</v>
      </c>
      <c r="G157" s="606">
        <f>SUM(H157:I157)</f>
        <v>1487</v>
      </c>
      <c r="H157" s="547"/>
      <c r="I157" s="547">
        <v>1487</v>
      </c>
      <c r="J157" s="612">
        <v>4.82</v>
      </c>
      <c r="K157" s="608">
        <f t="shared" ref="K157:K180" si="405">J157-(J157*L157)</f>
        <v>2.41</v>
      </c>
      <c r="L157" s="618">
        <v>0.5</v>
      </c>
      <c r="M157" s="612"/>
      <c r="N157" s="580"/>
      <c r="O157" s="614"/>
      <c r="P157" s="609">
        <f t="shared" ref="P157:P179" si="406">L157*J157*I157</f>
        <v>3583.67</v>
      </c>
      <c r="Q157" s="609">
        <v>20</v>
      </c>
      <c r="R157" s="609">
        <f t="shared" ref="R157:R187" si="407">P157*Q157*1000</f>
        <v>71673400</v>
      </c>
      <c r="S157" s="609">
        <f t="shared" ref="S157:S187" si="408">R157+O157</f>
        <v>71673400</v>
      </c>
    </row>
    <row r="158" spans="1:19" s="595" customFormat="1" x14ac:dyDescent="0.25">
      <c r="A158" s="590"/>
      <c r="B158" s="580" t="s">
        <v>476</v>
      </c>
      <c r="C158" s="621"/>
      <c r="D158" s="519">
        <f>SUM(D159:D160)</f>
        <v>386.66666666666663</v>
      </c>
      <c r="E158" s="519">
        <f t="shared" ref="E158:S158" si="409">SUM(E159:E160)</f>
        <v>1077</v>
      </c>
      <c r="F158" s="519">
        <f t="shared" si="409"/>
        <v>0</v>
      </c>
      <c r="G158" s="519">
        <f t="shared" si="409"/>
        <v>290</v>
      </c>
      <c r="H158" s="519">
        <f t="shared" si="409"/>
        <v>10</v>
      </c>
      <c r="I158" s="519">
        <f t="shared" si="409"/>
        <v>280</v>
      </c>
      <c r="J158" s="519">
        <f t="shared" si="409"/>
        <v>9.64</v>
      </c>
      <c r="K158" s="519">
        <f t="shared" si="409"/>
        <v>2.41</v>
      </c>
      <c r="L158" s="519">
        <f t="shared" si="409"/>
        <v>1.5</v>
      </c>
      <c r="M158" s="519">
        <f t="shared" si="409"/>
        <v>0</v>
      </c>
      <c r="N158" s="519">
        <f t="shared" si="409"/>
        <v>0</v>
      </c>
      <c r="O158" s="519">
        <f t="shared" si="409"/>
        <v>0</v>
      </c>
      <c r="P158" s="519">
        <f t="shared" si="409"/>
        <v>723.00000000000011</v>
      </c>
      <c r="Q158" s="519">
        <f t="shared" si="409"/>
        <v>40</v>
      </c>
      <c r="R158" s="519">
        <f t="shared" si="409"/>
        <v>14460000.000000002</v>
      </c>
      <c r="S158" s="519">
        <f t="shared" si="409"/>
        <v>14460000.000000002</v>
      </c>
    </row>
    <row r="159" spans="1:19" x14ac:dyDescent="0.25">
      <c r="A159" s="551"/>
      <c r="C159" s="620" t="s">
        <v>600</v>
      </c>
      <c r="D159" s="612">
        <f t="shared" ref="D159:D177" si="410">G159/0.75</f>
        <v>13.333333333333334</v>
      </c>
      <c r="E159" s="580">
        <v>1077</v>
      </c>
      <c r="F159" s="612" t="s">
        <v>586</v>
      </c>
      <c r="G159" s="606">
        <f t="shared" ref="G159:G187" si="411">SUM(H159:I159)</f>
        <v>10</v>
      </c>
      <c r="H159" s="547">
        <v>10</v>
      </c>
      <c r="I159" s="547"/>
      <c r="J159" s="612">
        <v>4.82</v>
      </c>
      <c r="K159" s="608">
        <f>J159-(J159*L159)</f>
        <v>0</v>
      </c>
      <c r="L159" s="618">
        <v>1</v>
      </c>
      <c r="M159" s="612"/>
      <c r="N159" s="612"/>
      <c r="O159" s="614"/>
      <c r="P159" s="609">
        <f>L159*J159*H159</f>
        <v>48.2</v>
      </c>
      <c r="Q159" s="609">
        <v>20</v>
      </c>
      <c r="R159" s="609">
        <f t="shared" si="407"/>
        <v>964000</v>
      </c>
      <c r="S159" s="609">
        <f t="shared" si="408"/>
        <v>964000</v>
      </c>
    </row>
    <row r="160" spans="1:19" x14ac:dyDescent="0.25">
      <c r="A160" s="551"/>
      <c r="B160" s="580"/>
      <c r="C160" s="620"/>
      <c r="D160" s="612">
        <f t="shared" si="410"/>
        <v>373.33333333333331</v>
      </c>
      <c r="E160" s="580"/>
      <c r="F160" s="612" t="s">
        <v>586</v>
      </c>
      <c r="G160" s="606">
        <f t="shared" si="411"/>
        <v>280</v>
      </c>
      <c r="H160" s="547"/>
      <c r="I160" s="547">
        <v>280</v>
      </c>
      <c r="J160" s="612">
        <v>4.82</v>
      </c>
      <c r="K160" s="608">
        <f t="shared" si="405"/>
        <v>2.41</v>
      </c>
      <c r="L160" s="612">
        <v>0.5</v>
      </c>
      <c r="M160" s="612"/>
      <c r="N160" s="612"/>
      <c r="O160" s="612"/>
      <c r="P160" s="609">
        <f t="shared" si="406"/>
        <v>674.80000000000007</v>
      </c>
      <c r="Q160" s="609">
        <v>20</v>
      </c>
      <c r="R160" s="609">
        <f t="shared" si="407"/>
        <v>13496000.000000002</v>
      </c>
      <c r="S160" s="609">
        <f t="shared" si="408"/>
        <v>13496000.000000002</v>
      </c>
    </row>
    <row r="161" spans="1:19" x14ac:dyDescent="0.25">
      <c r="A161" s="551"/>
      <c r="B161" s="580" t="s">
        <v>601</v>
      </c>
      <c r="C161" s="620" t="s">
        <v>594</v>
      </c>
      <c r="D161" s="612">
        <f t="shared" si="410"/>
        <v>6.666666666666667</v>
      </c>
      <c r="E161" s="620">
        <v>2190</v>
      </c>
      <c r="F161" s="612" t="s">
        <v>586</v>
      </c>
      <c r="G161" s="606">
        <f t="shared" si="411"/>
        <v>5</v>
      </c>
      <c r="H161" s="631"/>
      <c r="I161" s="631">
        <v>5</v>
      </c>
      <c r="J161" s="612">
        <v>4.82</v>
      </c>
      <c r="K161" s="608">
        <f t="shared" si="405"/>
        <v>2.41</v>
      </c>
      <c r="L161" s="618">
        <v>0.5</v>
      </c>
      <c r="M161" s="597"/>
      <c r="N161" s="580"/>
      <c r="O161" s="615"/>
      <c r="P161" s="609">
        <f t="shared" si="406"/>
        <v>12.05</v>
      </c>
      <c r="Q161" s="609">
        <v>20</v>
      </c>
      <c r="R161" s="609">
        <f t="shared" si="407"/>
        <v>241000</v>
      </c>
      <c r="S161" s="609">
        <f t="shared" si="408"/>
        <v>241000</v>
      </c>
    </row>
    <row r="162" spans="1:19" s="595" customFormat="1" x14ac:dyDescent="0.25">
      <c r="A162" s="590"/>
      <c r="B162" s="580" t="s">
        <v>477</v>
      </c>
      <c r="C162" s="621"/>
      <c r="D162" s="519">
        <f>SUM(D163:D164)</f>
        <v>866.66666666666674</v>
      </c>
      <c r="E162" s="519">
        <f t="shared" ref="E162:S162" si="412">SUM(E163:E164)</f>
        <v>760</v>
      </c>
      <c r="F162" s="519">
        <f t="shared" si="412"/>
        <v>0</v>
      </c>
      <c r="G162" s="519">
        <f t="shared" si="412"/>
        <v>650</v>
      </c>
      <c r="H162" s="519">
        <f t="shared" si="412"/>
        <v>0</v>
      </c>
      <c r="I162" s="519">
        <f t="shared" si="412"/>
        <v>650</v>
      </c>
      <c r="J162" s="519">
        <f t="shared" si="412"/>
        <v>9.64</v>
      </c>
      <c r="K162" s="519">
        <f t="shared" si="412"/>
        <v>5.7840000000000007</v>
      </c>
      <c r="L162" s="519">
        <f t="shared" si="412"/>
        <v>0.8</v>
      </c>
      <c r="M162" s="519">
        <f t="shared" si="412"/>
        <v>0</v>
      </c>
      <c r="N162" s="519">
        <f t="shared" si="412"/>
        <v>0</v>
      </c>
      <c r="O162" s="519">
        <f t="shared" si="412"/>
        <v>0</v>
      </c>
      <c r="P162" s="519">
        <f t="shared" si="412"/>
        <v>1373.7</v>
      </c>
      <c r="Q162" s="519">
        <f t="shared" si="412"/>
        <v>40</v>
      </c>
      <c r="R162" s="519">
        <f t="shared" si="412"/>
        <v>27474000</v>
      </c>
      <c r="S162" s="519">
        <f t="shared" si="412"/>
        <v>27474000</v>
      </c>
    </row>
    <row r="163" spans="1:19" x14ac:dyDescent="0.25">
      <c r="A163" s="551"/>
      <c r="C163" s="620"/>
      <c r="D163" s="612">
        <f t="shared" si="410"/>
        <v>600</v>
      </c>
      <c r="E163" s="580">
        <v>760</v>
      </c>
      <c r="F163" s="612" t="s">
        <v>586</v>
      </c>
      <c r="G163" s="606">
        <f t="shared" si="411"/>
        <v>450</v>
      </c>
      <c r="H163" s="547"/>
      <c r="I163" s="547">
        <f>450</f>
        <v>450</v>
      </c>
      <c r="J163" s="612">
        <v>4.82</v>
      </c>
      <c r="K163" s="608">
        <f t="shared" si="405"/>
        <v>2.41</v>
      </c>
      <c r="L163" s="612">
        <v>0.5</v>
      </c>
      <c r="M163" s="612"/>
      <c r="N163" s="612"/>
      <c r="O163" s="612"/>
      <c r="P163" s="609">
        <f t="shared" si="406"/>
        <v>1084.5</v>
      </c>
      <c r="Q163" s="609">
        <v>20</v>
      </c>
      <c r="R163" s="609">
        <f t="shared" si="407"/>
        <v>21690000</v>
      </c>
      <c r="S163" s="609">
        <f t="shared" si="408"/>
        <v>21690000</v>
      </c>
    </row>
    <row r="164" spans="1:19" x14ac:dyDescent="0.25">
      <c r="A164" s="551"/>
      <c r="B164" s="580"/>
      <c r="C164" s="620"/>
      <c r="D164" s="612">
        <f t="shared" si="410"/>
        <v>266.66666666666669</v>
      </c>
      <c r="E164" s="580"/>
      <c r="F164" s="612" t="s">
        <v>474</v>
      </c>
      <c r="G164" s="606">
        <f t="shared" si="411"/>
        <v>200</v>
      </c>
      <c r="H164" s="547"/>
      <c r="I164" s="547">
        <v>200</v>
      </c>
      <c r="J164" s="612">
        <v>4.82</v>
      </c>
      <c r="K164" s="608">
        <f t="shared" si="405"/>
        <v>3.3740000000000006</v>
      </c>
      <c r="L164" s="612">
        <v>0.3</v>
      </c>
      <c r="M164" s="612"/>
      <c r="N164" s="612"/>
      <c r="O164" s="612"/>
      <c r="P164" s="609">
        <f t="shared" si="406"/>
        <v>289.2</v>
      </c>
      <c r="Q164" s="609">
        <v>20</v>
      </c>
      <c r="R164" s="609">
        <f t="shared" si="407"/>
        <v>5784000</v>
      </c>
      <c r="S164" s="609">
        <f t="shared" si="408"/>
        <v>5784000</v>
      </c>
    </row>
    <row r="165" spans="1:19" s="595" customFormat="1" x14ac:dyDescent="0.25">
      <c r="A165" s="590"/>
      <c r="B165" s="580" t="s">
        <v>602</v>
      </c>
      <c r="C165" s="621"/>
      <c r="D165" s="519">
        <f>SUM(D166:D169)</f>
        <v>1376</v>
      </c>
      <c r="E165" s="519">
        <f t="shared" ref="E165:S165" si="413">SUM(E166:E169)</f>
        <v>1151</v>
      </c>
      <c r="F165" s="519">
        <f t="shared" si="413"/>
        <v>0</v>
      </c>
      <c r="G165" s="519">
        <f t="shared" si="413"/>
        <v>1117</v>
      </c>
      <c r="H165" s="519">
        <f t="shared" si="413"/>
        <v>5</v>
      </c>
      <c r="I165" s="519">
        <f t="shared" si="413"/>
        <v>1112</v>
      </c>
      <c r="J165" s="519">
        <f t="shared" si="413"/>
        <v>19.28</v>
      </c>
      <c r="K165" s="519">
        <f t="shared" si="413"/>
        <v>5.7840000000000007</v>
      </c>
      <c r="L165" s="519">
        <f t="shared" si="413"/>
        <v>2.8</v>
      </c>
      <c r="M165" s="519">
        <f t="shared" si="413"/>
        <v>0</v>
      </c>
      <c r="N165" s="519">
        <f t="shared" si="413"/>
        <v>0</v>
      </c>
      <c r="O165" s="519">
        <f t="shared" si="413"/>
        <v>0</v>
      </c>
      <c r="P165" s="519">
        <f t="shared" si="413"/>
        <v>2626.9000000000005</v>
      </c>
      <c r="Q165" s="519">
        <f t="shared" si="413"/>
        <v>80</v>
      </c>
      <c r="R165" s="519">
        <f t="shared" si="413"/>
        <v>52538000.000000007</v>
      </c>
      <c r="S165" s="519">
        <f t="shared" si="413"/>
        <v>52538000.000000007</v>
      </c>
    </row>
    <row r="166" spans="1:19" x14ac:dyDescent="0.25">
      <c r="A166" s="551"/>
      <c r="C166" s="620"/>
      <c r="D166" s="612">
        <f t="shared" si="410"/>
        <v>1376</v>
      </c>
      <c r="E166" s="580">
        <v>1151</v>
      </c>
      <c r="F166" s="612" t="s">
        <v>586</v>
      </c>
      <c r="G166" s="606">
        <f t="shared" si="411"/>
        <v>1032</v>
      </c>
      <c r="H166" s="547"/>
      <c r="I166" s="547">
        <v>1032</v>
      </c>
      <c r="J166" s="612">
        <v>4.82</v>
      </c>
      <c r="K166" s="608">
        <f t="shared" si="405"/>
        <v>2.41</v>
      </c>
      <c r="L166" s="612">
        <v>0.5</v>
      </c>
      <c r="M166" s="612"/>
      <c r="N166" s="612"/>
      <c r="O166" s="612"/>
      <c r="P166" s="609">
        <f t="shared" si="406"/>
        <v>2487.1200000000003</v>
      </c>
      <c r="Q166" s="609">
        <v>20</v>
      </c>
      <c r="R166" s="609">
        <f t="shared" si="407"/>
        <v>49742400.000000007</v>
      </c>
      <c r="S166" s="609">
        <f t="shared" si="408"/>
        <v>49742400.000000007</v>
      </c>
    </row>
    <row r="167" spans="1:19" x14ac:dyDescent="0.25">
      <c r="A167" s="551"/>
      <c r="B167" s="580"/>
      <c r="C167" s="620"/>
      <c r="D167" s="612"/>
      <c r="E167" s="580"/>
      <c r="F167" s="612" t="s">
        <v>586</v>
      </c>
      <c r="G167" s="606">
        <f t="shared" ref="G167:G168" si="414">SUM(H167:I167)</f>
        <v>4</v>
      </c>
      <c r="H167" s="547">
        <v>4</v>
      </c>
      <c r="I167" s="547"/>
      <c r="J167" s="612">
        <v>4.82</v>
      </c>
      <c r="K167" s="608">
        <f t="shared" si="405"/>
        <v>0</v>
      </c>
      <c r="L167" s="618">
        <v>1</v>
      </c>
      <c r="M167" s="612"/>
      <c r="N167" s="612"/>
      <c r="O167" s="612"/>
      <c r="P167" s="609">
        <f>L167*J167*H167</f>
        <v>19.28</v>
      </c>
      <c r="Q167" s="609">
        <v>20</v>
      </c>
      <c r="R167" s="609">
        <f t="shared" si="407"/>
        <v>385600</v>
      </c>
      <c r="S167" s="609">
        <f t="shared" si="408"/>
        <v>385600</v>
      </c>
    </row>
    <row r="168" spans="1:19" x14ac:dyDescent="0.25">
      <c r="A168" s="551"/>
      <c r="B168" s="580"/>
      <c r="C168" s="620"/>
      <c r="D168" s="612"/>
      <c r="E168" s="580"/>
      <c r="F168" s="612" t="s">
        <v>474</v>
      </c>
      <c r="G168" s="606">
        <f t="shared" si="414"/>
        <v>80</v>
      </c>
      <c r="H168" s="547"/>
      <c r="I168" s="547">
        <v>80</v>
      </c>
      <c r="J168" s="612">
        <v>4.82</v>
      </c>
      <c r="K168" s="608">
        <f t="shared" si="405"/>
        <v>3.3740000000000006</v>
      </c>
      <c r="L168" s="612">
        <v>0.3</v>
      </c>
      <c r="M168" s="612"/>
      <c r="N168" s="612"/>
      <c r="O168" s="612"/>
      <c r="P168" s="609">
        <f t="shared" ref="P168" si="415">L168*J168*I168</f>
        <v>115.67999999999999</v>
      </c>
      <c r="Q168" s="609">
        <v>20</v>
      </c>
      <c r="R168" s="609">
        <f t="shared" si="407"/>
        <v>2313600</v>
      </c>
      <c r="S168" s="609">
        <f t="shared" si="408"/>
        <v>2313600</v>
      </c>
    </row>
    <row r="169" spans="1:19" x14ac:dyDescent="0.25">
      <c r="A169" s="551"/>
      <c r="B169" s="580"/>
      <c r="C169" s="620"/>
      <c r="D169" s="612"/>
      <c r="E169" s="580"/>
      <c r="F169" s="612" t="s">
        <v>474</v>
      </c>
      <c r="G169" s="606">
        <f t="shared" ref="G169" si="416">SUM(H169:I169)</f>
        <v>1</v>
      </c>
      <c r="H169" s="547">
        <v>1</v>
      </c>
      <c r="I169" s="547"/>
      <c r="J169" s="612">
        <v>4.82</v>
      </c>
      <c r="K169" s="608">
        <f t="shared" si="405"/>
        <v>0</v>
      </c>
      <c r="L169" s="618">
        <v>1</v>
      </c>
      <c r="M169" s="612"/>
      <c r="N169" s="612"/>
      <c r="O169" s="612"/>
      <c r="P169" s="609">
        <f>L169*J169*H169</f>
        <v>4.82</v>
      </c>
      <c r="Q169" s="609">
        <v>20</v>
      </c>
      <c r="R169" s="609">
        <f t="shared" si="407"/>
        <v>96400</v>
      </c>
      <c r="S169" s="609">
        <f t="shared" si="408"/>
        <v>96400</v>
      </c>
    </row>
    <row r="170" spans="1:19" s="595" customFormat="1" x14ac:dyDescent="0.25">
      <c r="A170" s="590"/>
      <c r="B170" s="580" t="s">
        <v>603</v>
      </c>
      <c r="C170" s="621"/>
      <c r="D170" s="519">
        <f>SUM(D171:D173)</f>
        <v>1900</v>
      </c>
      <c r="E170" s="519">
        <f t="shared" ref="E170:S170" si="417">SUM(E171:E173)</f>
        <v>1722</v>
      </c>
      <c r="F170" s="519">
        <f t="shared" si="417"/>
        <v>0</v>
      </c>
      <c r="G170" s="519">
        <f t="shared" si="417"/>
        <v>1580</v>
      </c>
      <c r="H170" s="519">
        <f t="shared" si="417"/>
        <v>670</v>
      </c>
      <c r="I170" s="519">
        <f t="shared" si="417"/>
        <v>910</v>
      </c>
      <c r="J170" s="519">
        <f t="shared" si="417"/>
        <v>14.46</v>
      </c>
      <c r="K170" s="519">
        <f t="shared" si="417"/>
        <v>4.82</v>
      </c>
      <c r="L170" s="519">
        <f t="shared" si="417"/>
        <v>2</v>
      </c>
      <c r="M170" s="519">
        <f t="shared" si="417"/>
        <v>1819.5500000000002</v>
      </c>
      <c r="N170" s="519">
        <f t="shared" si="417"/>
        <v>34324</v>
      </c>
      <c r="O170" s="519">
        <f t="shared" si="417"/>
        <v>12957310</v>
      </c>
      <c r="P170" s="519">
        <f t="shared" si="417"/>
        <v>3602.9500000000003</v>
      </c>
      <c r="Q170" s="519">
        <f t="shared" si="417"/>
        <v>40</v>
      </c>
      <c r="R170" s="519">
        <f t="shared" si="417"/>
        <v>72059000</v>
      </c>
      <c r="S170" s="519">
        <f t="shared" si="417"/>
        <v>85016310</v>
      </c>
    </row>
    <row r="171" spans="1:19" x14ac:dyDescent="0.25">
      <c r="A171" s="551"/>
      <c r="C171" s="620"/>
      <c r="D171" s="612">
        <f t="shared" si="410"/>
        <v>893.33333333333337</v>
      </c>
      <c r="E171" s="580">
        <v>1722</v>
      </c>
      <c r="F171" s="612" t="s">
        <v>586</v>
      </c>
      <c r="G171" s="606">
        <f t="shared" si="411"/>
        <v>670</v>
      </c>
      <c r="H171" s="547">
        <v>670</v>
      </c>
      <c r="I171" s="547"/>
      <c r="J171" s="612">
        <v>4.82</v>
      </c>
      <c r="K171" s="608">
        <f t="shared" si="405"/>
        <v>0</v>
      </c>
      <c r="L171" s="618">
        <v>1</v>
      </c>
      <c r="M171" s="612"/>
      <c r="N171" s="612"/>
      <c r="O171" s="612"/>
      <c r="P171" s="609">
        <f>L171*J171*H171</f>
        <v>3229.4</v>
      </c>
      <c r="Q171" s="609">
        <v>20</v>
      </c>
      <c r="R171" s="609">
        <f t="shared" si="407"/>
        <v>64588000</v>
      </c>
      <c r="S171" s="609">
        <f t="shared" si="408"/>
        <v>64588000</v>
      </c>
    </row>
    <row r="172" spans="1:19" x14ac:dyDescent="0.25">
      <c r="A172" s="551"/>
      <c r="B172" s="580"/>
      <c r="C172" s="620"/>
      <c r="D172" s="612"/>
      <c r="E172" s="580"/>
      <c r="F172" s="612" t="s">
        <v>586</v>
      </c>
      <c r="G172" s="606">
        <f t="shared" ref="G172" si="418">SUM(H172:I172)</f>
        <v>155</v>
      </c>
      <c r="H172" s="547"/>
      <c r="I172" s="547">
        <v>155</v>
      </c>
      <c r="J172" s="612">
        <v>4.82</v>
      </c>
      <c r="K172" s="608">
        <f t="shared" si="405"/>
        <v>2.41</v>
      </c>
      <c r="L172" s="612">
        <v>0.5</v>
      </c>
      <c r="M172" s="612"/>
      <c r="N172" s="612"/>
      <c r="O172" s="612"/>
      <c r="P172" s="609">
        <f t="shared" ref="P172" si="419">L172*J172*I172</f>
        <v>373.55</v>
      </c>
      <c r="Q172" s="609">
        <v>20</v>
      </c>
      <c r="R172" s="609">
        <f t="shared" si="407"/>
        <v>7471000</v>
      </c>
      <c r="S172" s="609">
        <f t="shared" si="408"/>
        <v>7471000</v>
      </c>
    </row>
    <row r="173" spans="1:19" x14ac:dyDescent="0.25">
      <c r="A173" s="551"/>
      <c r="B173" s="580"/>
      <c r="C173" s="620"/>
      <c r="D173" s="612">
        <f t="shared" si="410"/>
        <v>1006.6666666666666</v>
      </c>
      <c r="E173" s="580"/>
      <c r="F173" s="612" t="s">
        <v>539</v>
      </c>
      <c r="G173" s="606">
        <f t="shared" si="411"/>
        <v>755</v>
      </c>
      <c r="H173" s="547"/>
      <c r="I173" s="547">
        <v>755</v>
      </c>
      <c r="J173" s="612">
        <v>4.82</v>
      </c>
      <c r="K173" s="608">
        <f t="shared" si="405"/>
        <v>2.41</v>
      </c>
      <c r="L173" s="618">
        <v>0.5</v>
      </c>
      <c r="M173" s="529">
        <f>L173*J173*I173</f>
        <v>1819.5500000000002</v>
      </c>
      <c r="N173" s="619">
        <v>34324</v>
      </c>
      <c r="O173" s="576">
        <f>N173*L173*I173</f>
        <v>12957310</v>
      </c>
      <c r="P173" s="609"/>
      <c r="Q173" s="609"/>
      <c r="R173" s="609">
        <f t="shared" si="407"/>
        <v>0</v>
      </c>
      <c r="S173" s="609">
        <f t="shared" si="408"/>
        <v>12957310</v>
      </c>
    </row>
    <row r="174" spans="1:19" s="595" customFormat="1" x14ac:dyDescent="0.25">
      <c r="A174" s="590"/>
      <c r="B174" s="580" t="s">
        <v>604</v>
      </c>
      <c r="C174" s="621"/>
      <c r="D174" s="519">
        <f>SUM(D175:D176)</f>
        <v>125</v>
      </c>
      <c r="E174" s="519">
        <f t="shared" ref="E174" si="420">SUM(E175:E176)</f>
        <v>1106</v>
      </c>
      <c r="F174" s="519">
        <f t="shared" ref="F174" si="421">SUM(F175:F176)</f>
        <v>0</v>
      </c>
      <c r="G174" s="519">
        <f t="shared" ref="G174" si="422">SUM(G175:G176)</f>
        <v>121.75</v>
      </c>
      <c r="H174" s="519">
        <f t="shared" ref="H174" si="423">SUM(H175:H176)</f>
        <v>28</v>
      </c>
      <c r="I174" s="519">
        <f t="shared" ref="I174" si="424">SUM(I175:I176)</f>
        <v>93.75</v>
      </c>
      <c r="J174" s="519">
        <f t="shared" ref="J174" si="425">SUM(J175:J176)</f>
        <v>9.64</v>
      </c>
      <c r="K174" s="519">
        <f t="shared" ref="K174" si="426">SUM(K175:K176)</f>
        <v>2.41</v>
      </c>
      <c r="L174" s="519">
        <f t="shared" ref="L174" si="427">SUM(L175:L176)</f>
        <v>1.5</v>
      </c>
      <c r="M174" s="519">
        <f t="shared" ref="M174" si="428">SUM(M175:M176)</f>
        <v>0</v>
      </c>
      <c r="N174" s="519">
        <f t="shared" ref="N174" si="429">SUM(N175:N176)</f>
        <v>0</v>
      </c>
      <c r="O174" s="519">
        <f t="shared" ref="O174" si="430">SUM(O175:O176)</f>
        <v>0</v>
      </c>
      <c r="P174" s="519">
        <f t="shared" ref="P174" si="431">SUM(P175:P176)</f>
        <v>360.89750000000004</v>
      </c>
      <c r="Q174" s="519">
        <f t="shared" ref="Q174" si="432">SUM(Q175:Q176)</f>
        <v>40</v>
      </c>
      <c r="R174" s="519">
        <f t="shared" ref="R174" si="433">SUM(R175:R176)</f>
        <v>7217950</v>
      </c>
      <c r="S174" s="519">
        <f t="shared" ref="S174" si="434">SUM(S175:S176)</f>
        <v>7217950</v>
      </c>
    </row>
    <row r="175" spans="1:19" x14ac:dyDescent="0.25">
      <c r="A175" s="551"/>
      <c r="C175" s="620"/>
      <c r="D175" s="612">
        <f t="shared" si="410"/>
        <v>125</v>
      </c>
      <c r="E175" s="580">
        <v>1106</v>
      </c>
      <c r="F175" s="612" t="s">
        <v>474</v>
      </c>
      <c r="G175" s="606">
        <f t="shared" si="411"/>
        <v>93.75</v>
      </c>
      <c r="H175" s="547"/>
      <c r="I175" s="547">
        <v>93.75</v>
      </c>
      <c r="J175" s="612">
        <v>4.82</v>
      </c>
      <c r="K175" s="608">
        <f t="shared" si="405"/>
        <v>2.41</v>
      </c>
      <c r="L175" s="612">
        <v>0.5</v>
      </c>
      <c r="M175" s="612"/>
      <c r="N175" s="612"/>
      <c r="O175" s="612"/>
      <c r="P175" s="609">
        <f t="shared" si="406"/>
        <v>225.9375</v>
      </c>
      <c r="Q175" s="609">
        <v>20</v>
      </c>
      <c r="R175" s="609">
        <f t="shared" si="407"/>
        <v>4518750</v>
      </c>
      <c r="S175" s="609">
        <f t="shared" si="408"/>
        <v>4518750</v>
      </c>
    </row>
    <row r="176" spans="1:19" x14ac:dyDescent="0.25">
      <c r="A176" s="551"/>
      <c r="B176" s="580"/>
      <c r="C176" s="620"/>
      <c r="D176" s="612"/>
      <c r="E176" s="580"/>
      <c r="F176" s="612" t="s">
        <v>586</v>
      </c>
      <c r="G176" s="606">
        <f t="shared" si="411"/>
        <v>28</v>
      </c>
      <c r="H176" s="547">
        <v>28</v>
      </c>
      <c r="I176" s="547"/>
      <c r="J176" s="612">
        <v>4.82</v>
      </c>
      <c r="K176" s="608">
        <f t="shared" si="405"/>
        <v>0</v>
      </c>
      <c r="L176" s="612">
        <v>1</v>
      </c>
      <c r="M176" s="612"/>
      <c r="N176" s="612"/>
      <c r="O176" s="612"/>
      <c r="P176" s="609">
        <f>L176*J176*H176</f>
        <v>134.96</v>
      </c>
      <c r="Q176" s="609">
        <v>20</v>
      </c>
      <c r="R176" s="609">
        <f t="shared" si="407"/>
        <v>2699200.0000000005</v>
      </c>
      <c r="S176" s="609">
        <f t="shared" si="408"/>
        <v>2699200.0000000005</v>
      </c>
    </row>
    <row r="177" spans="1:19" x14ac:dyDescent="0.25">
      <c r="A177" s="551"/>
      <c r="B177" s="580" t="s">
        <v>605</v>
      </c>
      <c r="C177" s="620"/>
      <c r="D177" s="612">
        <f t="shared" si="410"/>
        <v>746.66666666666663</v>
      </c>
      <c r="E177" s="580">
        <v>746</v>
      </c>
      <c r="F177" s="612" t="s">
        <v>586</v>
      </c>
      <c r="G177" s="606">
        <f t="shared" si="411"/>
        <v>560</v>
      </c>
      <c r="H177" s="547"/>
      <c r="I177" s="547">
        <v>560</v>
      </c>
      <c r="J177" s="612">
        <v>4.82</v>
      </c>
      <c r="K177" s="608">
        <f t="shared" si="405"/>
        <v>2.41</v>
      </c>
      <c r="L177" s="612">
        <v>0.5</v>
      </c>
      <c r="M177" s="612"/>
      <c r="N177" s="612"/>
      <c r="O177" s="612"/>
      <c r="P177" s="609">
        <f t="shared" si="406"/>
        <v>1349.6000000000001</v>
      </c>
      <c r="Q177" s="609">
        <v>20</v>
      </c>
      <c r="R177" s="609">
        <f t="shared" si="407"/>
        <v>26992000.000000004</v>
      </c>
      <c r="S177" s="609">
        <f t="shared" si="408"/>
        <v>26992000.000000004</v>
      </c>
    </row>
    <row r="178" spans="1:19" s="595" customFormat="1" x14ac:dyDescent="0.25">
      <c r="A178" s="590"/>
      <c r="B178" s="580" t="s">
        <v>570</v>
      </c>
      <c r="C178" s="621"/>
      <c r="D178" s="519">
        <f>SUM(D179:D180)</f>
        <v>0</v>
      </c>
      <c r="E178" s="519">
        <f t="shared" ref="E178" si="435">SUM(E179:E180)</f>
        <v>769</v>
      </c>
      <c r="F178" s="519">
        <f t="shared" ref="F178" si="436">SUM(F179:F180)</f>
        <v>0</v>
      </c>
      <c r="G178" s="519">
        <f t="shared" ref="G178" si="437">SUM(G179:G180)</f>
        <v>687</v>
      </c>
      <c r="H178" s="519">
        <f t="shared" ref="H178" si="438">SUM(H179:H180)</f>
        <v>37</v>
      </c>
      <c r="I178" s="519">
        <f t="shared" ref="I178" si="439">SUM(I179:I180)</f>
        <v>650</v>
      </c>
      <c r="J178" s="519">
        <f t="shared" ref="J178" si="440">SUM(J179:J180)</f>
        <v>9.64</v>
      </c>
      <c r="K178" s="519">
        <f t="shared" ref="K178" si="441">SUM(K179:K180)</f>
        <v>2.41</v>
      </c>
      <c r="L178" s="519">
        <f t="shared" ref="L178" si="442">SUM(L179:L180)</f>
        <v>1.5</v>
      </c>
      <c r="M178" s="519">
        <f t="shared" ref="M178" si="443">SUM(M179:M180)</f>
        <v>0</v>
      </c>
      <c r="N178" s="519">
        <f t="shared" ref="N178" si="444">SUM(N179:N180)</f>
        <v>0</v>
      </c>
      <c r="O178" s="519">
        <f t="shared" ref="O178" si="445">SUM(O179:O180)</f>
        <v>0</v>
      </c>
      <c r="P178" s="519">
        <f t="shared" ref="P178" si="446">SUM(P179:P180)</f>
        <v>1744.84</v>
      </c>
      <c r="Q178" s="519">
        <f t="shared" ref="Q178" si="447">SUM(Q179:Q180)</f>
        <v>40</v>
      </c>
      <c r="R178" s="519">
        <f t="shared" ref="R178" si="448">SUM(R179:R180)</f>
        <v>34896800</v>
      </c>
      <c r="S178" s="519">
        <f t="shared" ref="S178" si="449">SUM(S179:S180)</f>
        <v>34896800</v>
      </c>
    </row>
    <row r="179" spans="1:19" x14ac:dyDescent="0.25">
      <c r="A179" s="551"/>
      <c r="C179" s="620" t="s">
        <v>606</v>
      </c>
      <c r="D179" s="612"/>
      <c r="E179" s="580">
        <v>769</v>
      </c>
      <c r="F179" s="612" t="s">
        <v>586</v>
      </c>
      <c r="G179" s="606">
        <f t="shared" si="411"/>
        <v>650</v>
      </c>
      <c r="H179" s="547"/>
      <c r="I179" s="547">
        <f>320+330</f>
        <v>650</v>
      </c>
      <c r="J179" s="612">
        <v>4.82</v>
      </c>
      <c r="K179" s="608">
        <f t="shared" si="405"/>
        <v>2.41</v>
      </c>
      <c r="L179" s="612">
        <v>0.5</v>
      </c>
      <c r="M179" s="612"/>
      <c r="N179" s="612"/>
      <c r="O179" s="612"/>
      <c r="P179" s="609">
        <f t="shared" si="406"/>
        <v>1566.5</v>
      </c>
      <c r="Q179" s="609">
        <v>20</v>
      </c>
      <c r="R179" s="609">
        <f t="shared" si="407"/>
        <v>31330000</v>
      </c>
      <c r="S179" s="609">
        <f t="shared" si="408"/>
        <v>31330000</v>
      </c>
    </row>
    <row r="180" spans="1:19" x14ac:dyDescent="0.25">
      <c r="A180" s="551"/>
      <c r="B180" s="580"/>
      <c r="C180" s="620"/>
      <c r="D180" s="612"/>
      <c r="E180" s="580"/>
      <c r="F180" s="612" t="s">
        <v>586</v>
      </c>
      <c r="G180" s="606">
        <f t="shared" si="411"/>
        <v>37</v>
      </c>
      <c r="H180" s="547">
        <v>37</v>
      </c>
      <c r="I180" s="547"/>
      <c r="J180" s="612">
        <v>4.82</v>
      </c>
      <c r="K180" s="608">
        <f t="shared" si="405"/>
        <v>0</v>
      </c>
      <c r="L180" s="612">
        <v>1</v>
      </c>
      <c r="M180" s="612"/>
      <c r="N180" s="612"/>
      <c r="O180" s="612"/>
      <c r="P180" s="609">
        <f>L180*J180*H180</f>
        <v>178.34</v>
      </c>
      <c r="Q180" s="609">
        <v>20</v>
      </c>
      <c r="R180" s="609">
        <f t="shared" si="407"/>
        <v>3566800</v>
      </c>
      <c r="S180" s="609">
        <f t="shared" si="408"/>
        <v>3566800</v>
      </c>
    </row>
    <row r="181" spans="1:19" s="595" customFormat="1" x14ac:dyDescent="0.25">
      <c r="A181" s="590"/>
      <c r="B181" s="580" t="s">
        <v>607</v>
      </c>
      <c r="C181" s="621"/>
      <c r="D181" s="519">
        <f>SUM(D182:D183)</f>
        <v>299</v>
      </c>
      <c r="E181" s="519">
        <f t="shared" ref="E181:S181" si="450">SUM(E182:E183)</f>
        <v>2056</v>
      </c>
      <c r="F181" s="519">
        <f t="shared" si="450"/>
        <v>0</v>
      </c>
      <c r="G181" s="519">
        <f t="shared" si="450"/>
        <v>399.90000000000003</v>
      </c>
      <c r="H181" s="519">
        <f t="shared" si="450"/>
        <v>0</v>
      </c>
      <c r="I181" s="519">
        <f t="shared" si="450"/>
        <v>399.90000000000003</v>
      </c>
      <c r="J181" s="519">
        <f t="shared" si="450"/>
        <v>9.64</v>
      </c>
      <c r="K181" s="519">
        <f t="shared" si="450"/>
        <v>5.7840000000000007</v>
      </c>
      <c r="L181" s="519">
        <f t="shared" si="450"/>
        <v>0.8</v>
      </c>
      <c r="M181" s="519">
        <f t="shared" si="450"/>
        <v>0</v>
      </c>
      <c r="N181" s="519">
        <f t="shared" si="450"/>
        <v>0</v>
      </c>
      <c r="O181" s="519">
        <f t="shared" si="450"/>
        <v>0</v>
      </c>
      <c r="P181" s="519">
        <f t="shared" si="450"/>
        <v>895.50780000000009</v>
      </c>
      <c r="Q181" s="519">
        <f t="shared" si="450"/>
        <v>40</v>
      </c>
      <c r="R181" s="519">
        <f t="shared" si="450"/>
        <v>17910156</v>
      </c>
      <c r="S181" s="519">
        <f t="shared" si="450"/>
        <v>17910156</v>
      </c>
    </row>
    <row r="182" spans="1:19" x14ac:dyDescent="0.25">
      <c r="A182" s="551"/>
      <c r="C182" s="620" t="s">
        <v>606</v>
      </c>
      <c r="D182" s="612">
        <v>299</v>
      </c>
      <c r="E182" s="580">
        <v>2056</v>
      </c>
      <c r="F182" s="612" t="s">
        <v>474</v>
      </c>
      <c r="G182" s="606">
        <f t="shared" si="411"/>
        <v>70.8</v>
      </c>
      <c r="H182" s="547"/>
      <c r="I182" s="547">
        <v>70.8</v>
      </c>
      <c r="J182" s="612">
        <v>4.82</v>
      </c>
      <c r="K182" s="608">
        <f>J182-(J182*L182)</f>
        <v>3.3740000000000006</v>
      </c>
      <c r="L182" s="612">
        <v>0.3</v>
      </c>
      <c r="M182" s="612"/>
      <c r="N182" s="612"/>
      <c r="O182" s="612"/>
      <c r="P182" s="609">
        <f>L182*J182*I182</f>
        <v>102.37679999999999</v>
      </c>
      <c r="Q182" s="609">
        <v>20</v>
      </c>
      <c r="R182" s="609">
        <f t="shared" si="407"/>
        <v>2047535.9999999998</v>
      </c>
      <c r="S182" s="609">
        <f t="shared" si="408"/>
        <v>2047535.9999999998</v>
      </c>
    </row>
    <row r="183" spans="1:19" x14ac:dyDescent="0.25">
      <c r="A183" s="551"/>
      <c r="B183" s="580"/>
      <c r="C183" s="620"/>
      <c r="D183" s="612"/>
      <c r="E183" s="580"/>
      <c r="F183" s="612" t="s">
        <v>586</v>
      </c>
      <c r="G183" s="606">
        <f t="shared" si="411"/>
        <v>329.1</v>
      </c>
      <c r="H183" s="547"/>
      <c r="I183" s="547">
        <v>329.1</v>
      </c>
      <c r="J183" s="612">
        <v>4.82</v>
      </c>
      <c r="K183" s="608">
        <f>J183-(J183*L183)</f>
        <v>2.41</v>
      </c>
      <c r="L183" s="612">
        <v>0.5</v>
      </c>
      <c r="M183" s="612"/>
      <c r="N183" s="612"/>
      <c r="O183" s="612"/>
      <c r="P183" s="609">
        <f>L183*J183*I183</f>
        <v>793.13100000000009</v>
      </c>
      <c r="Q183" s="609">
        <v>20</v>
      </c>
      <c r="R183" s="609">
        <f t="shared" si="407"/>
        <v>15862620.000000002</v>
      </c>
      <c r="S183" s="609">
        <f t="shared" si="408"/>
        <v>15862620.000000002</v>
      </c>
    </row>
    <row r="184" spans="1:19" s="595" customFormat="1" x14ac:dyDescent="0.25">
      <c r="A184" s="590"/>
      <c r="B184" s="580" t="s">
        <v>608</v>
      </c>
      <c r="C184" s="621"/>
      <c r="D184" s="519">
        <f>SUM(D185:D188)</f>
        <v>0</v>
      </c>
      <c r="E184" s="519">
        <f t="shared" ref="E184:S184" si="451">SUM(E185:E188)</f>
        <v>1410</v>
      </c>
      <c r="F184" s="519">
        <f t="shared" si="451"/>
        <v>0</v>
      </c>
      <c r="G184" s="519">
        <f t="shared" si="451"/>
        <v>985</v>
      </c>
      <c r="H184" s="519">
        <f t="shared" si="451"/>
        <v>10</v>
      </c>
      <c r="I184" s="519">
        <f t="shared" si="451"/>
        <v>975</v>
      </c>
      <c r="J184" s="519">
        <f t="shared" si="451"/>
        <v>14.46</v>
      </c>
      <c r="K184" s="519">
        <f t="shared" si="451"/>
        <v>5.7840000000000007</v>
      </c>
      <c r="L184" s="519">
        <f t="shared" si="451"/>
        <v>1.8</v>
      </c>
      <c r="M184" s="519">
        <f t="shared" si="451"/>
        <v>0</v>
      </c>
      <c r="N184" s="519">
        <f t="shared" si="451"/>
        <v>0</v>
      </c>
      <c r="O184" s="519">
        <f t="shared" si="451"/>
        <v>0</v>
      </c>
      <c r="P184" s="519">
        <f t="shared" si="451"/>
        <v>2156.9499999999998</v>
      </c>
      <c r="Q184" s="519">
        <f t="shared" si="451"/>
        <v>66</v>
      </c>
      <c r="R184" s="519">
        <f t="shared" si="451"/>
        <v>48838650</v>
      </c>
      <c r="S184" s="519">
        <f t="shared" si="451"/>
        <v>48838650</v>
      </c>
    </row>
    <row r="185" spans="1:19" x14ac:dyDescent="0.25">
      <c r="A185" s="551"/>
      <c r="C185" s="620"/>
      <c r="D185" s="612"/>
      <c r="E185" s="580">
        <v>1410</v>
      </c>
      <c r="F185" s="612" t="s">
        <v>474</v>
      </c>
      <c r="G185" s="606">
        <f t="shared" si="411"/>
        <v>250</v>
      </c>
      <c r="H185" s="547"/>
      <c r="I185" s="547">
        <v>250</v>
      </c>
      <c r="J185" s="612">
        <v>4.82</v>
      </c>
      <c r="K185" s="608">
        <f>J185-(J185*L185)</f>
        <v>3.3740000000000006</v>
      </c>
      <c r="L185" s="612">
        <v>0.3</v>
      </c>
      <c r="M185" s="612"/>
      <c r="N185" s="612"/>
      <c r="O185" s="612"/>
      <c r="P185" s="609">
        <f t="shared" ref="P185:P187" si="452">L185*J185*I185</f>
        <v>361.5</v>
      </c>
      <c r="Q185" s="609">
        <v>21</v>
      </c>
      <c r="R185" s="609">
        <f t="shared" si="407"/>
        <v>7591500</v>
      </c>
      <c r="S185" s="609">
        <f t="shared" si="408"/>
        <v>7591500</v>
      </c>
    </row>
    <row r="186" spans="1:19" x14ac:dyDescent="0.25">
      <c r="A186" s="551"/>
      <c r="B186" s="580"/>
      <c r="C186" s="620"/>
      <c r="D186" s="612"/>
      <c r="E186" s="580"/>
      <c r="F186" s="612" t="s">
        <v>586</v>
      </c>
      <c r="G186" s="606">
        <f t="shared" si="411"/>
        <v>10</v>
      </c>
      <c r="H186" s="547">
        <v>10</v>
      </c>
      <c r="I186" s="547"/>
      <c r="J186" s="612">
        <v>4.82</v>
      </c>
      <c r="K186" s="608">
        <f t="shared" ref="K186:K187" si="453">J186-(J186*L186)</f>
        <v>0</v>
      </c>
      <c r="L186" s="612">
        <v>1</v>
      </c>
      <c r="M186" s="612"/>
      <c r="N186" s="612"/>
      <c r="O186" s="612"/>
      <c r="P186" s="609">
        <f>L186*J186*H186</f>
        <v>48.2</v>
      </c>
      <c r="Q186" s="609">
        <v>22</v>
      </c>
      <c r="R186" s="609">
        <f t="shared" si="407"/>
        <v>1060400</v>
      </c>
      <c r="S186" s="609">
        <f t="shared" si="408"/>
        <v>1060400</v>
      </c>
    </row>
    <row r="187" spans="1:19" x14ac:dyDescent="0.25">
      <c r="A187" s="551"/>
      <c r="B187" s="580"/>
      <c r="C187" s="620"/>
      <c r="D187" s="612"/>
      <c r="E187" s="580"/>
      <c r="F187" s="612" t="s">
        <v>586</v>
      </c>
      <c r="G187" s="632">
        <f t="shared" si="411"/>
        <v>725</v>
      </c>
      <c r="H187" s="633"/>
      <c r="I187" s="633">
        <v>725</v>
      </c>
      <c r="J187" s="612">
        <v>4.82</v>
      </c>
      <c r="K187" s="608">
        <f t="shared" si="453"/>
        <v>2.41</v>
      </c>
      <c r="L187" s="612">
        <v>0.5</v>
      </c>
      <c r="M187" s="612"/>
      <c r="N187" s="612"/>
      <c r="O187" s="612"/>
      <c r="P187" s="609">
        <f t="shared" si="452"/>
        <v>1747.25</v>
      </c>
      <c r="Q187" s="609">
        <v>23</v>
      </c>
      <c r="R187" s="609">
        <f t="shared" si="407"/>
        <v>40186750</v>
      </c>
      <c r="S187" s="609">
        <f t="shared" si="408"/>
        <v>40186750</v>
      </c>
    </row>
    <row r="188" spans="1:19" x14ac:dyDescent="0.25">
      <c r="A188" s="551"/>
      <c r="B188" s="580"/>
      <c r="C188" s="620"/>
      <c r="D188" s="612"/>
      <c r="E188" s="580"/>
      <c r="F188" s="612"/>
      <c r="G188" s="606"/>
      <c r="H188" s="547"/>
      <c r="I188" s="612"/>
      <c r="J188" s="612"/>
      <c r="K188" s="608"/>
      <c r="L188" s="612"/>
      <c r="M188" s="612"/>
      <c r="N188" s="612"/>
      <c r="O188" s="612"/>
      <c r="P188" s="609"/>
      <c r="Q188" s="609"/>
      <c r="R188" s="609"/>
      <c r="S188" s="609"/>
    </row>
    <row r="189" spans="1:19" x14ac:dyDescent="0.25">
      <c r="A189" s="634"/>
      <c r="B189" s="635" t="s">
        <v>271</v>
      </c>
      <c r="C189" s="635"/>
      <c r="D189" s="636"/>
      <c r="E189" s="636">
        <f>SUM(E192:E400)</f>
        <v>306252</v>
      </c>
      <c r="F189" s="636">
        <f>SUM(F324:F326)</f>
        <v>0</v>
      </c>
      <c r="G189" s="636">
        <f>SUM(G190:G400)</f>
        <v>119553.12</v>
      </c>
      <c r="H189" s="636">
        <f>SUM(H190:H400)</f>
        <v>8293.32</v>
      </c>
      <c r="I189" s="636">
        <f>SUM(I190:I400)</f>
        <v>111259.8</v>
      </c>
      <c r="J189" s="636"/>
      <c r="K189" s="636"/>
      <c r="L189" s="636"/>
      <c r="M189" s="636">
        <f>SUM(M190:M400)</f>
        <v>0</v>
      </c>
      <c r="N189" s="636"/>
      <c r="O189" s="636">
        <f>SUM(O190:O400)</f>
        <v>54712453.330000013</v>
      </c>
      <c r="P189" s="636">
        <f>SUM(P190:P400)</f>
        <v>141901.55009999999</v>
      </c>
      <c r="Q189" s="636">
        <v>20</v>
      </c>
      <c r="R189" s="636">
        <f>SUM(R190:R400)</f>
        <v>2838031002</v>
      </c>
      <c r="S189" s="636">
        <f>SUM(S190:S400)</f>
        <v>2892743455.3299999</v>
      </c>
    </row>
    <row r="190" spans="1:19" x14ac:dyDescent="0.25">
      <c r="A190" s="637"/>
      <c r="B190" s="638" t="s">
        <v>609</v>
      </c>
      <c r="C190" s="638"/>
      <c r="D190" s="639"/>
      <c r="E190" s="639"/>
      <c r="F190" s="639"/>
      <c r="G190" s="639"/>
      <c r="H190" s="639"/>
      <c r="I190" s="639"/>
      <c r="J190" s="639"/>
      <c r="K190" s="639"/>
      <c r="L190" s="639"/>
      <c r="M190" s="639"/>
      <c r="N190" s="639"/>
      <c r="O190" s="639"/>
      <c r="P190" s="639"/>
      <c r="Q190" s="639"/>
      <c r="R190" s="639"/>
      <c r="S190" s="639"/>
    </row>
    <row r="191" spans="1:19" s="595" customFormat="1" x14ac:dyDescent="0.25">
      <c r="A191" s="640"/>
      <c r="B191" s="641" t="s">
        <v>479</v>
      </c>
      <c r="C191" s="642"/>
      <c r="D191" s="643"/>
      <c r="E191" s="644">
        <f>SUM(E192:E193)</f>
        <v>7945</v>
      </c>
      <c r="F191" s="644">
        <f t="shared" ref="F191" si="454">SUM(F192:F193)</f>
        <v>0</v>
      </c>
      <c r="G191" s="644">
        <f t="shared" ref="G191" si="455">SUM(G192:G193)</f>
        <v>2356</v>
      </c>
      <c r="H191" s="644">
        <f t="shared" ref="H191" si="456">SUM(H192:H193)</f>
        <v>0</v>
      </c>
      <c r="I191" s="644">
        <f t="shared" ref="I191" si="457">SUM(I192:I193)</f>
        <v>2356</v>
      </c>
      <c r="J191" s="644">
        <f t="shared" ref="J191" si="458">SUM(J192:J193)</f>
        <v>8.6999999999999993</v>
      </c>
      <c r="K191" s="644">
        <f t="shared" ref="K191" si="459">SUM(K192:K193)</f>
        <v>6.09</v>
      </c>
      <c r="L191" s="644">
        <f t="shared" ref="L191" si="460">SUM(L192:L193)</f>
        <v>0.6</v>
      </c>
      <c r="M191" s="644">
        <f t="shared" ref="M191" si="461">SUM(M192:M193)</f>
        <v>0</v>
      </c>
      <c r="N191" s="644">
        <f t="shared" ref="N191" si="462">SUM(N192:N193)</f>
        <v>0</v>
      </c>
      <c r="O191" s="644">
        <f t="shared" ref="O191" si="463">SUM(O192:O193)</f>
        <v>0</v>
      </c>
      <c r="P191" s="644">
        <f t="shared" ref="P191" si="464">SUM(P192:P193)</f>
        <v>3403.4399999999996</v>
      </c>
      <c r="Q191" s="644">
        <f t="shared" ref="Q191" si="465">SUM(Q192:Q193)</f>
        <v>40</v>
      </c>
      <c r="R191" s="644">
        <f t="shared" ref="R191" si="466">SUM(R192:R193)</f>
        <v>68068800</v>
      </c>
      <c r="S191" s="644">
        <f t="shared" ref="S191" si="467">SUM(S192:S193)</f>
        <v>68068800</v>
      </c>
    </row>
    <row r="192" spans="1:19" x14ac:dyDescent="0.25">
      <c r="A192" s="645">
        <v>1</v>
      </c>
      <c r="C192" s="646"/>
      <c r="D192" s="647"/>
      <c r="E192" s="648">
        <v>7945</v>
      </c>
      <c r="F192" s="648" t="s">
        <v>586</v>
      </c>
      <c r="G192" s="612">
        <f>SUM(H192:I192)</f>
        <v>1934</v>
      </c>
      <c r="H192" s="614"/>
      <c r="I192" s="614">
        <v>1934</v>
      </c>
      <c r="J192" s="614">
        <v>4.3499999999999996</v>
      </c>
      <c r="K192" s="648">
        <f t="shared" ref="K192:K400" si="468">J192-(J192*L192)</f>
        <v>2.8274999999999997</v>
      </c>
      <c r="L192" s="648">
        <v>0.35</v>
      </c>
      <c r="M192" s="647"/>
      <c r="N192" s="648"/>
      <c r="O192" s="648">
        <f>SUM(N192*H192)</f>
        <v>0</v>
      </c>
      <c r="P192" s="648">
        <f t="shared" ref="P192:P203" si="469">SUM(I192*J192*L192)</f>
        <v>2944.5149999999999</v>
      </c>
      <c r="Q192" s="648">
        <v>20</v>
      </c>
      <c r="R192" s="648">
        <f>SUM(P192*1000*20)</f>
        <v>58890300</v>
      </c>
      <c r="S192" s="648">
        <f t="shared" ref="S192:S271" si="470">SUM(O192+R192)</f>
        <v>58890300</v>
      </c>
    </row>
    <row r="193" spans="1:19" x14ac:dyDescent="0.25">
      <c r="A193" s="645"/>
      <c r="B193" s="646"/>
      <c r="C193" s="646"/>
      <c r="D193" s="647"/>
      <c r="E193" s="648"/>
      <c r="F193" s="648" t="s">
        <v>474</v>
      </c>
      <c r="G193" s="612">
        <f t="shared" ref="G193:G400" si="471">SUM(H193:I193)</f>
        <v>422</v>
      </c>
      <c r="H193" s="614"/>
      <c r="I193" s="614">
        <v>422</v>
      </c>
      <c r="J193" s="614">
        <v>4.3499999999999996</v>
      </c>
      <c r="K193" s="648">
        <f t="shared" si="468"/>
        <v>3.2624999999999997</v>
      </c>
      <c r="L193" s="648">
        <v>0.25</v>
      </c>
      <c r="M193" s="647"/>
      <c r="N193" s="648"/>
      <c r="O193" s="648">
        <f>SUM(N193*L193*I193)</f>
        <v>0</v>
      </c>
      <c r="P193" s="648">
        <f t="shared" si="469"/>
        <v>458.92499999999995</v>
      </c>
      <c r="Q193" s="648">
        <v>20</v>
      </c>
      <c r="R193" s="648">
        <f t="shared" ref="R193:R400" si="472">SUM(P193*1000*20)</f>
        <v>9178499.9999999981</v>
      </c>
      <c r="S193" s="648">
        <f t="shared" si="470"/>
        <v>9178499.9999999981</v>
      </c>
    </row>
    <row r="194" spans="1:19" s="595" customFormat="1" x14ac:dyDescent="0.25">
      <c r="A194" s="640"/>
      <c r="B194" s="641" t="s">
        <v>610</v>
      </c>
      <c r="C194" s="642"/>
      <c r="D194" s="643"/>
      <c r="E194" s="644">
        <f>SUM(E195:E197)</f>
        <v>3684</v>
      </c>
      <c r="F194" s="644">
        <f t="shared" ref="F194:S194" si="473">SUM(F195:F197)</f>
        <v>0</v>
      </c>
      <c r="G194" s="644">
        <f t="shared" si="473"/>
        <v>1478.5</v>
      </c>
      <c r="H194" s="644">
        <f t="shared" si="473"/>
        <v>0</v>
      </c>
      <c r="I194" s="644">
        <f t="shared" si="473"/>
        <v>1478.5</v>
      </c>
      <c r="J194" s="644">
        <f t="shared" si="473"/>
        <v>13.049999999999999</v>
      </c>
      <c r="K194" s="644">
        <f t="shared" si="473"/>
        <v>9.5699999999999985</v>
      </c>
      <c r="L194" s="644">
        <f t="shared" si="473"/>
        <v>0.8</v>
      </c>
      <c r="M194" s="644">
        <f t="shared" si="473"/>
        <v>0</v>
      </c>
      <c r="N194" s="644">
        <f t="shared" si="473"/>
        <v>0</v>
      </c>
      <c r="O194" s="644">
        <f t="shared" si="473"/>
        <v>0</v>
      </c>
      <c r="P194" s="644">
        <f t="shared" si="473"/>
        <v>1880.8312499999997</v>
      </c>
      <c r="Q194" s="644">
        <f t="shared" si="473"/>
        <v>60</v>
      </c>
      <c r="R194" s="644">
        <f t="shared" si="473"/>
        <v>37616624.999999993</v>
      </c>
      <c r="S194" s="644">
        <f t="shared" si="473"/>
        <v>37616624.999999993</v>
      </c>
    </row>
    <row r="195" spans="1:19" x14ac:dyDescent="0.25">
      <c r="A195" s="645">
        <v>2</v>
      </c>
      <c r="C195" s="646"/>
      <c r="D195" s="647"/>
      <c r="E195" s="648">
        <v>3684</v>
      </c>
      <c r="F195" s="648" t="s">
        <v>487</v>
      </c>
      <c r="G195" s="612">
        <f t="shared" si="471"/>
        <v>173.5</v>
      </c>
      <c r="H195" s="614"/>
      <c r="I195" s="614">
        <v>173.5</v>
      </c>
      <c r="J195" s="614">
        <v>4.3499999999999996</v>
      </c>
      <c r="K195" s="648">
        <f t="shared" si="468"/>
        <v>3.2624999999999997</v>
      </c>
      <c r="L195" s="648">
        <v>0.25</v>
      </c>
      <c r="M195" s="647"/>
      <c r="N195" s="648"/>
      <c r="O195" s="648"/>
      <c r="P195" s="648">
        <f t="shared" si="469"/>
        <v>188.68124999999998</v>
      </c>
      <c r="Q195" s="648">
        <v>20</v>
      </c>
      <c r="R195" s="648">
        <f t="shared" si="472"/>
        <v>3773624.9999999995</v>
      </c>
      <c r="S195" s="648">
        <f t="shared" si="470"/>
        <v>3773624.9999999995</v>
      </c>
    </row>
    <row r="196" spans="1:19" x14ac:dyDescent="0.25">
      <c r="A196" s="645"/>
      <c r="B196" s="646"/>
      <c r="C196" s="646"/>
      <c r="D196" s="647"/>
      <c r="E196" s="648"/>
      <c r="F196" s="648" t="s">
        <v>504</v>
      </c>
      <c r="G196" s="612">
        <f t="shared" si="471"/>
        <v>1255</v>
      </c>
      <c r="H196" s="614"/>
      <c r="I196" s="614">
        <v>1255</v>
      </c>
      <c r="J196" s="614">
        <v>4.3499999999999996</v>
      </c>
      <c r="K196" s="648">
        <f t="shared" si="468"/>
        <v>3.0449999999999999</v>
      </c>
      <c r="L196" s="648">
        <v>0.3</v>
      </c>
      <c r="M196" s="647"/>
      <c r="N196" s="648"/>
      <c r="O196" s="648"/>
      <c r="P196" s="648">
        <f t="shared" si="469"/>
        <v>1637.7749999999999</v>
      </c>
      <c r="Q196" s="648">
        <v>20</v>
      </c>
      <c r="R196" s="648">
        <f t="shared" si="472"/>
        <v>32755499.999999996</v>
      </c>
      <c r="S196" s="648">
        <f t="shared" si="470"/>
        <v>32755499.999999996</v>
      </c>
    </row>
    <row r="197" spans="1:19" x14ac:dyDescent="0.25">
      <c r="A197" s="645"/>
      <c r="B197" s="646"/>
      <c r="C197" s="646"/>
      <c r="D197" s="647"/>
      <c r="E197" s="648"/>
      <c r="F197" s="648" t="s">
        <v>611</v>
      </c>
      <c r="G197" s="612">
        <f t="shared" si="471"/>
        <v>50</v>
      </c>
      <c r="H197" s="614"/>
      <c r="I197" s="614">
        <v>50</v>
      </c>
      <c r="J197" s="614">
        <v>4.3499999999999996</v>
      </c>
      <c r="K197" s="648">
        <f t="shared" si="468"/>
        <v>3.2624999999999997</v>
      </c>
      <c r="L197" s="648">
        <v>0.25</v>
      </c>
      <c r="M197" s="647"/>
      <c r="N197" s="648"/>
      <c r="O197" s="648"/>
      <c r="P197" s="648">
        <f t="shared" si="469"/>
        <v>54.374999999999993</v>
      </c>
      <c r="Q197" s="648">
        <v>20</v>
      </c>
      <c r="R197" s="648">
        <f t="shared" si="472"/>
        <v>1087499.9999999998</v>
      </c>
      <c r="S197" s="648">
        <f t="shared" si="470"/>
        <v>1087499.9999999998</v>
      </c>
    </row>
    <row r="198" spans="1:19" s="595" customFormat="1" x14ac:dyDescent="0.25">
      <c r="A198" s="640"/>
      <c r="B198" s="641" t="s">
        <v>612</v>
      </c>
      <c r="C198" s="642"/>
      <c r="D198" s="643"/>
      <c r="E198" s="644">
        <f>SUM(E199:E200)</f>
        <v>3802</v>
      </c>
      <c r="F198" s="644">
        <f t="shared" ref="F198" si="474">SUM(F199:F200)</f>
        <v>0</v>
      </c>
      <c r="G198" s="644">
        <f t="shared" ref="G198" si="475">SUM(G199:G200)</f>
        <v>684</v>
      </c>
      <c r="H198" s="644">
        <f t="shared" ref="H198" si="476">SUM(H199:H200)</f>
        <v>0</v>
      </c>
      <c r="I198" s="644">
        <f t="shared" ref="I198" si="477">SUM(I199:I200)</f>
        <v>684</v>
      </c>
      <c r="J198" s="644">
        <f t="shared" ref="J198" si="478">SUM(J199:J200)</f>
        <v>8.6999999999999993</v>
      </c>
      <c r="K198" s="644">
        <f t="shared" ref="K198" si="479">SUM(K199:K200)</f>
        <v>6.5249999999999995</v>
      </c>
      <c r="L198" s="644">
        <f t="shared" ref="L198" si="480">SUM(L199:L200)</f>
        <v>0.5</v>
      </c>
      <c r="M198" s="644">
        <f t="shared" ref="M198" si="481">SUM(M199:M200)</f>
        <v>0</v>
      </c>
      <c r="N198" s="644">
        <f t="shared" ref="N198" si="482">SUM(N199:N200)</f>
        <v>0</v>
      </c>
      <c r="O198" s="644">
        <f t="shared" ref="O198" si="483">SUM(O199:O200)</f>
        <v>0</v>
      </c>
      <c r="P198" s="644">
        <f t="shared" ref="P198" si="484">SUM(P199:P200)</f>
        <v>864.78</v>
      </c>
      <c r="Q198" s="644">
        <f t="shared" ref="Q198" si="485">SUM(Q199:Q200)</f>
        <v>40</v>
      </c>
      <c r="R198" s="644">
        <f t="shared" ref="R198" si="486">SUM(R199:R200)</f>
        <v>17295600</v>
      </c>
      <c r="S198" s="644">
        <f t="shared" ref="S198" si="487">SUM(S199:S200)</f>
        <v>17295600</v>
      </c>
    </row>
    <row r="199" spans="1:19" x14ac:dyDescent="0.25">
      <c r="A199" s="645">
        <v>3</v>
      </c>
      <c r="C199" s="646"/>
      <c r="D199" s="647"/>
      <c r="E199" s="648">
        <v>3802</v>
      </c>
      <c r="F199" s="648" t="s">
        <v>504</v>
      </c>
      <c r="G199" s="612">
        <f t="shared" si="471"/>
        <v>620</v>
      </c>
      <c r="H199" s="614"/>
      <c r="I199" s="614">
        <v>620</v>
      </c>
      <c r="J199" s="614">
        <v>4.3499999999999996</v>
      </c>
      <c r="K199" s="648">
        <f t="shared" si="468"/>
        <v>3.0449999999999999</v>
      </c>
      <c r="L199" s="648">
        <v>0.3</v>
      </c>
      <c r="M199" s="647"/>
      <c r="N199" s="648"/>
      <c r="O199" s="648"/>
      <c r="P199" s="648">
        <f t="shared" si="469"/>
        <v>809.1</v>
      </c>
      <c r="Q199" s="648">
        <v>20</v>
      </c>
      <c r="R199" s="648">
        <f t="shared" si="472"/>
        <v>16182000</v>
      </c>
      <c r="S199" s="648">
        <f t="shared" si="470"/>
        <v>16182000</v>
      </c>
    </row>
    <row r="200" spans="1:19" x14ac:dyDescent="0.25">
      <c r="A200" s="645"/>
      <c r="B200" s="646"/>
      <c r="C200" s="646"/>
      <c r="D200" s="647"/>
      <c r="E200" s="648"/>
      <c r="F200" s="648" t="s">
        <v>481</v>
      </c>
      <c r="G200" s="612">
        <f t="shared" si="471"/>
        <v>64</v>
      </c>
      <c r="H200" s="614"/>
      <c r="I200" s="614">
        <v>64</v>
      </c>
      <c r="J200" s="614">
        <v>4.3499999999999996</v>
      </c>
      <c r="K200" s="648">
        <f t="shared" si="468"/>
        <v>3.4799999999999995</v>
      </c>
      <c r="L200" s="648">
        <v>0.2</v>
      </c>
      <c r="M200" s="647"/>
      <c r="N200" s="648"/>
      <c r="O200" s="648"/>
      <c r="P200" s="648">
        <f t="shared" si="469"/>
        <v>55.68</v>
      </c>
      <c r="Q200" s="648">
        <v>20</v>
      </c>
      <c r="R200" s="648">
        <f t="shared" si="472"/>
        <v>1113600</v>
      </c>
      <c r="S200" s="648">
        <f t="shared" si="470"/>
        <v>1113600</v>
      </c>
    </row>
    <row r="201" spans="1:19" s="595" customFormat="1" x14ac:dyDescent="0.25">
      <c r="A201" s="640"/>
      <c r="B201" s="641" t="s">
        <v>613</v>
      </c>
      <c r="C201" s="642"/>
      <c r="D201" s="643"/>
      <c r="E201" s="644">
        <f>SUM(E202:E203)</f>
        <v>2070</v>
      </c>
      <c r="F201" s="644">
        <f t="shared" ref="F201:S201" si="488">SUM(F202:F203)</f>
        <v>0</v>
      </c>
      <c r="G201" s="644">
        <f t="shared" si="488"/>
        <v>1010</v>
      </c>
      <c r="H201" s="644">
        <f t="shared" si="488"/>
        <v>0</v>
      </c>
      <c r="I201" s="644">
        <f t="shared" si="488"/>
        <v>1010</v>
      </c>
      <c r="J201" s="644">
        <f t="shared" si="488"/>
        <v>8.6999999999999993</v>
      </c>
      <c r="K201" s="644">
        <f t="shared" si="488"/>
        <v>6.5249999999999995</v>
      </c>
      <c r="L201" s="644">
        <f t="shared" si="488"/>
        <v>0.5</v>
      </c>
      <c r="M201" s="644">
        <f t="shared" si="488"/>
        <v>0</v>
      </c>
      <c r="N201" s="644">
        <f t="shared" si="488"/>
        <v>0</v>
      </c>
      <c r="O201" s="644">
        <f t="shared" si="488"/>
        <v>0</v>
      </c>
      <c r="P201" s="644">
        <f t="shared" si="488"/>
        <v>1074.4499999999998</v>
      </c>
      <c r="Q201" s="644">
        <f t="shared" si="488"/>
        <v>40</v>
      </c>
      <c r="R201" s="644">
        <f t="shared" si="488"/>
        <v>21489000</v>
      </c>
      <c r="S201" s="644">
        <f t="shared" si="488"/>
        <v>21489000</v>
      </c>
    </row>
    <row r="202" spans="1:19" x14ac:dyDescent="0.25">
      <c r="A202" s="645">
        <v>4</v>
      </c>
      <c r="C202" s="646"/>
      <c r="D202" s="647"/>
      <c r="E202" s="648">
        <v>2070</v>
      </c>
      <c r="F202" s="648" t="s">
        <v>487</v>
      </c>
      <c r="G202" s="612">
        <f t="shared" si="471"/>
        <v>450</v>
      </c>
      <c r="H202" s="614"/>
      <c r="I202" s="614">
        <v>450</v>
      </c>
      <c r="J202" s="614">
        <v>4.3499999999999996</v>
      </c>
      <c r="K202" s="648">
        <f t="shared" si="468"/>
        <v>3.0449999999999999</v>
      </c>
      <c r="L202" s="648">
        <v>0.3</v>
      </c>
      <c r="M202" s="647"/>
      <c r="N202" s="648"/>
      <c r="O202" s="648"/>
      <c r="P202" s="648">
        <f t="shared" si="469"/>
        <v>587.24999999999989</v>
      </c>
      <c r="Q202" s="648">
        <v>20</v>
      </c>
      <c r="R202" s="648">
        <f t="shared" si="472"/>
        <v>11744999.999999998</v>
      </c>
      <c r="S202" s="648">
        <f t="shared" si="470"/>
        <v>11744999.999999998</v>
      </c>
    </row>
    <row r="203" spans="1:19" x14ac:dyDescent="0.25">
      <c r="A203" s="645"/>
      <c r="B203" s="646"/>
      <c r="C203" s="646"/>
      <c r="D203" s="647"/>
      <c r="E203" s="648"/>
      <c r="F203" s="648" t="s">
        <v>504</v>
      </c>
      <c r="G203" s="612">
        <f t="shared" si="471"/>
        <v>560</v>
      </c>
      <c r="H203" s="614"/>
      <c r="I203" s="614">
        <v>560</v>
      </c>
      <c r="J203" s="614">
        <v>4.3499999999999996</v>
      </c>
      <c r="K203" s="648">
        <f t="shared" si="468"/>
        <v>3.4799999999999995</v>
      </c>
      <c r="L203" s="648">
        <v>0.2</v>
      </c>
      <c r="M203" s="647"/>
      <c r="N203" s="648"/>
      <c r="O203" s="648"/>
      <c r="P203" s="648">
        <f t="shared" si="469"/>
        <v>487.20000000000005</v>
      </c>
      <c r="Q203" s="648">
        <v>20</v>
      </c>
      <c r="R203" s="648">
        <f t="shared" si="472"/>
        <v>9744000.0000000019</v>
      </c>
      <c r="S203" s="648">
        <f t="shared" si="470"/>
        <v>9744000.0000000019</v>
      </c>
    </row>
    <row r="204" spans="1:19" s="595" customFormat="1" x14ac:dyDescent="0.25">
      <c r="A204" s="640"/>
      <c r="B204" s="641" t="s">
        <v>614</v>
      </c>
      <c r="C204" s="642"/>
      <c r="D204" s="643"/>
      <c r="E204" s="644">
        <f>SUM(E205:E209)</f>
        <v>2198</v>
      </c>
      <c r="F204" s="644">
        <f t="shared" ref="F204:S204" si="489">SUM(F205:F209)</f>
        <v>0</v>
      </c>
      <c r="G204" s="644">
        <f t="shared" si="489"/>
        <v>2173</v>
      </c>
      <c r="H204" s="644">
        <f t="shared" si="489"/>
        <v>0</v>
      </c>
      <c r="I204" s="644">
        <f t="shared" si="489"/>
        <v>2173</v>
      </c>
      <c r="J204" s="644">
        <f t="shared" si="489"/>
        <v>21.75</v>
      </c>
      <c r="K204" s="644">
        <f t="shared" si="489"/>
        <v>17.182500000000001</v>
      </c>
      <c r="L204" s="644">
        <f t="shared" si="489"/>
        <v>1.0499999999999998</v>
      </c>
      <c r="M204" s="644">
        <f t="shared" si="489"/>
        <v>0</v>
      </c>
      <c r="N204" s="644">
        <f t="shared" si="489"/>
        <v>26995</v>
      </c>
      <c r="O204" s="644">
        <f t="shared" si="489"/>
        <v>2699500</v>
      </c>
      <c r="P204" s="644">
        <f t="shared" si="489"/>
        <v>1352.415</v>
      </c>
      <c r="Q204" s="644">
        <f t="shared" si="489"/>
        <v>80</v>
      </c>
      <c r="R204" s="644">
        <f t="shared" si="489"/>
        <v>27048300</v>
      </c>
      <c r="S204" s="644">
        <f t="shared" si="489"/>
        <v>29747800</v>
      </c>
    </row>
    <row r="205" spans="1:19" x14ac:dyDescent="0.25">
      <c r="A205" s="645">
        <v>5</v>
      </c>
      <c r="C205" s="646"/>
      <c r="D205" s="647"/>
      <c r="E205" s="648">
        <v>2198</v>
      </c>
      <c r="F205" s="648" t="s">
        <v>539</v>
      </c>
      <c r="G205" s="612">
        <f t="shared" si="471"/>
        <v>1000</v>
      </c>
      <c r="H205" s="614"/>
      <c r="I205" s="614">
        <v>1000</v>
      </c>
      <c r="J205" s="614">
        <v>4.3499999999999996</v>
      </c>
      <c r="K205" s="648">
        <f t="shared" si="468"/>
        <v>3.9149999999999996</v>
      </c>
      <c r="L205" s="648">
        <v>0.1</v>
      </c>
      <c r="M205" s="647"/>
      <c r="N205" s="648">
        <v>26995</v>
      </c>
      <c r="O205" s="648">
        <f>SUM(N205*L205*I205)</f>
        <v>2699500</v>
      </c>
      <c r="P205" s="648"/>
      <c r="Q205" s="648"/>
      <c r="R205" s="648">
        <f t="shared" si="472"/>
        <v>0</v>
      </c>
      <c r="S205" s="648">
        <f t="shared" si="470"/>
        <v>2699500</v>
      </c>
    </row>
    <row r="206" spans="1:19" x14ac:dyDescent="0.25">
      <c r="A206" s="645"/>
      <c r="B206" s="646"/>
      <c r="C206" s="646"/>
      <c r="D206" s="647"/>
      <c r="E206" s="648"/>
      <c r="F206" s="648" t="s">
        <v>615</v>
      </c>
      <c r="G206" s="612">
        <f t="shared" si="471"/>
        <v>520</v>
      </c>
      <c r="H206" s="614"/>
      <c r="I206" s="614">
        <v>520</v>
      </c>
      <c r="J206" s="614">
        <v>4.3499999999999996</v>
      </c>
      <c r="K206" s="648">
        <f t="shared" si="468"/>
        <v>3.2624999999999997</v>
      </c>
      <c r="L206" s="648">
        <v>0.25</v>
      </c>
      <c r="M206" s="647"/>
      <c r="N206" s="648"/>
      <c r="O206" s="648"/>
      <c r="P206" s="648">
        <f t="shared" ref="P206:P214" si="490">SUM(L206*J206*I206)</f>
        <v>565.5</v>
      </c>
      <c r="Q206" s="648">
        <v>20</v>
      </c>
      <c r="R206" s="648">
        <f t="shared" si="472"/>
        <v>11310000</v>
      </c>
      <c r="S206" s="648">
        <f t="shared" si="470"/>
        <v>11310000</v>
      </c>
    </row>
    <row r="207" spans="1:19" x14ac:dyDescent="0.25">
      <c r="A207" s="645"/>
      <c r="B207" s="646"/>
      <c r="C207" s="646"/>
      <c r="D207" s="647"/>
      <c r="E207" s="648"/>
      <c r="F207" s="648" t="s">
        <v>504</v>
      </c>
      <c r="G207" s="612">
        <f t="shared" si="471"/>
        <v>503</v>
      </c>
      <c r="H207" s="614"/>
      <c r="I207" s="614">
        <v>503</v>
      </c>
      <c r="J207" s="614">
        <v>4.3499999999999996</v>
      </c>
      <c r="K207" s="648">
        <f t="shared" si="468"/>
        <v>3.0449999999999999</v>
      </c>
      <c r="L207" s="648">
        <v>0.3</v>
      </c>
      <c r="M207" s="647"/>
      <c r="N207" s="648"/>
      <c r="O207" s="648"/>
      <c r="P207" s="648">
        <f t="shared" si="490"/>
        <v>656.41499999999996</v>
      </c>
      <c r="Q207" s="648">
        <v>20</v>
      </c>
      <c r="R207" s="648">
        <f t="shared" si="472"/>
        <v>13128300</v>
      </c>
      <c r="S207" s="648">
        <f t="shared" si="470"/>
        <v>13128300</v>
      </c>
    </row>
    <row r="208" spans="1:19" x14ac:dyDescent="0.25">
      <c r="A208" s="645"/>
      <c r="B208" s="646"/>
      <c r="C208" s="646"/>
      <c r="D208" s="647"/>
      <c r="E208" s="648"/>
      <c r="F208" s="648" t="s">
        <v>554</v>
      </c>
      <c r="G208" s="612">
        <f t="shared" si="471"/>
        <v>115</v>
      </c>
      <c r="H208" s="614"/>
      <c r="I208" s="614">
        <v>115</v>
      </c>
      <c r="J208" s="614">
        <v>4.3499999999999996</v>
      </c>
      <c r="K208" s="648">
        <f t="shared" si="468"/>
        <v>3.4799999999999995</v>
      </c>
      <c r="L208" s="648">
        <v>0.2</v>
      </c>
      <c r="M208" s="647"/>
      <c r="N208" s="648"/>
      <c r="O208" s="648"/>
      <c r="P208" s="648">
        <f t="shared" si="490"/>
        <v>100.05</v>
      </c>
      <c r="Q208" s="648">
        <v>20</v>
      </c>
      <c r="R208" s="648">
        <f t="shared" si="472"/>
        <v>2001000</v>
      </c>
      <c r="S208" s="648">
        <f t="shared" si="470"/>
        <v>2001000</v>
      </c>
    </row>
    <row r="209" spans="1:19" x14ac:dyDescent="0.25">
      <c r="A209" s="645"/>
      <c r="B209" s="646"/>
      <c r="C209" s="646"/>
      <c r="D209" s="647"/>
      <c r="E209" s="648"/>
      <c r="F209" s="648" t="s">
        <v>501</v>
      </c>
      <c r="G209" s="612">
        <f t="shared" si="471"/>
        <v>35</v>
      </c>
      <c r="H209" s="614"/>
      <c r="I209" s="614">
        <v>35</v>
      </c>
      <c r="J209" s="614">
        <v>4.3499999999999996</v>
      </c>
      <c r="K209" s="648">
        <f t="shared" si="468"/>
        <v>3.4799999999999995</v>
      </c>
      <c r="L209" s="648">
        <v>0.2</v>
      </c>
      <c r="M209" s="647"/>
      <c r="N209" s="648"/>
      <c r="O209" s="648"/>
      <c r="P209" s="648">
        <f t="shared" si="490"/>
        <v>30.45</v>
      </c>
      <c r="Q209" s="648">
        <v>20</v>
      </c>
      <c r="R209" s="648">
        <f t="shared" si="472"/>
        <v>609000</v>
      </c>
      <c r="S209" s="648">
        <f t="shared" si="470"/>
        <v>609000</v>
      </c>
    </row>
    <row r="210" spans="1:19" s="595" customFormat="1" x14ac:dyDescent="0.25">
      <c r="A210" s="640"/>
      <c r="B210" s="641" t="s">
        <v>570</v>
      </c>
      <c r="C210" s="642"/>
      <c r="D210" s="643"/>
      <c r="E210" s="644">
        <f>SUM(E211:E214)</f>
        <v>3056</v>
      </c>
      <c r="F210" s="644">
        <f t="shared" ref="F210:S210" si="491">SUM(F211:F214)</f>
        <v>0</v>
      </c>
      <c r="G210" s="644">
        <f t="shared" si="491"/>
        <v>179</v>
      </c>
      <c r="H210" s="644">
        <f t="shared" si="491"/>
        <v>0</v>
      </c>
      <c r="I210" s="644">
        <f t="shared" si="491"/>
        <v>179</v>
      </c>
      <c r="J210" s="644">
        <f t="shared" si="491"/>
        <v>17.399999999999999</v>
      </c>
      <c r="K210" s="644">
        <f t="shared" si="491"/>
        <v>13.267499999999998</v>
      </c>
      <c r="L210" s="644">
        <f t="shared" si="491"/>
        <v>0.95</v>
      </c>
      <c r="M210" s="644">
        <f t="shared" si="491"/>
        <v>0</v>
      </c>
      <c r="N210" s="644">
        <f t="shared" si="491"/>
        <v>26995</v>
      </c>
      <c r="O210" s="644">
        <f t="shared" si="491"/>
        <v>271299.75</v>
      </c>
      <c r="P210" s="644">
        <f t="shared" si="491"/>
        <v>126.58499999999998</v>
      </c>
      <c r="Q210" s="644">
        <f t="shared" si="491"/>
        <v>80</v>
      </c>
      <c r="R210" s="644">
        <f t="shared" si="491"/>
        <v>2531699.9999999995</v>
      </c>
      <c r="S210" s="644">
        <f t="shared" si="491"/>
        <v>2802999.75</v>
      </c>
    </row>
    <row r="211" spans="1:19" x14ac:dyDescent="0.25">
      <c r="A211" s="645">
        <v>6</v>
      </c>
      <c r="C211" s="646"/>
      <c r="D211" s="647"/>
      <c r="E211" s="648">
        <v>3056</v>
      </c>
      <c r="F211" s="648" t="s">
        <v>539</v>
      </c>
      <c r="G211" s="612">
        <f t="shared" si="471"/>
        <v>67</v>
      </c>
      <c r="H211" s="614"/>
      <c r="I211" s="614">
        <v>67</v>
      </c>
      <c r="J211" s="614">
        <v>4.3499999999999996</v>
      </c>
      <c r="K211" s="648">
        <f t="shared" si="468"/>
        <v>3.6974999999999998</v>
      </c>
      <c r="L211" s="648">
        <v>0.15</v>
      </c>
      <c r="M211" s="647"/>
      <c r="N211" s="648">
        <v>26995</v>
      </c>
      <c r="O211" s="648">
        <f>SUM(N211*L211*I211)</f>
        <v>271299.75</v>
      </c>
      <c r="P211" s="648"/>
      <c r="Q211" s="648">
        <v>20</v>
      </c>
      <c r="R211" s="648"/>
      <c r="S211" s="648">
        <f t="shared" si="470"/>
        <v>271299.75</v>
      </c>
    </row>
    <row r="212" spans="1:19" x14ac:dyDescent="0.25">
      <c r="A212" s="645"/>
      <c r="B212" s="646"/>
      <c r="C212" s="646"/>
      <c r="D212" s="647"/>
      <c r="E212" s="648"/>
      <c r="F212" s="648" t="s">
        <v>487</v>
      </c>
      <c r="G212" s="612">
        <f t="shared" si="471"/>
        <v>45</v>
      </c>
      <c r="H212" s="614"/>
      <c r="I212" s="614">
        <v>45</v>
      </c>
      <c r="J212" s="614">
        <v>4.3499999999999996</v>
      </c>
      <c r="K212" s="648">
        <f t="shared" si="468"/>
        <v>3.2624999999999997</v>
      </c>
      <c r="L212" s="648">
        <v>0.25</v>
      </c>
      <c r="M212" s="647"/>
      <c r="N212" s="648"/>
      <c r="O212" s="648"/>
      <c r="P212" s="648">
        <f t="shared" si="490"/>
        <v>48.937499999999993</v>
      </c>
      <c r="Q212" s="648">
        <v>20</v>
      </c>
      <c r="R212" s="648">
        <f t="shared" si="472"/>
        <v>978749.99999999988</v>
      </c>
      <c r="S212" s="648">
        <f t="shared" si="470"/>
        <v>978749.99999999988</v>
      </c>
    </row>
    <row r="213" spans="1:19" x14ac:dyDescent="0.25">
      <c r="A213" s="645"/>
      <c r="B213" s="646"/>
      <c r="C213" s="646"/>
      <c r="D213" s="647"/>
      <c r="E213" s="648"/>
      <c r="F213" s="648" t="s">
        <v>504</v>
      </c>
      <c r="G213" s="612">
        <f t="shared" si="471"/>
        <v>22</v>
      </c>
      <c r="H213" s="614"/>
      <c r="I213" s="614">
        <v>22</v>
      </c>
      <c r="J213" s="614">
        <v>4.3499999999999996</v>
      </c>
      <c r="K213" s="648">
        <f t="shared" si="468"/>
        <v>3.0449999999999999</v>
      </c>
      <c r="L213" s="648">
        <v>0.3</v>
      </c>
      <c r="M213" s="647"/>
      <c r="N213" s="648"/>
      <c r="O213" s="648"/>
      <c r="P213" s="648">
        <f t="shared" si="490"/>
        <v>28.709999999999997</v>
      </c>
      <c r="Q213" s="648">
        <v>20</v>
      </c>
      <c r="R213" s="648">
        <f t="shared" si="472"/>
        <v>574199.99999999988</v>
      </c>
      <c r="S213" s="648">
        <f t="shared" si="470"/>
        <v>574199.99999999988</v>
      </c>
    </row>
    <row r="214" spans="1:19" x14ac:dyDescent="0.25">
      <c r="A214" s="645"/>
      <c r="B214" s="646"/>
      <c r="C214" s="646"/>
      <c r="D214" s="647"/>
      <c r="E214" s="648"/>
      <c r="F214" s="648" t="s">
        <v>615</v>
      </c>
      <c r="G214" s="612">
        <f t="shared" si="471"/>
        <v>45</v>
      </c>
      <c r="H214" s="614"/>
      <c r="I214" s="614">
        <v>45</v>
      </c>
      <c r="J214" s="614">
        <v>4.3499999999999996</v>
      </c>
      <c r="K214" s="648">
        <f t="shared" si="468"/>
        <v>3.2624999999999997</v>
      </c>
      <c r="L214" s="648">
        <v>0.25</v>
      </c>
      <c r="M214" s="647"/>
      <c r="N214" s="648"/>
      <c r="O214" s="648"/>
      <c r="P214" s="648">
        <f t="shared" si="490"/>
        <v>48.937499999999993</v>
      </c>
      <c r="Q214" s="648">
        <v>20</v>
      </c>
      <c r="R214" s="648">
        <f t="shared" si="472"/>
        <v>978749.99999999988</v>
      </c>
      <c r="S214" s="648">
        <f t="shared" si="470"/>
        <v>978749.99999999988</v>
      </c>
    </row>
    <row r="215" spans="1:19" s="595" customFormat="1" x14ac:dyDescent="0.25">
      <c r="A215" s="640"/>
      <c r="B215" s="641" t="s">
        <v>616</v>
      </c>
      <c r="C215" s="642"/>
      <c r="D215" s="643"/>
      <c r="E215" s="644">
        <f>SUM(E216:E217)</f>
        <v>4490</v>
      </c>
      <c r="F215" s="644">
        <f t="shared" ref="F215:S215" si="492">SUM(F216:F217)</f>
        <v>0</v>
      </c>
      <c r="G215" s="644">
        <f t="shared" si="492"/>
        <v>845</v>
      </c>
      <c r="H215" s="644">
        <f t="shared" si="492"/>
        <v>45</v>
      </c>
      <c r="I215" s="644">
        <f t="shared" si="492"/>
        <v>800</v>
      </c>
      <c r="J215" s="644">
        <f t="shared" si="492"/>
        <v>8.6999999999999993</v>
      </c>
      <c r="K215" s="644">
        <f t="shared" si="492"/>
        <v>3.0449999999999999</v>
      </c>
      <c r="L215" s="644">
        <f t="shared" si="492"/>
        <v>1.3</v>
      </c>
      <c r="M215" s="644">
        <f t="shared" si="492"/>
        <v>0</v>
      </c>
      <c r="N215" s="644">
        <f t="shared" si="492"/>
        <v>0</v>
      </c>
      <c r="O215" s="644">
        <f t="shared" si="492"/>
        <v>0</v>
      </c>
      <c r="P215" s="644">
        <f t="shared" si="492"/>
        <v>1239.7499999999998</v>
      </c>
      <c r="Q215" s="644">
        <f t="shared" si="492"/>
        <v>40</v>
      </c>
      <c r="R215" s="644">
        <f t="shared" si="492"/>
        <v>24794999.999999996</v>
      </c>
      <c r="S215" s="644">
        <f t="shared" si="492"/>
        <v>24794999.999999996</v>
      </c>
    </row>
    <row r="216" spans="1:19" x14ac:dyDescent="0.25">
      <c r="A216" s="645">
        <v>7</v>
      </c>
      <c r="C216" s="646"/>
      <c r="D216" s="647"/>
      <c r="E216" s="648">
        <v>4490</v>
      </c>
      <c r="F216" s="648" t="s">
        <v>504</v>
      </c>
      <c r="G216" s="612">
        <f t="shared" si="471"/>
        <v>800</v>
      </c>
      <c r="H216" s="614"/>
      <c r="I216" s="614">
        <v>800</v>
      </c>
      <c r="J216" s="649">
        <v>4.3499999999999996</v>
      </c>
      <c r="K216" s="648">
        <f t="shared" si="468"/>
        <v>3.0449999999999999</v>
      </c>
      <c r="L216" s="648">
        <v>0.3</v>
      </c>
      <c r="M216" s="647"/>
      <c r="N216" s="648"/>
      <c r="O216" s="648"/>
      <c r="P216" s="648">
        <f>SUM(I216*J216*L216)</f>
        <v>1043.9999999999998</v>
      </c>
      <c r="Q216" s="648">
        <v>20</v>
      </c>
      <c r="R216" s="648">
        <f t="shared" si="472"/>
        <v>20879999.999999996</v>
      </c>
      <c r="S216" s="648">
        <f t="shared" si="470"/>
        <v>20879999.999999996</v>
      </c>
    </row>
    <row r="217" spans="1:19" x14ac:dyDescent="0.25">
      <c r="A217" s="645"/>
      <c r="B217" s="646"/>
      <c r="C217" s="646"/>
      <c r="D217" s="647"/>
      <c r="E217" s="648"/>
      <c r="F217" s="648" t="s">
        <v>504</v>
      </c>
      <c r="G217" s="612">
        <f t="shared" si="471"/>
        <v>45</v>
      </c>
      <c r="H217" s="614">
        <v>45</v>
      </c>
      <c r="I217" s="614"/>
      <c r="J217" s="649">
        <v>4.3499999999999996</v>
      </c>
      <c r="K217" s="648">
        <f t="shared" si="468"/>
        <v>0</v>
      </c>
      <c r="L217" s="648">
        <v>1</v>
      </c>
      <c r="M217" s="647"/>
      <c r="N217" s="648"/>
      <c r="O217" s="648"/>
      <c r="P217" s="648">
        <f>SUM(J217*H217)</f>
        <v>195.74999999999997</v>
      </c>
      <c r="Q217" s="648">
        <v>20</v>
      </c>
      <c r="R217" s="648">
        <f t="shared" si="472"/>
        <v>3914999.9999999995</v>
      </c>
      <c r="S217" s="648">
        <f t="shared" si="470"/>
        <v>3914999.9999999995</v>
      </c>
    </row>
    <row r="218" spans="1:19" s="595" customFormat="1" x14ac:dyDescent="0.25">
      <c r="A218" s="640"/>
      <c r="B218" s="641" t="s">
        <v>617</v>
      </c>
      <c r="C218" s="642"/>
      <c r="D218" s="643"/>
      <c r="E218" s="644">
        <f>SUM(E219:E220)</f>
        <v>4127</v>
      </c>
      <c r="F218" s="644">
        <f t="shared" ref="F218:S218" si="493">SUM(F219:F220)</f>
        <v>0</v>
      </c>
      <c r="G218" s="644">
        <f t="shared" si="493"/>
        <v>2339</v>
      </c>
      <c r="H218" s="644">
        <f t="shared" si="493"/>
        <v>0</v>
      </c>
      <c r="I218" s="644">
        <f t="shared" si="493"/>
        <v>2339</v>
      </c>
      <c r="J218" s="644">
        <f t="shared" si="493"/>
        <v>8.6999999999999993</v>
      </c>
      <c r="K218" s="644">
        <f t="shared" si="493"/>
        <v>6.5249999999999995</v>
      </c>
      <c r="L218" s="644">
        <f t="shared" si="493"/>
        <v>0.5</v>
      </c>
      <c r="M218" s="644">
        <f t="shared" si="493"/>
        <v>0</v>
      </c>
      <c r="N218" s="644">
        <f t="shared" si="493"/>
        <v>0</v>
      </c>
      <c r="O218" s="644">
        <f t="shared" si="493"/>
        <v>0</v>
      </c>
      <c r="P218" s="644">
        <f t="shared" si="493"/>
        <v>2914.9349999999999</v>
      </c>
      <c r="Q218" s="644">
        <f t="shared" si="493"/>
        <v>40</v>
      </c>
      <c r="R218" s="644">
        <f t="shared" si="493"/>
        <v>58298700</v>
      </c>
      <c r="S218" s="644">
        <f t="shared" si="493"/>
        <v>58298700</v>
      </c>
    </row>
    <row r="219" spans="1:19" x14ac:dyDescent="0.25">
      <c r="A219" s="645">
        <v>8</v>
      </c>
      <c r="C219" s="646"/>
      <c r="D219" s="647"/>
      <c r="E219" s="648">
        <v>4127</v>
      </c>
      <c r="F219" s="648" t="s">
        <v>504</v>
      </c>
      <c r="G219" s="612">
        <f t="shared" si="471"/>
        <v>2023</v>
      </c>
      <c r="H219" s="614"/>
      <c r="I219" s="614">
        <v>2023</v>
      </c>
      <c r="J219" s="649">
        <v>4.3499999999999996</v>
      </c>
      <c r="K219" s="648">
        <f t="shared" si="468"/>
        <v>3.0449999999999999</v>
      </c>
      <c r="L219" s="648">
        <v>0.3</v>
      </c>
      <c r="M219" s="647"/>
      <c r="N219" s="648"/>
      <c r="O219" s="648"/>
      <c r="P219" s="648">
        <f>SUM(L219*J219*I219)</f>
        <v>2640.0149999999999</v>
      </c>
      <c r="Q219" s="648">
        <v>20</v>
      </c>
      <c r="R219" s="648">
        <f t="shared" si="472"/>
        <v>52800300</v>
      </c>
      <c r="S219" s="648">
        <f t="shared" si="470"/>
        <v>52800300</v>
      </c>
    </row>
    <row r="220" spans="1:19" x14ac:dyDescent="0.25">
      <c r="A220" s="645"/>
      <c r="B220" s="646"/>
      <c r="C220" s="646"/>
      <c r="D220" s="647"/>
      <c r="E220" s="648"/>
      <c r="F220" s="648" t="s">
        <v>474</v>
      </c>
      <c r="G220" s="612">
        <f t="shared" si="471"/>
        <v>316</v>
      </c>
      <c r="H220" s="614"/>
      <c r="I220" s="614">
        <v>316</v>
      </c>
      <c r="J220" s="649">
        <v>4.3499999999999996</v>
      </c>
      <c r="K220" s="648">
        <f t="shared" si="468"/>
        <v>3.4799999999999995</v>
      </c>
      <c r="L220" s="648">
        <v>0.2</v>
      </c>
      <c r="M220" s="647"/>
      <c r="N220" s="648"/>
      <c r="O220" s="648"/>
      <c r="P220" s="648">
        <f>SUM(L220*J220*I220)</f>
        <v>274.92</v>
      </c>
      <c r="Q220" s="648">
        <v>20</v>
      </c>
      <c r="R220" s="648">
        <f t="shared" si="472"/>
        <v>5498400</v>
      </c>
      <c r="S220" s="648">
        <f t="shared" si="470"/>
        <v>5498400</v>
      </c>
    </row>
    <row r="221" spans="1:19" s="595" customFormat="1" x14ac:dyDescent="0.25">
      <c r="A221" s="640"/>
      <c r="B221" s="641" t="s">
        <v>618</v>
      </c>
      <c r="C221" s="642"/>
      <c r="D221" s="643"/>
      <c r="E221" s="644">
        <f>SUM(E222:E227)</f>
        <v>2031</v>
      </c>
      <c r="F221" s="644">
        <f t="shared" ref="F221:S221" si="494">SUM(F222:F227)</f>
        <v>0</v>
      </c>
      <c r="G221" s="644">
        <f t="shared" si="494"/>
        <v>1926.5</v>
      </c>
      <c r="H221" s="644">
        <f t="shared" si="494"/>
        <v>4.5</v>
      </c>
      <c r="I221" s="644">
        <f t="shared" si="494"/>
        <v>1922</v>
      </c>
      <c r="J221" s="644">
        <f t="shared" si="494"/>
        <v>26.1</v>
      </c>
      <c r="K221" s="644">
        <f t="shared" si="494"/>
        <v>17.182499999999997</v>
      </c>
      <c r="L221" s="644">
        <f t="shared" si="494"/>
        <v>2.0499999999999998</v>
      </c>
      <c r="M221" s="644">
        <f t="shared" si="494"/>
        <v>0</v>
      </c>
      <c r="N221" s="644">
        <f t="shared" si="494"/>
        <v>3000</v>
      </c>
      <c r="O221" s="644">
        <f t="shared" si="494"/>
        <v>13500</v>
      </c>
      <c r="P221" s="644">
        <f t="shared" si="494"/>
        <v>2023.8374999999999</v>
      </c>
      <c r="Q221" s="644">
        <f t="shared" si="494"/>
        <v>100</v>
      </c>
      <c r="R221" s="644">
        <f t="shared" si="494"/>
        <v>40476750</v>
      </c>
      <c r="S221" s="644">
        <f t="shared" si="494"/>
        <v>40490250</v>
      </c>
    </row>
    <row r="222" spans="1:19" x14ac:dyDescent="0.25">
      <c r="A222" s="645">
        <v>9</v>
      </c>
      <c r="C222" s="646"/>
      <c r="D222" s="647"/>
      <c r="E222" s="648">
        <v>2031</v>
      </c>
      <c r="F222" s="648" t="s">
        <v>619</v>
      </c>
      <c r="G222" s="612">
        <f t="shared" si="471"/>
        <v>4.5</v>
      </c>
      <c r="H222" s="614">
        <v>4.5</v>
      </c>
      <c r="I222" s="614"/>
      <c r="J222" s="649">
        <v>4.3499999999999996</v>
      </c>
      <c r="K222" s="648">
        <f t="shared" si="468"/>
        <v>0</v>
      </c>
      <c r="L222" s="648">
        <v>1</v>
      </c>
      <c r="M222" s="647"/>
      <c r="N222" s="648">
        <v>3000</v>
      </c>
      <c r="O222" s="648">
        <f>SUM(N222*H222)</f>
        <v>13500</v>
      </c>
      <c r="P222" s="648"/>
      <c r="Q222" s="648"/>
      <c r="R222" s="648">
        <f t="shared" si="472"/>
        <v>0</v>
      </c>
      <c r="S222" s="648">
        <f t="shared" si="470"/>
        <v>13500</v>
      </c>
    </row>
    <row r="223" spans="1:19" x14ac:dyDescent="0.25">
      <c r="A223" s="645"/>
      <c r="B223" s="646"/>
      <c r="C223" s="646"/>
      <c r="D223" s="647"/>
      <c r="E223" s="648"/>
      <c r="F223" s="648" t="s">
        <v>620</v>
      </c>
      <c r="G223" s="612">
        <f t="shared" si="471"/>
        <v>65</v>
      </c>
      <c r="H223" s="614"/>
      <c r="I223" s="614">
        <v>65</v>
      </c>
      <c r="J223" s="649">
        <v>4.3499999999999996</v>
      </c>
      <c r="K223" s="648">
        <f t="shared" si="468"/>
        <v>3.6974999999999998</v>
      </c>
      <c r="L223" s="648">
        <v>0.15</v>
      </c>
      <c r="M223" s="647"/>
      <c r="N223" s="648"/>
      <c r="O223" s="648"/>
      <c r="P223" s="648">
        <f>SUM(L223*J223*I223)</f>
        <v>42.412500000000001</v>
      </c>
      <c r="Q223" s="648">
        <v>20</v>
      </c>
      <c r="R223" s="648">
        <f t="shared" si="472"/>
        <v>848250</v>
      </c>
      <c r="S223" s="648">
        <f t="shared" si="470"/>
        <v>848250</v>
      </c>
    </row>
    <row r="224" spans="1:19" x14ac:dyDescent="0.25">
      <c r="A224" s="645"/>
      <c r="B224" s="646"/>
      <c r="C224" s="646"/>
      <c r="D224" s="647"/>
      <c r="E224" s="648"/>
      <c r="F224" s="648" t="s">
        <v>487</v>
      </c>
      <c r="G224" s="612">
        <f t="shared" si="471"/>
        <v>475</v>
      </c>
      <c r="H224" s="614"/>
      <c r="I224" s="614">
        <v>475</v>
      </c>
      <c r="J224" s="649">
        <v>4.3499999999999996</v>
      </c>
      <c r="K224" s="648">
        <f t="shared" si="468"/>
        <v>3.6974999999999998</v>
      </c>
      <c r="L224" s="648">
        <v>0.15</v>
      </c>
      <c r="M224" s="647"/>
      <c r="N224" s="648"/>
      <c r="O224" s="648"/>
      <c r="P224" s="648">
        <f t="shared" ref="P224:P230" si="495">SUM(L224*J224*I224)</f>
        <v>309.9375</v>
      </c>
      <c r="Q224" s="648">
        <v>20</v>
      </c>
      <c r="R224" s="648">
        <f t="shared" si="472"/>
        <v>6198750</v>
      </c>
      <c r="S224" s="648">
        <f t="shared" si="470"/>
        <v>6198750</v>
      </c>
    </row>
    <row r="225" spans="1:19" x14ac:dyDescent="0.25">
      <c r="A225" s="645"/>
      <c r="B225" s="646"/>
      <c r="C225" s="646"/>
      <c r="D225" s="647"/>
      <c r="E225" s="648"/>
      <c r="F225" s="648" t="s">
        <v>504</v>
      </c>
      <c r="G225" s="612">
        <f t="shared" si="471"/>
        <v>805</v>
      </c>
      <c r="H225" s="614"/>
      <c r="I225" s="614">
        <v>805</v>
      </c>
      <c r="J225" s="649">
        <v>4.3499999999999996</v>
      </c>
      <c r="K225" s="648">
        <f t="shared" si="468"/>
        <v>3.0449999999999999</v>
      </c>
      <c r="L225" s="648">
        <v>0.3</v>
      </c>
      <c r="M225" s="647"/>
      <c r="N225" s="648"/>
      <c r="O225" s="648"/>
      <c r="P225" s="648">
        <f t="shared" si="495"/>
        <v>1050.5249999999999</v>
      </c>
      <c r="Q225" s="648">
        <v>20</v>
      </c>
      <c r="R225" s="648">
        <f t="shared" si="472"/>
        <v>21010499.999999996</v>
      </c>
      <c r="S225" s="648">
        <f t="shared" si="470"/>
        <v>21010499.999999996</v>
      </c>
    </row>
    <row r="226" spans="1:19" x14ac:dyDescent="0.25">
      <c r="A226" s="645"/>
      <c r="B226" s="646"/>
      <c r="C226" s="646"/>
      <c r="D226" s="647"/>
      <c r="E226" s="648"/>
      <c r="F226" s="648" t="s">
        <v>497</v>
      </c>
      <c r="G226" s="612">
        <f t="shared" si="471"/>
        <v>547</v>
      </c>
      <c r="H226" s="614"/>
      <c r="I226" s="614">
        <v>547</v>
      </c>
      <c r="J226" s="649">
        <v>4.3499999999999996</v>
      </c>
      <c r="K226" s="648">
        <f t="shared" si="468"/>
        <v>3.2624999999999997</v>
      </c>
      <c r="L226" s="648">
        <v>0.25</v>
      </c>
      <c r="M226" s="647"/>
      <c r="N226" s="648"/>
      <c r="O226" s="648"/>
      <c r="P226" s="648">
        <f t="shared" si="495"/>
        <v>594.86249999999995</v>
      </c>
      <c r="Q226" s="648">
        <v>20</v>
      </c>
      <c r="R226" s="648">
        <f t="shared" si="472"/>
        <v>11897250</v>
      </c>
      <c r="S226" s="648">
        <f t="shared" si="470"/>
        <v>11897250</v>
      </c>
    </row>
    <row r="227" spans="1:19" x14ac:dyDescent="0.25">
      <c r="A227" s="645"/>
      <c r="B227" s="646"/>
      <c r="C227" s="646"/>
      <c r="D227" s="647"/>
      <c r="E227" s="648"/>
      <c r="F227" s="648" t="s">
        <v>474</v>
      </c>
      <c r="G227" s="612">
        <f t="shared" si="471"/>
        <v>30</v>
      </c>
      <c r="H227" s="614"/>
      <c r="I227" s="614">
        <v>30</v>
      </c>
      <c r="J227" s="649">
        <v>4.3499999999999996</v>
      </c>
      <c r="K227" s="648">
        <f t="shared" si="468"/>
        <v>3.4799999999999995</v>
      </c>
      <c r="L227" s="648">
        <v>0.2</v>
      </c>
      <c r="M227" s="647"/>
      <c r="N227" s="648"/>
      <c r="O227" s="648"/>
      <c r="P227" s="648">
        <f t="shared" si="495"/>
        <v>26.1</v>
      </c>
      <c r="Q227" s="648">
        <v>20</v>
      </c>
      <c r="R227" s="648">
        <f t="shared" si="472"/>
        <v>522000</v>
      </c>
      <c r="S227" s="648">
        <f t="shared" si="470"/>
        <v>522000</v>
      </c>
    </row>
    <row r="228" spans="1:19" s="595" customFormat="1" x14ac:dyDescent="0.25">
      <c r="A228" s="640"/>
      <c r="B228" s="641" t="s">
        <v>621</v>
      </c>
      <c r="C228" s="642"/>
      <c r="D228" s="643"/>
      <c r="E228" s="644">
        <f>SUM(E229:E230)</f>
        <v>3146</v>
      </c>
      <c r="F228" s="644">
        <f t="shared" ref="F228:S228" si="496">SUM(F229:F230)</f>
        <v>0</v>
      </c>
      <c r="G228" s="644">
        <f t="shared" si="496"/>
        <v>1150</v>
      </c>
      <c r="H228" s="644">
        <f t="shared" si="496"/>
        <v>0</v>
      </c>
      <c r="I228" s="644">
        <f t="shared" si="496"/>
        <v>1150</v>
      </c>
      <c r="J228" s="644">
        <f t="shared" si="496"/>
        <v>8.6999999999999993</v>
      </c>
      <c r="K228" s="644">
        <f t="shared" si="496"/>
        <v>6.5249999999999995</v>
      </c>
      <c r="L228" s="644">
        <f t="shared" si="496"/>
        <v>0.5</v>
      </c>
      <c r="M228" s="644">
        <f t="shared" si="496"/>
        <v>0</v>
      </c>
      <c r="N228" s="644">
        <f t="shared" si="496"/>
        <v>0</v>
      </c>
      <c r="O228" s="644">
        <f t="shared" si="496"/>
        <v>0</v>
      </c>
      <c r="P228" s="644">
        <f t="shared" si="496"/>
        <v>1435.5</v>
      </c>
      <c r="Q228" s="644">
        <f t="shared" si="496"/>
        <v>40</v>
      </c>
      <c r="R228" s="644">
        <f t="shared" si="496"/>
        <v>28710000</v>
      </c>
      <c r="S228" s="644">
        <f t="shared" si="496"/>
        <v>28710000</v>
      </c>
    </row>
    <row r="229" spans="1:19" x14ac:dyDescent="0.25">
      <c r="A229" s="645">
        <v>10</v>
      </c>
      <c r="C229" s="646"/>
      <c r="D229" s="647"/>
      <c r="E229" s="648">
        <v>3146</v>
      </c>
      <c r="F229" s="648" t="s">
        <v>504</v>
      </c>
      <c r="G229" s="612">
        <f t="shared" si="471"/>
        <v>1000</v>
      </c>
      <c r="H229" s="614"/>
      <c r="I229" s="614">
        <v>1000</v>
      </c>
      <c r="J229" s="649">
        <v>4.3499999999999996</v>
      </c>
      <c r="K229" s="648">
        <f t="shared" si="468"/>
        <v>3.0449999999999999</v>
      </c>
      <c r="L229" s="648">
        <v>0.3</v>
      </c>
      <c r="M229" s="647"/>
      <c r="N229" s="648"/>
      <c r="O229" s="648"/>
      <c r="P229" s="648">
        <f t="shared" si="495"/>
        <v>1305</v>
      </c>
      <c r="Q229" s="648">
        <v>20</v>
      </c>
      <c r="R229" s="648">
        <f t="shared" si="472"/>
        <v>26100000</v>
      </c>
      <c r="S229" s="648">
        <f t="shared" si="470"/>
        <v>26100000</v>
      </c>
    </row>
    <row r="230" spans="1:19" x14ac:dyDescent="0.25">
      <c r="A230" s="645"/>
      <c r="B230" s="646"/>
      <c r="C230" s="646"/>
      <c r="D230" s="647"/>
      <c r="E230" s="648"/>
      <c r="F230" s="648" t="s">
        <v>481</v>
      </c>
      <c r="G230" s="612">
        <f t="shared" si="471"/>
        <v>150</v>
      </c>
      <c r="H230" s="614"/>
      <c r="I230" s="614">
        <v>150</v>
      </c>
      <c r="J230" s="649">
        <v>4.3499999999999996</v>
      </c>
      <c r="K230" s="648">
        <f t="shared" si="468"/>
        <v>3.4799999999999995</v>
      </c>
      <c r="L230" s="648">
        <v>0.2</v>
      </c>
      <c r="M230" s="647"/>
      <c r="N230" s="648"/>
      <c r="O230" s="648"/>
      <c r="P230" s="648">
        <f t="shared" si="495"/>
        <v>130.5</v>
      </c>
      <c r="Q230" s="648">
        <v>20</v>
      </c>
      <c r="R230" s="648">
        <f t="shared" si="472"/>
        <v>2610000</v>
      </c>
      <c r="S230" s="648">
        <f t="shared" si="470"/>
        <v>2610000</v>
      </c>
    </row>
    <row r="231" spans="1:19" x14ac:dyDescent="0.25">
      <c r="A231" s="645"/>
      <c r="B231" s="646" t="s">
        <v>622</v>
      </c>
      <c r="C231" s="646"/>
      <c r="D231" s="647"/>
      <c r="E231" s="648"/>
      <c r="F231" s="648"/>
      <c r="G231" s="612">
        <f t="shared" si="471"/>
        <v>0</v>
      </c>
      <c r="H231" s="614"/>
      <c r="I231" s="614"/>
      <c r="J231" s="649"/>
      <c r="K231" s="648"/>
      <c r="L231" s="648"/>
      <c r="M231" s="647"/>
      <c r="N231" s="648"/>
      <c r="O231" s="648"/>
      <c r="P231" s="648"/>
      <c r="Q231" s="648"/>
      <c r="R231" s="648">
        <f t="shared" si="472"/>
        <v>0</v>
      </c>
      <c r="S231" s="648">
        <f t="shared" si="470"/>
        <v>0</v>
      </c>
    </row>
    <row r="232" spans="1:19" s="595" customFormat="1" x14ac:dyDescent="0.25">
      <c r="A232" s="640"/>
      <c r="B232" s="641" t="s">
        <v>623</v>
      </c>
      <c r="C232" s="642"/>
      <c r="D232" s="643"/>
      <c r="E232" s="644">
        <f>SUM(E233:E238)</f>
        <v>3878</v>
      </c>
      <c r="F232" s="644">
        <f t="shared" ref="F232:S232" si="497">SUM(F233:F238)</f>
        <v>0</v>
      </c>
      <c r="G232" s="644">
        <f t="shared" si="497"/>
        <v>1275</v>
      </c>
      <c r="H232" s="644">
        <f t="shared" si="497"/>
        <v>550</v>
      </c>
      <c r="I232" s="644">
        <f t="shared" si="497"/>
        <v>725</v>
      </c>
      <c r="J232" s="644">
        <f t="shared" si="497"/>
        <v>26.1</v>
      </c>
      <c r="K232" s="644">
        <f t="shared" si="497"/>
        <v>12.397500000000001</v>
      </c>
      <c r="L232" s="644">
        <f t="shared" si="497"/>
        <v>3.15</v>
      </c>
      <c r="M232" s="644">
        <f t="shared" si="497"/>
        <v>0</v>
      </c>
      <c r="N232" s="644">
        <f t="shared" si="497"/>
        <v>59990</v>
      </c>
      <c r="O232" s="644">
        <f t="shared" si="497"/>
        <v>4503193.75</v>
      </c>
      <c r="P232" s="644">
        <f t="shared" si="497"/>
        <v>652.5</v>
      </c>
      <c r="Q232" s="644">
        <f t="shared" si="497"/>
        <v>40</v>
      </c>
      <c r="R232" s="644">
        <f t="shared" si="497"/>
        <v>13050000</v>
      </c>
      <c r="S232" s="644">
        <f t="shared" si="497"/>
        <v>17553193.75</v>
      </c>
    </row>
    <row r="233" spans="1:19" x14ac:dyDescent="0.25">
      <c r="A233" s="645">
        <v>11</v>
      </c>
      <c r="C233" s="646"/>
      <c r="D233" s="647"/>
      <c r="E233" s="648">
        <v>3878</v>
      </c>
      <c r="F233" s="648" t="s">
        <v>482</v>
      </c>
      <c r="G233" s="612">
        <f t="shared" si="471"/>
        <v>450</v>
      </c>
      <c r="H233" s="614">
        <v>450</v>
      </c>
      <c r="I233" s="614"/>
      <c r="J233" s="649">
        <v>4.3499999999999996</v>
      </c>
      <c r="K233" s="648">
        <f t="shared" si="468"/>
        <v>0</v>
      </c>
      <c r="L233" s="648">
        <v>1</v>
      </c>
      <c r="M233" s="647"/>
      <c r="N233" s="648">
        <v>3000</v>
      </c>
      <c r="O233" s="648">
        <f>SUM(N233*H233)</f>
        <v>1350000</v>
      </c>
      <c r="P233" s="648"/>
      <c r="Q233" s="648"/>
      <c r="R233" s="648">
        <f t="shared" si="472"/>
        <v>0</v>
      </c>
      <c r="S233" s="648">
        <f t="shared" si="470"/>
        <v>1350000</v>
      </c>
    </row>
    <row r="234" spans="1:19" x14ac:dyDescent="0.25">
      <c r="A234" s="645"/>
      <c r="B234" s="646"/>
      <c r="C234" s="646"/>
      <c r="D234" s="647"/>
      <c r="E234" s="648"/>
      <c r="F234" s="648" t="s">
        <v>482</v>
      </c>
      <c r="G234" s="612">
        <f t="shared" si="471"/>
        <v>100</v>
      </c>
      <c r="H234" s="614"/>
      <c r="I234" s="614">
        <v>100</v>
      </c>
      <c r="J234" s="649">
        <v>4.3499999999999996</v>
      </c>
      <c r="K234" s="648">
        <f t="shared" si="468"/>
        <v>2.1749999999999998</v>
      </c>
      <c r="L234" s="648">
        <v>0.5</v>
      </c>
      <c r="M234" s="647"/>
      <c r="N234" s="648">
        <v>3000</v>
      </c>
      <c r="O234" s="648">
        <f>SUM(N234*L234*I234)</f>
        <v>150000</v>
      </c>
      <c r="P234" s="648"/>
      <c r="Q234" s="648"/>
      <c r="R234" s="648">
        <f t="shared" si="472"/>
        <v>0</v>
      </c>
      <c r="S234" s="648">
        <f t="shared" si="470"/>
        <v>150000</v>
      </c>
    </row>
    <row r="235" spans="1:19" x14ac:dyDescent="0.25">
      <c r="A235" s="645"/>
      <c r="B235" s="646"/>
      <c r="C235" s="646"/>
      <c r="D235" s="647"/>
      <c r="E235" s="648"/>
      <c r="F235" s="648" t="s">
        <v>539</v>
      </c>
      <c r="G235" s="612">
        <f t="shared" si="471"/>
        <v>100</v>
      </c>
      <c r="H235" s="614">
        <v>100</v>
      </c>
      <c r="I235" s="614"/>
      <c r="J235" s="649">
        <v>4.3499999999999996</v>
      </c>
      <c r="K235" s="648">
        <f t="shared" si="468"/>
        <v>0</v>
      </c>
      <c r="L235" s="648">
        <v>1</v>
      </c>
      <c r="M235" s="647"/>
      <c r="N235" s="648">
        <v>26995</v>
      </c>
      <c r="O235" s="648">
        <f>SUM(N235*H235)</f>
        <v>2699500</v>
      </c>
      <c r="P235" s="648"/>
      <c r="Q235" s="648"/>
      <c r="R235" s="648">
        <f t="shared" si="472"/>
        <v>0</v>
      </c>
      <c r="S235" s="648">
        <f t="shared" si="470"/>
        <v>2699500</v>
      </c>
    </row>
    <row r="236" spans="1:19" x14ac:dyDescent="0.25">
      <c r="A236" s="645"/>
      <c r="B236" s="646"/>
      <c r="C236" s="646"/>
      <c r="D236" s="647"/>
      <c r="E236" s="648"/>
      <c r="F236" s="648" t="s">
        <v>539</v>
      </c>
      <c r="G236" s="612">
        <f t="shared" si="471"/>
        <v>75</v>
      </c>
      <c r="H236" s="614"/>
      <c r="I236" s="614">
        <v>75</v>
      </c>
      <c r="J236" s="649">
        <v>4.3499999999999996</v>
      </c>
      <c r="K236" s="648">
        <f t="shared" si="468"/>
        <v>3.6974999999999998</v>
      </c>
      <c r="L236" s="648">
        <v>0.15</v>
      </c>
      <c r="M236" s="647"/>
      <c r="N236" s="648">
        <v>26995</v>
      </c>
      <c r="O236" s="648">
        <f>SUM(L236*I236*N236)</f>
        <v>303693.75</v>
      </c>
      <c r="P236" s="648"/>
      <c r="Q236" s="648"/>
      <c r="R236" s="648">
        <f t="shared" si="472"/>
        <v>0</v>
      </c>
      <c r="S236" s="648">
        <f t="shared" si="470"/>
        <v>303693.75</v>
      </c>
    </row>
    <row r="237" spans="1:19" x14ac:dyDescent="0.25">
      <c r="A237" s="645"/>
      <c r="B237" s="646"/>
      <c r="C237" s="646"/>
      <c r="D237" s="647"/>
      <c r="E237" s="648"/>
      <c r="F237" s="648" t="s">
        <v>586</v>
      </c>
      <c r="G237" s="612">
        <f t="shared" si="471"/>
        <v>400</v>
      </c>
      <c r="H237" s="614"/>
      <c r="I237" s="614">
        <v>400</v>
      </c>
      <c r="J237" s="649">
        <v>4.3499999999999996</v>
      </c>
      <c r="K237" s="648">
        <f t="shared" si="468"/>
        <v>3.0449999999999999</v>
      </c>
      <c r="L237" s="648">
        <v>0.3</v>
      </c>
      <c r="M237" s="647"/>
      <c r="N237" s="648"/>
      <c r="O237" s="648"/>
      <c r="P237" s="648">
        <f>SUM(L237*J237*I237)</f>
        <v>522</v>
      </c>
      <c r="Q237" s="648">
        <v>20</v>
      </c>
      <c r="R237" s="648">
        <f t="shared" si="472"/>
        <v>10440000</v>
      </c>
      <c r="S237" s="648">
        <f t="shared" si="470"/>
        <v>10440000</v>
      </c>
    </row>
    <row r="238" spans="1:19" x14ac:dyDescent="0.25">
      <c r="A238" s="645"/>
      <c r="B238" s="646"/>
      <c r="C238" s="646"/>
      <c r="D238" s="647"/>
      <c r="E238" s="648"/>
      <c r="F238" s="648" t="s">
        <v>474</v>
      </c>
      <c r="G238" s="612">
        <f t="shared" si="471"/>
        <v>150</v>
      </c>
      <c r="H238" s="614"/>
      <c r="I238" s="614">
        <v>150</v>
      </c>
      <c r="J238" s="649">
        <v>4.3499999999999996</v>
      </c>
      <c r="K238" s="648">
        <f t="shared" si="468"/>
        <v>3.4799999999999995</v>
      </c>
      <c r="L238" s="648">
        <v>0.2</v>
      </c>
      <c r="M238" s="647"/>
      <c r="N238" s="648"/>
      <c r="O238" s="648"/>
      <c r="P238" s="648">
        <f>SUM(L238*J238*I238)</f>
        <v>130.5</v>
      </c>
      <c r="Q238" s="648">
        <v>20</v>
      </c>
      <c r="R238" s="648">
        <f t="shared" si="472"/>
        <v>2610000</v>
      </c>
      <c r="S238" s="648">
        <f t="shared" si="470"/>
        <v>2610000</v>
      </c>
    </row>
    <row r="239" spans="1:19" s="595" customFormat="1" x14ac:dyDescent="0.25">
      <c r="A239" s="640"/>
      <c r="B239" s="641" t="s">
        <v>486</v>
      </c>
      <c r="C239" s="642"/>
      <c r="D239" s="643"/>
      <c r="E239" s="644">
        <f>SUM(E240:E242)</f>
        <v>853</v>
      </c>
      <c r="F239" s="644">
        <f t="shared" ref="F239:S239" si="498">SUM(F240:F242)</f>
        <v>0</v>
      </c>
      <c r="G239" s="644">
        <f t="shared" si="498"/>
        <v>505</v>
      </c>
      <c r="H239" s="644">
        <f t="shared" si="498"/>
        <v>0</v>
      </c>
      <c r="I239" s="644">
        <f t="shared" si="498"/>
        <v>505</v>
      </c>
      <c r="J239" s="644">
        <f t="shared" si="498"/>
        <v>13.049999999999999</v>
      </c>
      <c r="K239" s="644">
        <f t="shared" si="498"/>
        <v>10.439999999999998</v>
      </c>
      <c r="L239" s="644">
        <f t="shared" si="498"/>
        <v>0.60000000000000009</v>
      </c>
      <c r="M239" s="644">
        <f t="shared" si="498"/>
        <v>0</v>
      </c>
      <c r="N239" s="644">
        <f t="shared" si="498"/>
        <v>0</v>
      </c>
      <c r="O239" s="644">
        <f t="shared" si="498"/>
        <v>0</v>
      </c>
      <c r="P239" s="644">
        <f t="shared" si="498"/>
        <v>526.78499999999997</v>
      </c>
      <c r="Q239" s="644">
        <f t="shared" si="498"/>
        <v>60</v>
      </c>
      <c r="R239" s="644">
        <f t="shared" si="498"/>
        <v>10535700</v>
      </c>
      <c r="S239" s="644">
        <f t="shared" si="498"/>
        <v>10535700</v>
      </c>
    </row>
    <row r="240" spans="1:19" x14ac:dyDescent="0.25">
      <c r="A240" s="645">
        <v>12</v>
      </c>
      <c r="C240" s="646"/>
      <c r="D240" s="647"/>
      <c r="E240" s="648">
        <v>853</v>
      </c>
      <c r="F240" s="648" t="s">
        <v>487</v>
      </c>
      <c r="G240" s="612">
        <f t="shared" si="471"/>
        <v>34</v>
      </c>
      <c r="H240" s="614"/>
      <c r="I240" s="614">
        <v>34</v>
      </c>
      <c r="J240" s="649">
        <v>4.3499999999999996</v>
      </c>
      <c r="K240" s="648">
        <f t="shared" si="468"/>
        <v>3.6974999999999998</v>
      </c>
      <c r="L240" s="648">
        <v>0.15</v>
      </c>
      <c r="M240" s="647"/>
      <c r="N240" s="648"/>
      <c r="O240" s="648"/>
      <c r="P240" s="648">
        <f>SUM(L240*J240*I240)</f>
        <v>22.184999999999999</v>
      </c>
      <c r="Q240" s="648">
        <v>20</v>
      </c>
      <c r="R240" s="648">
        <f t="shared" si="472"/>
        <v>443700</v>
      </c>
      <c r="S240" s="648">
        <f t="shared" si="470"/>
        <v>443700</v>
      </c>
    </row>
    <row r="241" spans="1:19" x14ac:dyDescent="0.25">
      <c r="A241" s="645"/>
      <c r="B241" s="646"/>
      <c r="C241" s="646"/>
      <c r="D241" s="647"/>
      <c r="E241" s="648"/>
      <c r="F241" s="648" t="s">
        <v>504</v>
      </c>
      <c r="G241" s="612">
        <f t="shared" si="471"/>
        <v>436</v>
      </c>
      <c r="H241" s="614"/>
      <c r="I241" s="614">
        <v>436</v>
      </c>
      <c r="J241" s="649">
        <v>4.3499999999999996</v>
      </c>
      <c r="K241" s="648">
        <f t="shared" si="468"/>
        <v>3.2624999999999997</v>
      </c>
      <c r="L241" s="648">
        <v>0.25</v>
      </c>
      <c r="M241" s="647"/>
      <c r="N241" s="648"/>
      <c r="O241" s="648"/>
      <c r="P241" s="648">
        <f>SUM(L241*J241*I241)</f>
        <v>474.15</v>
      </c>
      <c r="Q241" s="648">
        <v>20</v>
      </c>
      <c r="R241" s="648">
        <f t="shared" si="472"/>
        <v>9483000</v>
      </c>
      <c r="S241" s="648">
        <f t="shared" si="470"/>
        <v>9483000</v>
      </c>
    </row>
    <row r="242" spans="1:19" x14ac:dyDescent="0.25">
      <c r="A242" s="645"/>
      <c r="B242" s="646"/>
      <c r="C242" s="646"/>
      <c r="D242" s="647"/>
      <c r="E242" s="648"/>
      <c r="F242" s="648" t="s">
        <v>474</v>
      </c>
      <c r="G242" s="612">
        <f t="shared" si="471"/>
        <v>35</v>
      </c>
      <c r="H242" s="614"/>
      <c r="I242" s="614">
        <v>35</v>
      </c>
      <c r="J242" s="649">
        <v>4.3499999999999996</v>
      </c>
      <c r="K242" s="648">
        <f t="shared" si="468"/>
        <v>3.4799999999999995</v>
      </c>
      <c r="L242" s="648">
        <v>0.2</v>
      </c>
      <c r="M242" s="647"/>
      <c r="N242" s="648"/>
      <c r="O242" s="648"/>
      <c r="P242" s="648">
        <f>SUM(L242*J242*I242)</f>
        <v>30.45</v>
      </c>
      <c r="Q242" s="648">
        <v>20</v>
      </c>
      <c r="R242" s="648">
        <f t="shared" si="472"/>
        <v>609000</v>
      </c>
      <c r="S242" s="648">
        <f t="shared" si="470"/>
        <v>609000</v>
      </c>
    </row>
    <row r="243" spans="1:19" s="595" customFormat="1" x14ac:dyDescent="0.25">
      <c r="A243" s="640"/>
      <c r="B243" s="641" t="s">
        <v>480</v>
      </c>
      <c r="C243" s="642"/>
      <c r="D243" s="643"/>
      <c r="E243" s="644">
        <f>SUM(E244:E246)</f>
        <v>3136</v>
      </c>
      <c r="F243" s="644">
        <f t="shared" ref="F243:S243" si="499">SUM(F244:F246)</f>
        <v>0</v>
      </c>
      <c r="G243" s="644">
        <f t="shared" si="499"/>
        <v>861</v>
      </c>
      <c r="H243" s="644">
        <f t="shared" si="499"/>
        <v>328</v>
      </c>
      <c r="I243" s="644">
        <f t="shared" si="499"/>
        <v>533</v>
      </c>
      <c r="J243" s="644">
        <f t="shared" si="499"/>
        <v>13.049999999999999</v>
      </c>
      <c r="K243" s="644">
        <f t="shared" si="499"/>
        <v>6.5249999999999995</v>
      </c>
      <c r="L243" s="644">
        <f t="shared" si="499"/>
        <v>1.5</v>
      </c>
      <c r="M243" s="644">
        <f t="shared" si="499"/>
        <v>0</v>
      </c>
      <c r="N243" s="644">
        <f t="shared" si="499"/>
        <v>3000</v>
      </c>
      <c r="O243" s="644">
        <f t="shared" si="499"/>
        <v>984000</v>
      </c>
      <c r="P243" s="644">
        <f t="shared" si="499"/>
        <v>676.42499999999995</v>
      </c>
      <c r="Q243" s="644">
        <f t="shared" si="499"/>
        <v>40</v>
      </c>
      <c r="R243" s="644">
        <f t="shared" si="499"/>
        <v>13528500</v>
      </c>
      <c r="S243" s="644">
        <f t="shared" si="499"/>
        <v>14512500</v>
      </c>
    </row>
    <row r="244" spans="1:19" x14ac:dyDescent="0.25">
      <c r="A244" s="645">
        <v>13</v>
      </c>
      <c r="C244" s="646"/>
      <c r="D244" s="647"/>
      <c r="E244" s="648">
        <v>3136</v>
      </c>
      <c r="F244" s="648" t="s">
        <v>482</v>
      </c>
      <c r="G244" s="612">
        <f t="shared" si="471"/>
        <v>328</v>
      </c>
      <c r="H244" s="614">
        <v>328</v>
      </c>
      <c r="I244" s="614"/>
      <c r="J244" s="649">
        <v>4.3499999999999996</v>
      </c>
      <c r="K244" s="648">
        <f t="shared" si="468"/>
        <v>0</v>
      </c>
      <c r="L244" s="648">
        <v>1</v>
      </c>
      <c r="M244" s="647"/>
      <c r="N244" s="648">
        <v>3000</v>
      </c>
      <c r="O244" s="648">
        <f>SUM(N244*H244)</f>
        <v>984000</v>
      </c>
      <c r="P244" s="648"/>
      <c r="Q244" s="648"/>
      <c r="R244" s="648">
        <f t="shared" si="472"/>
        <v>0</v>
      </c>
      <c r="S244" s="648">
        <f t="shared" si="470"/>
        <v>984000</v>
      </c>
    </row>
    <row r="245" spans="1:19" x14ac:dyDescent="0.25">
      <c r="A245" s="645"/>
      <c r="B245" s="646"/>
      <c r="C245" s="646"/>
      <c r="D245" s="647"/>
      <c r="E245" s="648"/>
      <c r="F245" s="648" t="s">
        <v>504</v>
      </c>
      <c r="G245" s="612">
        <f t="shared" si="471"/>
        <v>489</v>
      </c>
      <c r="H245" s="614"/>
      <c r="I245" s="614">
        <v>489</v>
      </c>
      <c r="J245" s="649">
        <v>4.3499999999999996</v>
      </c>
      <c r="K245" s="648">
        <f t="shared" si="468"/>
        <v>3.0449999999999999</v>
      </c>
      <c r="L245" s="648">
        <v>0.3</v>
      </c>
      <c r="M245" s="647"/>
      <c r="N245" s="648"/>
      <c r="O245" s="648"/>
      <c r="P245" s="648">
        <f>SUM(L245*J245*I245)</f>
        <v>638.14499999999998</v>
      </c>
      <c r="Q245" s="648">
        <v>20</v>
      </c>
      <c r="R245" s="648">
        <f t="shared" si="472"/>
        <v>12762900</v>
      </c>
      <c r="S245" s="648">
        <f t="shared" si="470"/>
        <v>12762900</v>
      </c>
    </row>
    <row r="246" spans="1:19" x14ac:dyDescent="0.25">
      <c r="A246" s="645"/>
      <c r="B246" s="646"/>
      <c r="C246" s="646"/>
      <c r="D246" s="647"/>
      <c r="E246" s="648"/>
      <c r="F246" s="648" t="s">
        <v>474</v>
      </c>
      <c r="G246" s="612">
        <f t="shared" si="471"/>
        <v>44</v>
      </c>
      <c r="H246" s="614"/>
      <c r="I246" s="614">
        <v>44</v>
      </c>
      <c r="J246" s="649">
        <v>4.3499999999999996</v>
      </c>
      <c r="K246" s="648">
        <f t="shared" si="468"/>
        <v>3.4799999999999995</v>
      </c>
      <c r="L246" s="648">
        <v>0.2</v>
      </c>
      <c r="M246" s="647"/>
      <c r="N246" s="648"/>
      <c r="O246" s="648"/>
      <c r="P246" s="648">
        <f>SUM(L246*J246*I246)</f>
        <v>38.28</v>
      </c>
      <c r="Q246" s="648">
        <v>20</v>
      </c>
      <c r="R246" s="648">
        <f t="shared" si="472"/>
        <v>765600</v>
      </c>
      <c r="S246" s="648">
        <f t="shared" si="470"/>
        <v>765600</v>
      </c>
    </row>
    <row r="247" spans="1:19" s="595" customFormat="1" x14ac:dyDescent="0.25">
      <c r="A247" s="640"/>
      <c r="B247" s="641" t="s">
        <v>488</v>
      </c>
      <c r="C247" s="642"/>
      <c r="D247" s="643"/>
      <c r="E247" s="644">
        <f>SUM(E248:E249)</f>
        <v>308</v>
      </c>
      <c r="F247" s="644">
        <f t="shared" ref="F247:S247" si="500">SUM(F248:F249)</f>
        <v>0</v>
      </c>
      <c r="G247" s="644">
        <f t="shared" si="500"/>
        <v>300</v>
      </c>
      <c r="H247" s="644">
        <f t="shared" si="500"/>
        <v>0</v>
      </c>
      <c r="I247" s="644">
        <f t="shared" si="500"/>
        <v>300</v>
      </c>
      <c r="J247" s="644">
        <f t="shared" si="500"/>
        <v>8.6999999999999993</v>
      </c>
      <c r="K247" s="644">
        <f t="shared" si="500"/>
        <v>6.7424999999999997</v>
      </c>
      <c r="L247" s="644">
        <f t="shared" si="500"/>
        <v>0.45</v>
      </c>
      <c r="M247" s="644">
        <f t="shared" si="500"/>
        <v>0</v>
      </c>
      <c r="N247" s="644">
        <f t="shared" si="500"/>
        <v>0</v>
      </c>
      <c r="O247" s="644">
        <f t="shared" si="500"/>
        <v>0</v>
      </c>
      <c r="P247" s="644">
        <f t="shared" si="500"/>
        <v>311.02499999999998</v>
      </c>
      <c r="Q247" s="644">
        <f t="shared" si="500"/>
        <v>40</v>
      </c>
      <c r="R247" s="644">
        <f t="shared" si="500"/>
        <v>6220499.9999999991</v>
      </c>
      <c r="S247" s="644">
        <f t="shared" si="500"/>
        <v>6220499.9999999991</v>
      </c>
    </row>
    <row r="248" spans="1:19" x14ac:dyDescent="0.25">
      <c r="A248" s="645">
        <v>14</v>
      </c>
      <c r="C248" s="646"/>
      <c r="D248" s="647"/>
      <c r="E248" s="648">
        <v>308</v>
      </c>
      <c r="F248" s="648" t="s">
        <v>620</v>
      </c>
      <c r="G248" s="612">
        <f t="shared" si="471"/>
        <v>70</v>
      </c>
      <c r="H248" s="614"/>
      <c r="I248" s="614">
        <v>70</v>
      </c>
      <c r="J248" s="649">
        <v>4.3499999999999996</v>
      </c>
      <c r="K248" s="648">
        <f t="shared" si="468"/>
        <v>3.4799999999999995</v>
      </c>
      <c r="L248" s="648">
        <v>0.2</v>
      </c>
      <c r="M248" s="647"/>
      <c r="N248" s="648"/>
      <c r="O248" s="648"/>
      <c r="P248" s="648">
        <f>SUM(L248*J248*I248)</f>
        <v>60.9</v>
      </c>
      <c r="Q248" s="648">
        <v>20</v>
      </c>
      <c r="R248" s="648">
        <f t="shared" si="472"/>
        <v>1218000</v>
      </c>
      <c r="S248" s="648">
        <f t="shared" si="470"/>
        <v>1218000</v>
      </c>
    </row>
    <row r="249" spans="1:19" x14ac:dyDescent="0.25">
      <c r="A249" s="645"/>
      <c r="B249" s="646"/>
      <c r="C249" s="646"/>
      <c r="D249" s="647"/>
      <c r="E249" s="648"/>
      <c r="F249" s="648" t="s">
        <v>497</v>
      </c>
      <c r="G249" s="612">
        <f t="shared" si="471"/>
        <v>230</v>
      </c>
      <c r="H249" s="614"/>
      <c r="I249" s="614">
        <v>230</v>
      </c>
      <c r="J249" s="649">
        <v>4.3499999999999996</v>
      </c>
      <c r="K249" s="648">
        <f t="shared" si="468"/>
        <v>3.2624999999999997</v>
      </c>
      <c r="L249" s="648">
        <v>0.25</v>
      </c>
      <c r="M249" s="647"/>
      <c r="N249" s="648"/>
      <c r="O249" s="648"/>
      <c r="P249" s="648">
        <f>SUM(L249*J249*I249)</f>
        <v>250.12499999999997</v>
      </c>
      <c r="Q249" s="648">
        <v>20</v>
      </c>
      <c r="R249" s="648">
        <f t="shared" si="472"/>
        <v>5002499.9999999991</v>
      </c>
      <c r="S249" s="648">
        <f t="shared" si="470"/>
        <v>5002499.9999999991</v>
      </c>
    </row>
    <row r="250" spans="1:19" s="595" customFormat="1" x14ac:dyDescent="0.25">
      <c r="A250" s="640"/>
      <c r="B250" s="641" t="s">
        <v>483</v>
      </c>
      <c r="C250" s="642"/>
      <c r="D250" s="643"/>
      <c r="E250" s="644">
        <f>SUM(E251:E256)</f>
        <v>1732</v>
      </c>
      <c r="F250" s="644">
        <f t="shared" ref="F250:S250" si="501">SUM(F251:F256)</f>
        <v>0</v>
      </c>
      <c r="G250" s="644">
        <f t="shared" si="501"/>
        <v>1100</v>
      </c>
      <c r="H250" s="644">
        <f t="shared" si="501"/>
        <v>310</v>
      </c>
      <c r="I250" s="644">
        <f t="shared" si="501"/>
        <v>790</v>
      </c>
      <c r="J250" s="644">
        <f t="shared" si="501"/>
        <v>26.1</v>
      </c>
      <c r="K250" s="644">
        <f t="shared" si="501"/>
        <v>9.1349999999999998</v>
      </c>
      <c r="L250" s="644">
        <f t="shared" si="501"/>
        <v>3.9</v>
      </c>
      <c r="M250" s="644">
        <f t="shared" si="501"/>
        <v>0</v>
      </c>
      <c r="N250" s="644">
        <f t="shared" si="501"/>
        <v>59990</v>
      </c>
      <c r="O250" s="644">
        <f t="shared" si="501"/>
        <v>2780560</v>
      </c>
      <c r="P250" s="644">
        <f t="shared" si="501"/>
        <v>1174.5</v>
      </c>
      <c r="Q250" s="644">
        <f t="shared" si="501"/>
        <v>40</v>
      </c>
      <c r="R250" s="644">
        <f t="shared" si="501"/>
        <v>23490000</v>
      </c>
      <c r="S250" s="644">
        <f t="shared" si="501"/>
        <v>26270560</v>
      </c>
    </row>
    <row r="251" spans="1:19" x14ac:dyDescent="0.25">
      <c r="A251" s="645">
        <v>15</v>
      </c>
      <c r="C251" s="646"/>
      <c r="D251" s="647"/>
      <c r="E251" s="648"/>
      <c r="F251" s="648" t="s">
        <v>482</v>
      </c>
      <c r="G251" s="612">
        <f t="shared" si="471"/>
        <v>120</v>
      </c>
      <c r="H251" s="614">
        <v>120</v>
      </c>
      <c r="I251" s="614"/>
      <c r="J251" s="649">
        <v>4.3499999999999996</v>
      </c>
      <c r="K251" s="648">
        <f t="shared" si="468"/>
        <v>0</v>
      </c>
      <c r="L251" s="648">
        <v>1</v>
      </c>
      <c r="M251" s="647"/>
      <c r="N251" s="648">
        <v>3000</v>
      </c>
      <c r="O251" s="648">
        <f>SUM(N251*H251)</f>
        <v>360000</v>
      </c>
      <c r="P251" s="648"/>
      <c r="Q251" s="648"/>
      <c r="R251" s="648">
        <f t="shared" si="472"/>
        <v>0</v>
      </c>
      <c r="S251" s="648">
        <f t="shared" si="470"/>
        <v>360000</v>
      </c>
    </row>
    <row r="252" spans="1:19" x14ac:dyDescent="0.25">
      <c r="A252" s="645"/>
      <c r="B252" s="646"/>
      <c r="C252" s="646"/>
      <c r="D252" s="647"/>
      <c r="E252" s="648">
        <v>1732</v>
      </c>
      <c r="F252" s="648" t="s">
        <v>482</v>
      </c>
      <c r="G252" s="612">
        <f t="shared" si="471"/>
        <v>30</v>
      </c>
      <c r="H252" s="614"/>
      <c r="I252" s="614">
        <v>30</v>
      </c>
      <c r="J252" s="649">
        <v>4.3499999999999996</v>
      </c>
      <c r="K252" s="648">
        <f t="shared" si="468"/>
        <v>2.1749999999999998</v>
      </c>
      <c r="L252" s="648">
        <v>0.5</v>
      </c>
      <c r="M252" s="647"/>
      <c r="N252" s="648">
        <v>3000</v>
      </c>
      <c r="O252" s="648">
        <f>SUM(N252*L252*I252)</f>
        <v>45000</v>
      </c>
      <c r="P252" s="648"/>
      <c r="Q252" s="648"/>
      <c r="R252" s="648">
        <f t="shared" si="472"/>
        <v>0</v>
      </c>
      <c r="S252" s="648">
        <f t="shared" si="470"/>
        <v>45000</v>
      </c>
    </row>
    <row r="253" spans="1:19" x14ac:dyDescent="0.25">
      <c r="A253" s="645"/>
      <c r="B253" s="646"/>
      <c r="C253" s="646"/>
      <c r="D253" s="647"/>
      <c r="E253" s="648"/>
      <c r="F253" s="648" t="s">
        <v>539</v>
      </c>
      <c r="G253" s="612">
        <f t="shared" si="471"/>
        <v>55</v>
      </c>
      <c r="H253" s="614">
        <v>55</v>
      </c>
      <c r="I253" s="614"/>
      <c r="J253" s="649">
        <v>4.3499999999999996</v>
      </c>
      <c r="K253" s="648">
        <f t="shared" si="468"/>
        <v>0</v>
      </c>
      <c r="L253" s="648">
        <v>1</v>
      </c>
      <c r="M253" s="647"/>
      <c r="N253" s="648">
        <v>26995</v>
      </c>
      <c r="O253" s="648">
        <f>SUM(N253*H253)</f>
        <v>1484725</v>
      </c>
      <c r="P253" s="648"/>
      <c r="Q253" s="648"/>
      <c r="R253" s="648">
        <f t="shared" si="472"/>
        <v>0</v>
      </c>
      <c r="S253" s="648">
        <f t="shared" si="470"/>
        <v>1484725</v>
      </c>
    </row>
    <row r="254" spans="1:19" x14ac:dyDescent="0.25">
      <c r="A254" s="645"/>
      <c r="B254" s="646"/>
      <c r="C254" s="646"/>
      <c r="D254" s="647"/>
      <c r="E254" s="648"/>
      <c r="F254" s="648" t="s">
        <v>539</v>
      </c>
      <c r="G254" s="612">
        <f t="shared" si="471"/>
        <v>220</v>
      </c>
      <c r="H254" s="614"/>
      <c r="I254" s="614">
        <v>220</v>
      </c>
      <c r="J254" s="649">
        <v>4.3499999999999996</v>
      </c>
      <c r="K254" s="648">
        <f t="shared" si="468"/>
        <v>3.6974999999999998</v>
      </c>
      <c r="L254" s="648">
        <v>0.15</v>
      </c>
      <c r="M254" s="647"/>
      <c r="N254" s="648">
        <v>26995</v>
      </c>
      <c r="O254" s="648">
        <f>SUM(N254*L254*I254)</f>
        <v>890835</v>
      </c>
      <c r="P254" s="648"/>
      <c r="Q254" s="648"/>
      <c r="R254" s="648">
        <f t="shared" si="472"/>
        <v>0</v>
      </c>
      <c r="S254" s="648">
        <f t="shared" si="470"/>
        <v>890835</v>
      </c>
    </row>
    <row r="255" spans="1:19" x14ac:dyDescent="0.25">
      <c r="A255" s="645"/>
      <c r="B255" s="646"/>
      <c r="C255" s="646"/>
      <c r="D255" s="647"/>
      <c r="E255" s="648"/>
      <c r="F255" s="648" t="s">
        <v>501</v>
      </c>
      <c r="G255" s="612">
        <f t="shared" si="471"/>
        <v>135</v>
      </c>
      <c r="H255" s="614">
        <v>135</v>
      </c>
      <c r="I255" s="614"/>
      <c r="J255" s="649">
        <v>4.3499999999999996</v>
      </c>
      <c r="K255" s="648">
        <f t="shared" si="468"/>
        <v>0</v>
      </c>
      <c r="L255" s="648">
        <v>1</v>
      </c>
      <c r="M255" s="647"/>
      <c r="N255" s="648"/>
      <c r="O255" s="648"/>
      <c r="P255" s="648">
        <f>SUM(L255*J255*H255)</f>
        <v>587.25</v>
      </c>
      <c r="Q255" s="648">
        <v>20</v>
      </c>
      <c r="R255" s="648">
        <f t="shared" si="472"/>
        <v>11745000</v>
      </c>
      <c r="S255" s="648">
        <f t="shared" si="470"/>
        <v>11745000</v>
      </c>
    </row>
    <row r="256" spans="1:19" x14ac:dyDescent="0.25">
      <c r="A256" s="645"/>
      <c r="B256" s="646"/>
      <c r="C256" s="646"/>
      <c r="D256" s="647"/>
      <c r="E256" s="648"/>
      <c r="F256" s="648" t="s">
        <v>501</v>
      </c>
      <c r="G256" s="612">
        <f t="shared" si="471"/>
        <v>540</v>
      </c>
      <c r="H256" s="614"/>
      <c r="I256" s="614">
        <v>540</v>
      </c>
      <c r="J256" s="649">
        <v>4.3499999999999996</v>
      </c>
      <c r="K256" s="648">
        <f t="shared" si="468"/>
        <v>3.2624999999999997</v>
      </c>
      <c r="L256" s="648">
        <v>0.25</v>
      </c>
      <c r="M256" s="647"/>
      <c r="N256" s="648"/>
      <c r="O256" s="648"/>
      <c r="P256" s="648">
        <f>SUM(L256*J256*I256)</f>
        <v>587.25</v>
      </c>
      <c r="Q256" s="648">
        <v>20</v>
      </c>
      <c r="R256" s="648">
        <f t="shared" si="472"/>
        <v>11745000</v>
      </c>
      <c r="S256" s="648">
        <f t="shared" si="470"/>
        <v>11745000</v>
      </c>
    </row>
    <row r="257" spans="1:19" s="595" customFormat="1" x14ac:dyDescent="0.25">
      <c r="A257" s="640"/>
      <c r="B257" s="641" t="s">
        <v>624</v>
      </c>
      <c r="C257" s="642"/>
      <c r="D257" s="643"/>
      <c r="E257" s="644">
        <f>SUM(E258:E267)</f>
        <v>10581</v>
      </c>
      <c r="F257" s="644">
        <f t="shared" ref="F257:S257" si="502">SUM(F258:F267)</f>
        <v>0</v>
      </c>
      <c r="G257" s="644">
        <f t="shared" si="502"/>
        <v>2319.8000000000002</v>
      </c>
      <c r="H257" s="644">
        <f t="shared" si="502"/>
        <v>733</v>
      </c>
      <c r="I257" s="644">
        <f t="shared" si="502"/>
        <v>1586.8000000000002</v>
      </c>
      <c r="J257" s="644">
        <f t="shared" si="502"/>
        <v>43.500000000000007</v>
      </c>
      <c r="K257" s="644">
        <f t="shared" si="502"/>
        <v>15.225</v>
      </c>
      <c r="L257" s="644">
        <f t="shared" si="502"/>
        <v>6.4999999999999991</v>
      </c>
      <c r="M257" s="644">
        <f t="shared" si="502"/>
        <v>0</v>
      </c>
      <c r="N257" s="644">
        <f t="shared" si="502"/>
        <v>104914</v>
      </c>
      <c r="O257" s="644">
        <f t="shared" si="502"/>
        <v>3539859.85</v>
      </c>
      <c r="P257" s="644">
        <f t="shared" si="502"/>
        <v>2314.4609999999998</v>
      </c>
      <c r="Q257" s="644">
        <f t="shared" si="502"/>
        <v>80</v>
      </c>
      <c r="R257" s="644">
        <f t="shared" si="502"/>
        <v>46289220</v>
      </c>
      <c r="S257" s="644">
        <f t="shared" si="502"/>
        <v>49829079.849999994</v>
      </c>
    </row>
    <row r="258" spans="1:19" x14ac:dyDescent="0.25">
      <c r="A258" s="645">
        <v>16</v>
      </c>
      <c r="C258" s="646"/>
      <c r="D258" s="647"/>
      <c r="E258" s="648">
        <v>10581</v>
      </c>
      <c r="F258" s="648" t="s">
        <v>482</v>
      </c>
      <c r="G258" s="612">
        <f t="shared" si="471"/>
        <v>521</v>
      </c>
      <c r="H258" s="614">
        <v>521</v>
      </c>
      <c r="I258" s="614"/>
      <c r="J258" s="649">
        <v>4.3499999999999996</v>
      </c>
      <c r="K258" s="648">
        <f t="shared" si="468"/>
        <v>0</v>
      </c>
      <c r="L258" s="648">
        <v>1</v>
      </c>
      <c r="M258" s="647"/>
      <c r="N258" s="648">
        <v>3000</v>
      </c>
      <c r="O258" s="648">
        <f>SUM(N258*L258*H258)</f>
        <v>1563000</v>
      </c>
      <c r="P258" s="648"/>
      <c r="Q258" s="648"/>
      <c r="R258" s="648">
        <f t="shared" si="472"/>
        <v>0</v>
      </c>
      <c r="S258" s="648">
        <f t="shared" si="470"/>
        <v>1563000</v>
      </c>
    </row>
    <row r="259" spans="1:19" x14ac:dyDescent="0.25">
      <c r="A259" s="645"/>
      <c r="B259" s="646"/>
      <c r="C259" s="646"/>
      <c r="D259" s="647"/>
      <c r="E259" s="648"/>
      <c r="F259" s="648" t="s">
        <v>482</v>
      </c>
      <c r="G259" s="612">
        <f t="shared" si="471"/>
        <v>104</v>
      </c>
      <c r="H259" s="614"/>
      <c r="I259" s="614">
        <v>104</v>
      </c>
      <c r="J259" s="649">
        <v>4.3499999999999996</v>
      </c>
      <c r="K259" s="648">
        <f t="shared" si="468"/>
        <v>2.1749999999999998</v>
      </c>
      <c r="L259" s="648">
        <v>0.5</v>
      </c>
      <c r="M259" s="647"/>
      <c r="N259" s="648">
        <v>3000</v>
      </c>
      <c r="O259" s="648">
        <f>SUM(N259*L259*I259)</f>
        <v>156000</v>
      </c>
      <c r="P259" s="648"/>
      <c r="Q259" s="648"/>
      <c r="R259" s="648">
        <f t="shared" si="472"/>
        <v>0</v>
      </c>
      <c r="S259" s="648">
        <f t="shared" si="470"/>
        <v>156000</v>
      </c>
    </row>
    <row r="260" spans="1:19" x14ac:dyDescent="0.25">
      <c r="A260" s="645"/>
      <c r="B260" s="646"/>
      <c r="C260" s="646"/>
      <c r="D260" s="647"/>
      <c r="E260" s="648"/>
      <c r="F260" s="648" t="s">
        <v>625</v>
      </c>
      <c r="G260" s="612">
        <f t="shared" si="471"/>
        <v>39.5</v>
      </c>
      <c r="H260" s="614">
        <v>39.5</v>
      </c>
      <c r="I260" s="614"/>
      <c r="J260" s="649">
        <v>4.3499999999999996</v>
      </c>
      <c r="K260" s="648">
        <f t="shared" si="468"/>
        <v>0</v>
      </c>
      <c r="L260" s="648">
        <v>1</v>
      </c>
      <c r="M260" s="647"/>
      <c r="N260" s="648">
        <v>22462</v>
      </c>
      <c r="O260" s="648">
        <f>SUM(N260*L260*H260)</f>
        <v>887249</v>
      </c>
      <c r="P260" s="648"/>
      <c r="Q260" s="648"/>
      <c r="R260" s="648">
        <f t="shared" si="472"/>
        <v>0</v>
      </c>
      <c r="S260" s="648">
        <f t="shared" si="470"/>
        <v>887249</v>
      </c>
    </row>
    <row r="261" spans="1:19" x14ac:dyDescent="0.25">
      <c r="A261" s="645"/>
      <c r="B261" s="646"/>
      <c r="C261" s="646"/>
      <c r="D261" s="647"/>
      <c r="E261" s="648"/>
      <c r="F261" s="648" t="s">
        <v>625</v>
      </c>
      <c r="G261" s="612">
        <f t="shared" si="471"/>
        <v>41</v>
      </c>
      <c r="H261" s="614"/>
      <c r="I261" s="614">
        <v>41</v>
      </c>
      <c r="J261" s="649">
        <v>4.3499999999999996</v>
      </c>
      <c r="K261" s="648">
        <f t="shared" si="468"/>
        <v>3.0449999999999999</v>
      </c>
      <c r="L261" s="648">
        <v>0.3</v>
      </c>
      <c r="M261" s="647"/>
      <c r="N261" s="648">
        <v>22462</v>
      </c>
      <c r="O261" s="648">
        <f>SUM(N261*L261*I261)</f>
        <v>276282.59999999998</v>
      </c>
      <c r="P261" s="648"/>
      <c r="Q261" s="648"/>
      <c r="R261" s="648">
        <f t="shared" si="472"/>
        <v>0</v>
      </c>
      <c r="S261" s="648">
        <f t="shared" si="470"/>
        <v>276282.59999999998</v>
      </c>
    </row>
    <row r="262" spans="1:19" x14ac:dyDescent="0.25">
      <c r="A262" s="645"/>
      <c r="B262" s="646"/>
      <c r="C262" s="646"/>
      <c r="D262" s="647"/>
      <c r="E262" s="648"/>
      <c r="F262" s="648" t="s">
        <v>539</v>
      </c>
      <c r="G262" s="612">
        <f t="shared" si="471"/>
        <v>5</v>
      </c>
      <c r="H262" s="614">
        <v>5</v>
      </c>
      <c r="I262" s="614"/>
      <c r="J262" s="649">
        <v>4.3499999999999996</v>
      </c>
      <c r="K262" s="648">
        <f t="shared" si="468"/>
        <v>0</v>
      </c>
      <c r="L262" s="648">
        <v>1</v>
      </c>
      <c r="M262" s="647"/>
      <c r="N262" s="648">
        <v>26995</v>
      </c>
      <c r="O262" s="648">
        <f>SUM(N262*L262*H262)</f>
        <v>134975</v>
      </c>
      <c r="P262" s="648"/>
      <c r="Q262" s="648"/>
      <c r="R262" s="648">
        <f t="shared" si="472"/>
        <v>0</v>
      </c>
      <c r="S262" s="648">
        <f t="shared" si="470"/>
        <v>134975</v>
      </c>
    </row>
    <row r="263" spans="1:19" x14ac:dyDescent="0.25">
      <c r="A263" s="645"/>
      <c r="B263" s="646"/>
      <c r="C263" s="646"/>
      <c r="D263" s="647"/>
      <c r="E263" s="648"/>
      <c r="F263" s="648" t="s">
        <v>539</v>
      </c>
      <c r="G263" s="612">
        <f t="shared" si="471"/>
        <v>129</v>
      </c>
      <c r="H263" s="614"/>
      <c r="I263" s="614">
        <v>129</v>
      </c>
      <c r="J263" s="649">
        <v>4.3499999999999996</v>
      </c>
      <c r="K263" s="648">
        <f t="shared" si="468"/>
        <v>3.6974999999999998</v>
      </c>
      <c r="L263" s="648">
        <v>0.15</v>
      </c>
      <c r="M263" s="647"/>
      <c r="N263" s="648">
        <v>26995</v>
      </c>
      <c r="O263" s="648">
        <f>SUM(N263*L263*I263)</f>
        <v>522353.25</v>
      </c>
      <c r="P263" s="648"/>
      <c r="Q263" s="648"/>
      <c r="R263" s="648">
        <f t="shared" si="472"/>
        <v>0</v>
      </c>
      <c r="S263" s="648">
        <f t="shared" si="470"/>
        <v>522353.25</v>
      </c>
    </row>
    <row r="264" spans="1:19" x14ac:dyDescent="0.25">
      <c r="A264" s="645"/>
      <c r="B264" s="646"/>
      <c r="C264" s="646"/>
      <c r="D264" s="647"/>
      <c r="E264" s="648"/>
      <c r="F264" s="648" t="s">
        <v>586</v>
      </c>
      <c r="G264" s="612">
        <f t="shared" si="471"/>
        <v>115.5</v>
      </c>
      <c r="H264" s="614">
        <v>115.5</v>
      </c>
      <c r="I264" s="614"/>
      <c r="J264" s="649">
        <v>4.3499999999999996</v>
      </c>
      <c r="K264" s="648">
        <f t="shared" si="468"/>
        <v>0</v>
      </c>
      <c r="L264" s="648">
        <v>1</v>
      </c>
      <c r="M264" s="647"/>
      <c r="N264" s="648"/>
      <c r="O264" s="648"/>
      <c r="P264" s="648">
        <f>SUM(L264*J264*H264)</f>
        <v>502.42499999999995</v>
      </c>
      <c r="Q264" s="648">
        <v>20</v>
      </c>
      <c r="R264" s="648">
        <f t="shared" si="472"/>
        <v>10048499.999999998</v>
      </c>
      <c r="S264" s="648">
        <f t="shared" si="470"/>
        <v>10048499.999999998</v>
      </c>
    </row>
    <row r="265" spans="1:19" x14ac:dyDescent="0.25">
      <c r="A265" s="645"/>
      <c r="B265" s="646"/>
      <c r="C265" s="646"/>
      <c r="D265" s="647"/>
      <c r="E265" s="648"/>
      <c r="F265" s="648" t="s">
        <v>586</v>
      </c>
      <c r="G265" s="612">
        <f t="shared" si="471"/>
        <v>585.6</v>
      </c>
      <c r="H265" s="614"/>
      <c r="I265" s="614">
        <v>585.6</v>
      </c>
      <c r="J265" s="649">
        <v>4.3499999999999996</v>
      </c>
      <c r="K265" s="648">
        <f t="shared" si="468"/>
        <v>3.2624999999999997</v>
      </c>
      <c r="L265" s="648">
        <v>0.25</v>
      </c>
      <c r="M265" s="647"/>
      <c r="N265" s="648"/>
      <c r="O265" s="648"/>
      <c r="P265" s="648">
        <f>SUM(L265*J265*I265)</f>
        <v>636.83999999999992</v>
      </c>
      <c r="Q265" s="648">
        <v>20</v>
      </c>
      <c r="R265" s="648">
        <f t="shared" si="472"/>
        <v>12736799.999999998</v>
      </c>
      <c r="S265" s="648">
        <f t="shared" si="470"/>
        <v>12736799.999999998</v>
      </c>
    </row>
    <row r="266" spans="1:19" x14ac:dyDescent="0.25">
      <c r="A266" s="645"/>
      <c r="B266" s="646"/>
      <c r="C266" s="646"/>
      <c r="D266" s="647"/>
      <c r="E266" s="648"/>
      <c r="F266" s="648" t="s">
        <v>474</v>
      </c>
      <c r="G266" s="612">
        <f t="shared" si="471"/>
        <v>52</v>
      </c>
      <c r="H266" s="614">
        <v>52</v>
      </c>
      <c r="I266" s="614"/>
      <c r="J266" s="649">
        <v>4.3499999999999996</v>
      </c>
      <c r="K266" s="648">
        <f t="shared" si="468"/>
        <v>0</v>
      </c>
      <c r="L266" s="648">
        <v>1</v>
      </c>
      <c r="M266" s="647"/>
      <c r="N266" s="648"/>
      <c r="O266" s="648"/>
      <c r="P266" s="648">
        <f>SUM(L266*J266*H266)</f>
        <v>226.2</v>
      </c>
      <c r="Q266" s="648">
        <v>20</v>
      </c>
      <c r="R266" s="648">
        <f t="shared" si="472"/>
        <v>4524000</v>
      </c>
      <c r="S266" s="648">
        <f t="shared" si="470"/>
        <v>4524000</v>
      </c>
    </row>
    <row r="267" spans="1:19" x14ac:dyDescent="0.25">
      <c r="A267" s="645"/>
      <c r="B267" s="646"/>
      <c r="C267" s="646"/>
      <c r="D267" s="647"/>
      <c r="E267" s="648"/>
      <c r="F267" s="648" t="s">
        <v>474</v>
      </c>
      <c r="G267" s="612">
        <f t="shared" si="471"/>
        <v>727.2</v>
      </c>
      <c r="H267" s="614"/>
      <c r="I267" s="614">
        <v>727.2</v>
      </c>
      <c r="J267" s="649">
        <v>4.3499999999999996</v>
      </c>
      <c r="K267" s="648">
        <f t="shared" si="468"/>
        <v>3.0449999999999999</v>
      </c>
      <c r="L267" s="648">
        <v>0.3</v>
      </c>
      <c r="M267" s="647"/>
      <c r="N267" s="648"/>
      <c r="O267" s="648"/>
      <c r="P267" s="648">
        <f>SUM(L267*J267*I267)</f>
        <v>948.99599999999998</v>
      </c>
      <c r="Q267" s="648">
        <v>20</v>
      </c>
      <c r="R267" s="648">
        <f t="shared" si="472"/>
        <v>18979920</v>
      </c>
      <c r="S267" s="648">
        <f t="shared" si="470"/>
        <v>18979920</v>
      </c>
    </row>
    <row r="268" spans="1:19" x14ac:dyDescent="0.25">
      <c r="A268" s="645"/>
      <c r="B268" s="646" t="s">
        <v>626</v>
      </c>
      <c r="C268" s="646"/>
      <c r="D268" s="647"/>
      <c r="E268" s="648"/>
      <c r="F268" s="648"/>
      <c r="G268" s="612"/>
      <c r="H268" s="614"/>
      <c r="I268" s="614"/>
      <c r="J268" s="649"/>
      <c r="K268" s="648">
        <f t="shared" si="468"/>
        <v>0</v>
      </c>
      <c r="L268" s="648"/>
      <c r="M268" s="647"/>
      <c r="N268" s="648"/>
      <c r="O268" s="648"/>
      <c r="P268" s="648">
        <f>SUM(I268*J268*L268)</f>
        <v>0</v>
      </c>
      <c r="Q268" s="648"/>
      <c r="R268" s="648">
        <f t="shared" si="472"/>
        <v>0</v>
      </c>
      <c r="S268" s="648">
        <f t="shared" si="470"/>
        <v>0</v>
      </c>
    </row>
    <row r="269" spans="1:19" s="595" customFormat="1" x14ac:dyDescent="0.25">
      <c r="A269" s="640"/>
      <c r="B269" s="641" t="s">
        <v>627</v>
      </c>
      <c r="C269" s="642"/>
      <c r="D269" s="643"/>
      <c r="E269" s="644">
        <f>SUM(E270:E273)</f>
        <v>2137</v>
      </c>
      <c r="F269" s="644">
        <f t="shared" ref="F269:S269" si="503">SUM(F270:F273)</f>
        <v>0</v>
      </c>
      <c r="G269" s="644">
        <f t="shared" si="503"/>
        <v>248.5</v>
      </c>
      <c r="H269" s="644">
        <f t="shared" si="503"/>
        <v>248.5</v>
      </c>
      <c r="I269" s="644">
        <f t="shared" si="503"/>
        <v>0</v>
      </c>
      <c r="J269" s="644">
        <f t="shared" si="503"/>
        <v>17.399999999999999</v>
      </c>
      <c r="K269" s="644">
        <f t="shared" si="503"/>
        <v>0</v>
      </c>
      <c r="L269" s="644">
        <f t="shared" si="503"/>
        <v>4</v>
      </c>
      <c r="M269" s="644">
        <f t="shared" si="503"/>
        <v>0</v>
      </c>
      <c r="N269" s="644">
        <f t="shared" si="503"/>
        <v>29995</v>
      </c>
      <c r="O269" s="644">
        <f t="shared" si="503"/>
        <v>6471625.4999999991</v>
      </c>
      <c r="P269" s="644">
        <f t="shared" si="503"/>
        <v>802.57499999999993</v>
      </c>
      <c r="Q269" s="644">
        <f t="shared" si="503"/>
        <v>40</v>
      </c>
      <c r="R269" s="644">
        <f t="shared" si="503"/>
        <v>16051499.999999998</v>
      </c>
      <c r="S269" s="644">
        <f t="shared" si="503"/>
        <v>22523125.499999996</v>
      </c>
    </row>
    <row r="270" spans="1:19" x14ac:dyDescent="0.25">
      <c r="A270" s="645">
        <v>17</v>
      </c>
      <c r="C270" s="646"/>
      <c r="D270" s="647"/>
      <c r="E270" s="648">
        <v>2137</v>
      </c>
      <c r="F270" s="648" t="s">
        <v>521</v>
      </c>
      <c r="G270" s="612">
        <f t="shared" si="471"/>
        <v>10</v>
      </c>
      <c r="H270" s="614">
        <v>10</v>
      </c>
      <c r="I270" s="614"/>
      <c r="J270" s="649">
        <v>4.3499999999999996</v>
      </c>
      <c r="K270" s="648">
        <f t="shared" si="468"/>
        <v>0</v>
      </c>
      <c r="L270" s="648">
        <v>1</v>
      </c>
      <c r="M270" s="647"/>
      <c r="N270" s="648">
        <v>3000</v>
      </c>
      <c r="O270" s="648">
        <f>SUM(N270*J270*H270)</f>
        <v>130499.99999999999</v>
      </c>
      <c r="P270" s="648"/>
      <c r="Q270" s="648"/>
      <c r="R270" s="648">
        <f t="shared" si="472"/>
        <v>0</v>
      </c>
      <c r="S270" s="648">
        <f t="shared" si="470"/>
        <v>130499.99999999999</v>
      </c>
    </row>
    <row r="271" spans="1:19" x14ac:dyDescent="0.25">
      <c r="A271" s="645"/>
      <c r="B271" s="641"/>
      <c r="C271" s="646"/>
      <c r="D271" s="647"/>
      <c r="E271" s="648"/>
      <c r="F271" s="648" t="s">
        <v>539</v>
      </c>
      <c r="G271" s="612">
        <f t="shared" si="471"/>
        <v>54</v>
      </c>
      <c r="H271" s="614">
        <v>54</v>
      </c>
      <c r="I271" s="614"/>
      <c r="J271" s="649">
        <v>4.3499999999999996</v>
      </c>
      <c r="K271" s="648">
        <f t="shared" si="468"/>
        <v>0</v>
      </c>
      <c r="L271" s="648">
        <v>1</v>
      </c>
      <c r="M271" s="647"/>
      <c r="N271" s="648">
        <v>26995</v>
      </c>
      <c r="O271" s="648">
        <f>SUM(N271*J271*H271)</f>
        <v>6341125.4999999991</v>
      </c>
      <c r="P271" s="648"/>
      <c r="Q271" s="648"/>
      <c r="R271" s="648">
        <f t="shared" si="472"/>
        <v>0</v>
      </c>
      <c r="S271" s="648">
        <f t="shared" si="470"/>
        <v>6341125.4999999991</v>
      </c>
    </row>
    <row r="272" spans="1:19" x14ac:dyDescent="0.25">
      <c r="A272" s="645"/>
      <c r="B272" s="641"/>
      <c r="C272" s="646"/>
      <c r="D272" s="647"/>
      <c r="E272" s="648"/>
      <c r="F272" s="648" t="s">
        <v>586</v>
      </c>
      <c r="G272" s="612">
        <f t="shared" si="471"/>
        <v>164.5</v>
      </c>
      <c r="H272" s="614">
        <v>164.5</v>
      </c>
      <c r="I272" s="614"/>
      <c r="J272" s="649">
        <v>4.3499999999999996</v>
      </c>
      <c r="K272" s="648">
        <f t="shared" si="468"/>
        <v>0</v>
      </c>
      <c r="L272" s="648">
        <v>1</v>
      </c>
      <c r="M272" s="647"/>
      <c r="N272" s="648"/>
      <c r="O272" s="648"/>
      <c r="P272" s="648">
        <f>SUM(J272*H272*L272)</f>
        <v>715.57499999999993</v>
      </c>
      <c r="Q272" s="648">
        <v>20</v>
      </c>
      <c r="R272" s="648">
        <f t="shared" si="472"/>
        <v>14311499.999999998</v>
      </c>
      <c r="S272" s="648">
        <f t="shared" ref="S272:S400" si="504">SUM(O272+R272)</f>
        <v>14311499.999999998</v>
      </c>
    </row>
    <row r="273" spans="1:19" x14ac:dyDescent="0.25">
      <c r="A273" s="645"/>
      <c r="B273" s="641"/>
      <c r="C273" s="646"/>
      <c r="D273" s="647"/>
      <c r="E273" s="648"/>
      <c r="F273" s="648" t="s">
        <v>474</v>
      </c>
      <c r="G273" s="612">
        <f t="shared" si="471"/>
        <v>20</v>
      </c>
      <c r="H273" s="614">
        <v>20</v>
      </c>
      <c r="I273" s="614"/>
      <c r="J273" s="649">
        <v>4.3499999999999996</v>
      </c>
      <c r="K273" s="648">
        <f t="shared" si="468"/>
        <v>0</v>
      </c>
      <c r="L273" s="648">
        <v>1</v>
      </c>
      <c r="M273" s="647"/>
      <c r="N273" s="648"/>
      <c r="O273" s="648"/>
      <c r="P273" s="648">
        <f>SUM(J273*H273*L273)</f>
        <v>87</v>
      </c>
      <c r="Q273" s="648">
        <v>20</v>
      </c>
      <c r="R273" s="648">
        <f t="shared" si="472"/>
        <v>1740000</v>
      </c>
      <c r="S273" s="648">
        <f t="shared" si="504"/>
        <v>1740000</v>
      </c>
    </row>
    <row r="274" spans="1:19" s="595" customFormat="1" x14ac:dyDescent="0.25">
      <c r="A274" s="640"/>
      <c r="B274" s="641" t="s">
        <v>628</v>
      </c>
      <c r="C274" s="642"/>
      <c r="D274" s="643"/>
      <c r="E274" s="644">
        <f>SUM(E275:E278)</f>
        <v>1031</v>
      </c>
      <c r="F274" s="644">
        <f t="shared" ref="F274:S274" si="505">SUM(F275:F278)</f>
        <v>0</v>
      </c>
      <c r="G274" s="644">
        <f t="shared" si="505"/>
        <v>839</v>
      </c>
      <c r="H274" s="644">
        <f t="shared" si="505"/>
        <v>0</v>
      </c>
      <c r="I274" s="644">
        <f t="shared" si="505"/>
        <v>839</v>
      </c>
      <c r="J274" s="644">
        <f t="shared" si="505"/>
        <v>17.399999999999999</v>
      </c>
      <c r="K274" s="644">
        <f t="shared" si="505"/>
        <v>13.049999999999997</v>
      </c>
      <c r="L274" s="644">
        <f t="shared" si="505"/>
        <v>1</v>
      </c>
      <c r="M274" s="644">
        <f t="shared" si="505"/>
        <v>0</v>
      </c>
      <c r="N274" s="644">
        <f t="shared" si="505"/>
        <v>0</v>
      </c>
      <c r="O274" s="644">
        <f t="shared" si="505"/>
        <v>0</v>
      </c>
      <c r="P274" s="644">
        <f t="shared" si="505"/>
        <v>965.69999999999993</v>
      </c>
      <c r="Q274" s="644">
        <f t="shared" si="505"/>
        <v>80</v>
      </c>
      <c r="R274" s="644">
        <f t="shared" si="505"/>
        <v>19314000</v>
      </c>
      <c r="S274" s="644">
        <f t="shared" si="505"/>
        <v>19314000</v>
      </c>
    </row>
    <row r="275" spans="1:19" x14ac:dyDescent="0.25">
      <c r="A275" s="645">
        <v>18</v>
      </c>
      <c r="C275" s="646"/>
      <c r="D275" s="647"/>
      <c r="E275" s="648">
        <v>1031</v>
      </c>
      <c r="F275" s="648" t="s">
        <v>615</v>
      </c>
      <c r="G275" s="612">
        <f t="shared" si="471"/>
        <v>290</v>
      </c>
      <c r="H275" s="614"/>
      <c r="I275" s="614">
        <v>290</v>
      </c>
      <c r="J275" s="649">
        <v>4.3499999999999996</v>
      </c>
      <c r="K275" s="648">
        <f t="shared" si="468"/>
        <v>3.2624999999999997</v>
      </c>
      <c r="L275" s="648">
        <v>0.25</v>
      </c>
      <c r="M275" s="647"/>
      <c r="N275" s="648"/>
      <c r="O275" s="648"/>
      <c r="P275" s="648">
        <f>SUM(I275*J275*L275)</f>
        <v>315.375</v>
      </c>
      <c r="Q275" s="648">
        <v>20</v>
      </c>
      <c r="R275" s="648">
        <f t="shared" si="472"/>
        <v>6307500</v>
      </c>
      <c r="S275" s="648">
        <f t="shared" si="504"/>
        <v>6307500</v>
      </c>
    </row>
    <row r="276" spans="1:19" x14ac:dyDescent="0.25">
      <c r="A276" s="645"/>
      <c r="B276" s="641"/>
      <c r="C276" s="646"/>
      <c r="D276" s="647"/>
      <c r="E276" s="648"/>
      <c r="F276" s="648" t="s">
        <v>504</v>
      </c>
      <c r="G276" s="612">
        <f t="shared" si="471"/>
        <v>351</v>
      </c>
      <c r="H276" s="614"/>
      <c r="I276" s="614">
        <v>351</v>
      </c>
      <c r="J276" s="649">
        <v>4.3499999999999996</v>
      </c>
      <c r="K276" s="648">
        <f t="shared" si="468"/>
        <v>3.0449999999999999</v>
      </c>
      <c r="L276" s="648">
        <v>0.3</v>
      </c>
      <c r="M276" s="647"/>
      <c r="N276" s="648"/>
      <c r="O276" s="648"/>
      <c r="P276" s="648">
        <f>SUM(I276*J276*L276)</f>
        <v>458.05499999999995</v>
      </c>
      <c r="Q276" s="648">
        <v>20</v>
      </c>
      <c r="R276" s="648">
        <f t="shared" si="472"/>
        <v>9161099.9999999981</v>
      </c>
      <c r="S276" s="648">
        <f t="shared" si="504"/>
        <v>9161099.9999999981</v>
      </c>
    </row>
    <row r="277" spans="1:19" x14ac:dyDescent="0.25">
      <c r="A277" s="645"/>
      <c r="B277" s="641"/>
      <c r="C277" s="646"/>
      <c r="D277" s="647"/>
      <c r="E277" s="648"/>
      <c r="F277" s="648" t="s">
        <v>506</v>
      </c>
      <c r="G277" s="612">
        <f t="shared" si="471"/>
        <v>92</v>
      </c>
      <c r="H277" s="614"/>
      <c r="I277" s="614">
        <v>92</v>
      </c>
      <c r="J277" s="649">
        <v>4.3499999999999996</v>
      </c>
      <c r="K277" s="648">
        <f t="shared" si="468"/>
        <v>3.2624999999999997</v>
      </c>
      <c r="L277" s="648">
        <v>0.25</v>
      </c>
      <c r="M277" s="647"/>
      <c r="N277" s="648"/>
      <c r="O277" s="648"/>
      <c r="P277" s="648">
        <f>SUM(I277*J277*L277)</f>
        <v>100.05</v>
      </c>
      <c r="Q277" s="648">
        <v>20</v>
      </c>
      <c r="R277" s="648">
        <f t="shared" si="472"/>
        <v>2001000</v>
      </c>
      <c r="S277" s="648">
        <f t="shared" si="504"/>
        <v>2001000</v>
      </c>
    </row>
    <row r="278" spans="1:19" x14ac:dyDescent="0.25">
      <c r="A278" s="645"/>
      <c r="B278" s="641"/>
      <c r="C278" s="646"/>
      <c r="D278" s="647"/>
      <c r="E278" s="648"/>
      <c r="F278" s="648" t="s">
        <v>474</v>
      </c>
      <c r="G278" s="612">
        <f t="shared" si="471"/>
        <v>106</v>
      </c>
      <c r="H278" s="614"/>
      <c r="I278" s="614">
        <v>106</v>
      </c>
      <c r="J278" s="649">
        <v>4.3499999999999996</v>
      </c>
      <c r="K278" s="648">
        <f t="shared" si="468"/>
        <v>3.4799999999999995</v>
      </c>
      <c r="L278" s="648">
        <v>0.2</v>
      </c>
      <c r="M278" s="647"/>
      <c r="N278" s="648"/>
      <c r="O278" s="648"/>
      <c r="P278" s="648">
        <f>SUM(I278*J278*L278)</f>
        <v>92.22</v>
      </c>
      <c r="Q278" s="648">
        <v>20</v>
      </c>
      <c r="R278" s="648">
        <f t="shared" si="472"/>
        <v>1844400</v>
      </c>
      <c r="S278" s="648">
        <f t="shared" si="504"/>
        <v>1844400</v>
      </c>
    </row>
    <row r="279" spans="1:19" s="595" customFormat="1" x14ac:dyDescent="0.25">
      <c r="A279" s="640"/>
      <c r="B279" s="641" t="s">
        <v>490</v>
      </c>
      <c r="C279" s="642"/>
      <c r="D279" s="643"/>
      <c r="E279" s="644">
        <f>SUM(E280:E283)</f>
        <v>4407</v>
      </c>
      <c r="F279" s="644">
        <f t="shared" ref="F279:S279" si="506">SUM(F280:F283)</f>
        <v>0</v>
      </c>
      <c r="G279" s="644">
        <f t="shared" si="506"/>
        <v>2780</v>
      </c>
      <c r="H279" s="644">
        <f t="shared" si="506"/>
        <v>0</v>
      </c>
      <c r="I279" s="644">
        <f t="shared" si="506"/>
        <v>2780</v>
      </c>
      <c r="J279" s="644">
        <f t="shared" si="506"/>
        <v>17.399999999999999</v>
      </c>
      <c r="K279" s="644">
        <f t="shared" si="506"/>
        <v>13.919999999999998</v>
      </c>
      <c r="L279" s="644">
        <f t="shared" si="506"/>
        <v>0.8</v>
      </c>
      <c r="M279" s="644">
        <f t="shared" si="506"/>
        <v>0</v>
      </c>
      <c r="N279" s="644">
        <f t="shared" si="506"/>
        <v>26995</v>
      </c>
      <c r="O279" s="644">
        <f t="shared" si="506"/>
        <v>2645510</v>
      </c>
      <c r="P279" s="644">
        <f t="shared" si="506"/>
        <v>1935.75</v>
      </c>
      <c r="Q279" s="644">
        <f t="shared" si="506"/>
        <v>60</v>
      </c>
      <c r="R279" s="644">
        <f t="shared" si="506"/>
        <v>38715000</v>
      </c>
      <c r="S279" s="644">
        <f t="shared" si="506"/>
        <v>41360510</v>
      </c>
    </row>
    <row r="280" spans="1:19" x14ac:dyDescent="0.25">
      <c r="A280" s="645">
        <v>19</v>
      </c>
      <c r="C280" s="646"/>
      <c r="D280" s="647"/>
      <c r="E280" s="648">
        <v>4407</v>
      </c>
      <c r="F280" s="648" t="s">
        <v>539</v>
      </c>
      <c r="G280" s="612">
        <f t="shared" si="471"/>
        <v>980</v>
      </c>
      <c r="H280" s="614"/>
      <c r="I280" s="614">
        <v>980</v>
      </c>
      <c r="J280" s="649">
        <v>4.3499999999999996</v>
      </c>
      <c r="K280" s="648">
        <f t="shared" si="468"/>
        <v>3.9149999999999996</v>
      </c>
      <c r="L280" s="648">
        <v>0.1</v>
      </c>
      <c r="M280" s="647"/>
      <c r="N280" s="648">
        <v>26995</v>
      </c>
      <c r="O280" s="648">
        <f>SUM(N280*L280*I280)</f>
        <v>2645510</v>
      </c>
      <c r="P280" s="648"/>
      <c r="Q280" s="648"/>
      <c r="R280" s="648">
        <f t="shared" si="472"/>
        <v>0</v>
      </c>
      <c r="S280" s="648">
        <f t="shared" si="504"/>
        <v>2645510</v>
      </c>
    </row>
    <row r="281" spans="1:19" x14ac:dyDescent="0.25">
      <c r="A281" s="645"/>
      <c r="B281" s="641"/>
      <c r="C281" s="646"/>
      <c r="D281" s="647"/>
      <c r="E281" s="648"/>
      <c r="F281" s="648" t="s">
        <v>504</v>
      </c>
      <c r="G281" s="612">
        <f t="shared" si="471"/>
        <v>850</v>
      </c>
      <c r="H281" s="614"/>
      <c r="I281" s="614">
        <v>850</v>
      </c>
      <c r="J281" s="649">
        <v>4.3499999999999996</v>
      </c>
      <c r="K281" s="648">
        <f t="shared" si="468"/>
        <v>3.0449999999999999</v>
      </c>
      <c r="L281" s="648">
        <v>0.3</v>
      </c>
      <c r="M281" s="647"/>
      <c r="N281" s="648"/>
      <c r="O281" s="648"/>
      <c r="P281" s="648">
        <f>SUM(L281*J281*I281)</f>
        <v>1109.25</v>
      </c>
      <c r="Q281" s="648">
        <v>20</v>
      </c>
      <c r="R281" s="648">
        <f t="shared" si="472"/>
        <v>22185000</v>
      </c>
      <c r="S281" s="648">
        <f t="shared" si="504"/>
        <v>22185000</v>
      </c>
    </row>
    <row r="282" spans="1:19" x14ac:dyDescent="0.25">
      <c r="A282" s="645"/>
      <c r="B282" s="641"/>
      <c r="C282" s="646"/>
      <c r="D282" s="647"/>
      <c r="E282" s="648"/>
      <c r="F282" s="648" t="s">
        <v>497</v>
      </c>
      <c r="G282" s="612">
        <f t="shared" si="471"/>
        <v>550</v>
      </c>
      <c r="H282" s="614"/>
      <c r="I282" s="614">
        <v>550</v>
      </c>
      <c r="J282" s="649">
        <v>4.3499999999999996</v>
      </c>
      <c r="K282" s="648">
        <f t="shared" si="468"/>
        <v>3.4799999999999995</v>
      </c>
      <c r="L282" s="648">
        <v>0.2</v>
      </c>
      <c r="M282" s="647"/>
      <c r="N282" s="648"/>
      <c r="O282" s="648"/>
      <c r="P282" s="648">
        <f>SUM(L282*J282*I282)</f>
        <v>478.5</v>
      </c>
      <c r="Q282" s="648">
        <v>20</v>
      </c>
      <c r="R282" s="648">
        <f t="shared" si="472"/>
        <v>9570000</v>
      </c>
      <c r="S282" s="648">
        <f t="shared" si="504"/>
        <v>9570000</v>
      </c>
    </row>
    <row r="283" spans="1:19" x14ac:dyDescent="0.25">
      <c r="A283" s="645"/>
      <c r="B283" s="641"/>
      <c r="C283" s="646"/>
      <c r="D283" s="647"/>
      <c r="E283" s="648"/>
      <c r="F283" s="648" t="s">
        <v>501</v>
      </c>
      <c r="G283" s="612">
        <f t="shared" si="471"/>
        <v>400</v>
      </c>
      <c r="H283" s="614"/>
      <c r="I283" s="614">
        <v>400</v>
      </c>
      <c r="J283" s="649">
        <v>4.3499999999999996</v>
      </c>
      <c r="K283" s="648">
        <f t="shared" si="468"/>
        <v>3.4799999999999995</v>
      </c>
      <c r="L283" s="648">
        <v>0.2</v>
      </c>
      <c r="M283" s="647"/>
      <c r="N283" s="648"/>
      <c r="O283" s="648"/>
      <c r="P283" s="648">
        <f>SUM(L283*J283*I283)</f>
        <v>348</v>
      </c>
      <c r="Q283" s="648">
        <v>20</v>
      </c>
      <c r="R283" s="648">
        <f t="shared" si="472"/>
        <v>6960000</v>
      </c>
      <c r="S283" s="648">
        <f t="shared" si="504"/>
        <v>6960000</v>
      </c>
    </row>
    <row r="284" spans="1:19" x14ac:dyDescent="0.25">
      <c r="A284" s="645">
        <v>20</v>
      </c>
      <c r="B284" s="641" t="s">
        <v>629</v>
      </c>
      <c r="C284" s="646"/>
      <c r="D284" s="647"/>
      <c r="E284" s="648">
        <v>5147</v>
      </c>
      <c r="F284" s="648" t="s">
        <v>630</v>
      </c>
      <c r="G284" s="612">
        <f t="shared" si="471"/>
        <v>162.5</v>
      </c>
      <c r="H284" s="614"/>
      <c r="I284" s="614">
        <v>162.5</v>
      </c>
      <c r="J284" s="649">
        <v>4.3499999999999996</v>
      </c>
      <c r="K284" s="648">
        <f t="shared" si="468"/>
        <v>3.2624999999999997</v>
      </c>
      <c r="L284" s="648">
        <v>0.25</v>
      </c>
      <c r="M284" s="647"/>
      <c r="N284" s="648"/>
      <c r="O284" s="648"/>
      <c r="P284" s="648">
        <f>SUM(I284*J284*L284)</f>
        <v>176.71874999999997</v>
      </c>
      <c r="Q284" s="648">
        <v>20</v>
      </c>
      <c r="R284" s="648">
        <f t="shared" si="472"/>
        <v>3534374.9999999995</v>
      </c>
      <c r="S284" s="648">
        <f t="shared" si="504"/>
        <v>3534374.9999999995</v>
      </c>
    </row>
    <row r="285" spans="1:19" s="595" customFormat="1" x14ac:dyDescent="0.25">
      <c r="A285" s="640"/>
      <c r="B285" s="641" t="s">
        <v>631</v>
      </c>
      <c r="C285" s="642"/>
      <c r="D285" s="643"/>
      <c r="E285" s="644">
        <f>SUM(E286:E289)</f>
        <v>7033</v>
      </c>
      <c r="F285" s="644">
        <f t="shared" ref="F285:S285" si="507">SUM(F286:F289)</f>
        <v>0</v>
      </c>
      <c r="G285" s="644">
        <f t="shared" si="507"/>
        <v>600</v>
      </c>
      <c r="H285" s="644">
        <f t="shared" si="507"/>
        <v>460</v>
      </c>
      <c r="I285" s="644">
        <f t="shared" si="507"/>
        <v>140</v>
      </c>
      <c r="J285" s="644">
        <f t="shared" si="507"/>
        <v>17.399999999999999</v>
      </c>
      <c r="K285" s="644">
        <f t="shared" si="507"/>
        <v>3.2624999999999997</v>
      </c>
      <c r="L285" s="644">
        <f t="shared" si="507"/>
        <v>3.25</v>
      </c>
      <c r="M285" s="644">
        <f t="shared" si="507"/>
        <v>0</v>
      </c>
      <c r="N285" s="644">
        <f t="shared" si="507"/>
        <v>22462</v>
      </c>
      <c r="O285" s="644">
        <f t="shared" si="507"/>
        <v>2246200</v>
      </c>
      <c r="P285" s="644">
        <f t="shared" si="507"/>
        <v>1718.25</v>
      </c>
      <c r="Q285" s="644">
        <f t="shared" si="507"/>
        <v>60</v>
      </c>
      <c r="R285" s="644">
        <f t="shared" si="507"/>
        <v>34365000</v>
      </c>
      <c r="S285" s="644">
        <f t="shared" si="507"/>
        <v>36611200</v>
      </c>
    </row>
    <row r="286" spans="1:19" x14ac:dyDescent="0.25">
      <c r="A286" s="645">
        <v>21</v>
      </c>
      <c r="C286" s="646"/>
      <c r="D286" s="647"/>
      <c r="E286" s="648">
        <v>7033</v>
      </c>
      <c r="F286" s="648" t="s">
        <v>625</v>
      </c>
      <c r="G286" s="612">
        <f t="shared" si="471"/>
        <v>100</v>
      </c>
      <c r="H286" s="614">
        <v>100</v>
      </c>
      <c r="I286" s="614"/>
      <c r="J286" s="649">
        <v>4.3499999999999996</v>
      </c>
      <c r="K286" s="648">
        <f t="shared" si="468"/>
        <v>0</v>
      </c>
      <c r="L286" s="648">
        <v>1</v>
      </c>
      <c r="M286" s="647"/>
      <c r="N286" s="648">
        <v>22462</v>
      </c>
      <c r="O286" s="648">
        <f>SUM(N286*H286)</f>
        <v>2246200</v>
      </c>
      <c r="P286" s="648"/>
      <c r="Q286" s="648"/>
      <c r="R286" s="648"/>
      <c r="S286" s="648">
        <f t="shared" si="504"/>
        <v>2246200</v>
      </c>
    </row>
    <row r="287" spans="1:19" x14ac:dyDescent="0.25">
      <c r="A287" s="645"/>
      <c r="B287" s="641"/>
      <c r="C287" s="646"/>
      <c r="D287" s="647"/>
      <c r="E287" s="648"/>
      <c r="F287" s="648" t="s">
        <v>474</v>
      </c>
      <c r="G287" s="612">
        <f t="shared" si="471"/>
        <v>60</v>
      </c>
      <c r="H287" s="614">
        <v>60</v>
      </c>
      <c r="I287" s="614"/>
      <c r="J287" s="649">
        <v>4.3499999999999996</v>
      </c>
      <c r="K287" s="648">
        <f t="shared" si="468"/>
        <v>0</v>
      </c>
      <c r="L287" s="648">
        <v>1</v>
      </c>
      <c r="M287" s="647"/>
      <c r="N287" s="648"/>
      <c r="O287" s="648"/>
      <c r="P287" s="648">
        <f>SUM(J287*H287)</f>
        <v>261</v>
      </c>
      <c r="Q287" s="648">
        <v>20</v>
      </c>
      <c r="R287" s="648">
        <f t="shared" si="472"/>
        <v>5220000</v>
      </c>
      <c r="S287" s="648">
        <f t="shared" si="504"/>
        <v>5220000</v>
      </c>
    </row>
    <row r="288" spans="1:19" x14ac:dyDescent="0.25">
      <c r="A288" s="645"/>
      <c r="B288" s="641"/>
      <c r="C288" s="646"/>
      <c r="D288" s="647"/>
      <c r="E288" s="648"/>
      <c r="F288" s="648" t="s">
        <v>474</v>
      </c>
      <c r="G288" s="612">
        <f t="shared" si="471"/>
        <v>140</v>
      </c>
      <c r="H288" s="614"/>
      <c r="I288" s="614">
        <v>140</v>
      </c>
      <c r="J288" s="649">
        <v>4.3499999999999996</v>
      </c>
      <c r="K288" s="648">
        <f t="shared" si="468"/>
        <v>3.2624999999999997</v>
      </c>
      <c r="L288" s="648">
        <v>0.25</v>
      </c>
      <c r="M288" s="647"/>
      <c r="N288" s="648"/>
      <c r="O288" s="648"/>
      <c r="P288" s="648">
        <f>SUM(L288*J288*I288)</f>
        <v>152.25</v>
      </c>
      <c r="Q288" s="648">
        <v>20</v>
      </c>
      <c r="R288" s="648">
        <f t="shared" si="472"/>
        <v>3045000</v>
      </c>
      <c r="S288" s="648">
        <f t="shared" si="504"/>
        <v>3045000</v>
      </c>
    </row>
    <row r="289" spans="1:19" x14ac:dyDescent="0.25">
      <c r="A289" s="645"/>
      <c r="B289" s="646"/>
      <c r="C289" s="646"/>
      <c r="D289" s="647"/>
      <c r="E289" s="648"/>
      <c r="F289" s="648" t="s">
        <v>497</v>
      </c>
      <c r="G289" s="612">
        <f t="shared" si="471"/>
        <v>300</v>
      </c>
      <c r="H289" s="614">
        <v>300</v>
      </c>
      <c r="I289" s="614"/>
      <c r="J289" s="649">
        <v>4.3499999999999996</v>
      </c>
      <c r="K289" s="648">
        <f t="shared" si="468"/>
        <v>0</v>
      </c>
      <c r="L289" s="648">
        <v>1</v>
      </c>
      <c r="M289" s="647"/>
      <c r="N289" s="648"/>
      <c r="O289" s="648"/>
      <c r="P289" s="648">
        <f>SUM(J289*H289)</f>
        <v>1305</v>
      </c>
      <c r="Q289" s="648">
        <v>20</v>
      </c>
      <c r="R289" s="648">
        <f t="shared" si="472"/>
        <v>26100000</v>
      </c>
      <c r="S289" s="648">
        <f t="shared" si="504"/>
        <v>26100000</v>
      </c>
    </row>
    <row r="290" spans="1:19" x14ac:dyDescent="0.25">
      <c r="A290" s="645">
        <v>22</v>
      </c>
      <c r="B290" s="641" t="s">
        <v>632</v>
      </c>
      <c r="C290" s="646"/>
      <c r="D290" s="647"/>
      <c r="E290" s="648">
        <v>4304</v>
      </c>
      <c r="F290" s="648" t="s">
        <v>586</v>
      </c>
      <c r="G290" s="612">
        <f t="shared" si="471"/>
        <v>437.5</v>
      </c>
      <c r="H290" s="614">
        <v>437.5</v>
      </c>
      <c r="I290" s="614"/>
      <c r="J290" s="649">
        <v>4.3499999999999996</v>
      </c>
      <c r="K290" s="648">
        <f t="shared" si="468"/>
        <v>0</v>
      </c>
      <c r="L290" s="648">
        <v>1</v>
      </c>
      <c r="M290" s="647"/>
      <c r="N290" s="648"/>
      <c r="O290" s="648"/>
      <c r="P290" s="648">
        <f>SUM(L290*J290*H290)</f>
        <v>1903.1249999999998</v>
      </c>
      <c r="Q290" s="648">
        <v>20</v>
      </c>
      <c r="R290" s="648">
        <f t="shared" si="472"/>
        <v>38062499.999999993</v>
      </c>
      <c r="S290" s="648">
        <f t="shared" si="504"/>
        <v>38062499.999999993</v>
      </c>
    </row>
    <row r="291" spans="1:19" x14ac:dyDescent="0.25">
      <c r="A291" s="645"/>
      <c r="B291" s="646" t="s">
        <v>633</v>
      </c>
      <c r="C291" s="646"/>
      <c r="D291" s="647"/>
      <c r="E291" s="648"/>
      <c r="F291" s="648"/>
      <c r="G291" s="612"/>
      <c r="H291" s="614"/>
      <c r="I291" s="614"/>
      <c r="J291" s="649"/>
      <c r="K291" s="648">
        <f t="shared" si="468"/>
        <v>0</v>
      </c>
      <c r="L291" s="648"/>
      <c r="M291" s="647"/>
      <c r="N291" s="648"/>
      <c r="O291" s="648"/>
      <c r="P291" s="648"/>
      <c r="Q291" s="648"/>
      <c r="R291" s="648">
        <f t="shared" si="472"/>
        <v>0</v>
      </c>
      <c r="S291" s="648">
        <f t="shared" si="504"/>
        <v>0</v>
      </c>
    </row>
    <row r="292" spans="1:19" s="595" customFormat="1" x14ac:dyDescent="0.25">
      <c r="A292" s="640"/>
      <c r="B292" s="641" t="s">
        <v>634</v>
      </c>
      <c r="C292" s="642"/>
      <c r="D292" s="643"/>
      <c r="E292" s="644">
        <f>SUM(E293:E296)</f>
        <v>3500</v>
      </c>
      <c r="F292" s="644"/>
      <c r="G292" s="519"/>
      <c r="H292" s="617"/>
      <c r="I292" s="617"/>
      <c r="J292" s="650"/>
      <c r="K292" s="644"/>
      <c r="L292" s="644"/>
      <c r="M292" s="643"/>
      <c r="N292" s="644"/>
      <c r="O292" s="644"/>
      <c r="P292" s="644"/>
      <c r="Q292" s="644"/>
      <c r="R292" s="644"/>
      <c r="S292" s="644"/>
    </row>
    <row r="293" spans="1:19" x14ac:dyDescent="0.25">
      <c r="A293" s="645">
        <v>23</v>
      </c>
      <c r="C293" s="646"/>
      <c r="D293" s="647"/>
      <c r="E293" s="648">
        <v>3500</v>
      </c>
      <c r="F293" s="648" t="s">
        <v>539</v>
      </c>
      <c r="G293" s="612">
        <f t="shared" si="471"/>
        <v>22</v>
      </c>
      <c r="H293" s="614"/>
      <c r="I293" s="614">
        <v>22</v>
      </c>
      <c r="J293" s="649">
        <v>4.3499999999999996</v>
      </c>
      <c r="K293" s="648">
        <f t="shared" si="468"/>
        <v>3.6974999999999998</v>
      </c>
      <c r="L293" s="648">
        <v>0.15</v>
      </c>
      <c r="M293" s="647"/>
      <c r="N293" s="648">
        <v>26995</v>
      </c>
      <c r="O293" s="648">
        <f>SUM(N293*L293*I293)</f>
        <v>89083.5</v>
      </c>
      <c r="P293" s="648"/>
      <c r="Q293" s="648"/>
      <c r="R293" s="648">
        <f t="shared" si="472"/>
        <v>0</v>
      </c>
      <c r="S293" s="648">
        <f t="shared" si="504"/>
        <v>89083.5</v>
      </c>
    </row>
    <row r="294" spans="1:19" x14ac:dyDescent="0.25">
      <c r="A294" s="645"/>
      <c r="B294" s="646"/>
      <c r="C294" s="646"/>
      <c r="D294" s="647"/>
      <c r="E294" s="648"/>
      <c r="F294" s="648" t="s">
        <v>586</v>
      </c>
      <c r="G294" s="612">
        <f t="shared" si="471"/>
        <v>4.5</v>
      </c>
      <c r="H294" s="614">
        <v>4.5</v>
      </c>
      <c r="I294" s="614"/>
      <c r="J294" s="649">
        <v>4.3499999999999996</v>
      </c>
      <c r="K294" s="648">
        <f t="shared" si="468"/>
        <v>0</v>
      </c>
      <c r="L294" s="648">
        <v>1</v>
      </c>
      <c r="M294" s="647"/>
      <c r="N294" s="648"/>
      <c r="O294" s="648"/>
      <c r="P294" s="648">
        <f>SUM(L294*J294*H294)</f>
        <v>19.574999999999999</v>
      </c>
      <c r="Q294" s="648">
        <v>20</v>
      </c>
      <c r="R294" s="648">
        <f t="shared" si="472"/>
        <v>391500</v>
      </c>
      <c r="S294" s="648">
        <f t="shared" si="504"/>
        <v>391500</v>
      </c>
    </row>
    <row r="295" spans="1:19" x14ac:dyDescent="0.25">
      <c r="A295" s="645"/>
      <c r="B295" s="646"/>
      <c r="C295" s="646"/>
      <c r="D295" s="647"/>
      <c r="E295" s="648"/>
      <c r="F295" s="648" t="s">
        <v>586</v>
      </c>
      <c r="G295" s="612">
        <f t="shared" si="471"/>
        <v>2399.5</v>
      </c>
      <c r="H295" s="614"/>
      <c r="I295" s="614">
        <v>2399.5</v>
      </c>
      <c r="J295" s="649">
        <v>4.3499999999999996</v>
      </c>
      <c r="K295" s="648">
        <f t="shared" si="468"/>
        <v>3.2624999999999997</v>
      </c>
      <c r="L295" s="648">
        <v>0.25</v>
      </c>
      <c r="M295" s="647"/>
      <c r="N295" s="648"/>
      <c r="O295" s="648"/>
      <c r="P295" s="648">
        <f>SUM(L295*J295*I295)</f>
        <v>2609.4562499999997</v>
      </c>
      <c r="Q295" s="648">
        <v>20</v>
      </c>
      <c r="R295" s="648">
        <f t="shared" si="472"/>
        <v>52189124.999999993</v>
      </c>
      <c r="S295" s="648">
        <f t="shared" si="504"/>
        <v>52189124.999999993</v>
      </c>
    </row>
    <row r="296" spans="1:19" x14ac:dyDescent="0.25">
      <c r="A296" s="645"/>
      <c r="B296" s="646"/>
      <c r="C296" s="646"/>
      <c r="D296" s="647"/>
      <c r="E296" s="648"/>
      <c r="F296" s="648" t="s">
        <v>474</v>
      </c>
      <c r="G296" s="612">
        <f t="shared" si="471"/>
        <v>162</v>
      </c>
      <c r="H296" s="614"/>
      <c r="I296" s="614">
        <v>162</v>
      </c>
      <c r="J296" s="649">
        <v>4.3499999999999996</v>
      </c>
      <c r="K296" s="648">
        <f t="shared" si="468"/>
        <v>3.4799999999999995</v>
      </c>
      <c r="L296" s="648">
        <v>0.2</v>
      </c>
      <c r="M296" s="647"/>
      <c r="N296" s="648"/>
      <c r="O296" s="648"/>
      <c r="P296" s="648">
        <f>SUM(L296*J296*I296)</f>
        <v>140.94</v>
      </c>
      <c r="Q296" s="648">
        <v>20</v>
      </c>
      <c r="R296" s="648">
        <f t="shared" si="472"/>
        <v>2818800</v>
      </c>
      <c r="S296" s="648">
        <f t="shared" si="504"/>
        <v>2818800</v>
      </c>
    </row>
    <row r="297" spans="1:19" s="595" customFormat="1" x14ac:dyDescent="0.25">
      <c r="A297" s="640"/>
      <c r="B297" s="641" t="s">
        <v>635</v>
      </c>
      <c r="C297" s="642"/>
      <c r="D297" s="643"/>
      <c r="E297" s="644">
        <f>SUM(E298:E300)</f>
        <v>1351</v>
      </c>
      <c r="F297" s="644">
        <f t="shared" ref="F297:S297" si="508">SUM(F298:F300)</f>
        <v>0</v>
      </c>
      <c r="G297" s="644">
        <f t="shared" si="508"/>
        <v>624</v>
      </c>
      <c r="H297" s="644">
        <f t="shared" si="508"/>
        <v>208</v>
      </c>
      <c r="I297" s="644">
        <f t="shared" si="508"/>
        <v>416</v>
      </c>
      <c r="J297" s="644">
        <f t="shared" si="508"/>
        <v>13.049999999999999</v>
      </c>
      <c r="K297" s="644">
        <f t="shared" si="508"/>
        <v>5.22</v>
      </c>
      <c r="L297" s="644">
        <f t="shared" si="508"/>
        <v>1.8</v>
      </c>
      <c r="M297" s="644">
        <f t="shared" si="508"/>
        <v>0</v>
      </c>
      <c r="N297" s="644">
        <f t="shared" si="508"/>
        <v>0</v>
      </c>
      <c r="O297" s="644">
        <f t="shared" si="508"/>
        <v>0</v>
      </c>
      <c r="P297" s="644">
        <f t="shared" si="508"/>
        <v>1460.73</v>
      </c>
      <c r="Q297" s="644">
        <f t="shared" si="508"/>
        <v>60</v>
      </c>
      <c r="R297" s="644">
        <f t="shared" si="508"/>
        <v>29214600</v>
      </c>
      <c r="S297" s="644">
        <f t="shared" si="508"/>
        <v>29214600</v>
      </c>
    </row>
    <row r="298" spans="1:19" x14ac:dyDescent="0.25">
      <c r="A298" s="645">
        <v>24</v>
      </c>
      <c r="C298" s="646"/>
      <c r="D298" s="647"/>
      <c r="E298" s="648">
        <v>1351</v>
      </c>
      <c r="F298" s="648" t="s">
        <v>504</v>
      </c>
      <c r="G298" s="612">
        <f t="shared" si="471"/>
        <v>208</v>
      </c>
      <c r="H298" s="614">
        <v>208</v>
      </c>
      <c r="I298" s="614"/>
      <c r="J298" s="649">
        <v>4.3499999999999996</v>
      </c>
      <c r="K298" s="648">
        <f t="shared" si="468"/>
        <v>0</v>
      </c>
      <c r="L298" s="648">
        <v>1</v>
      </c>
      <c r="M298" s="647"/>
      <c r="N298" s="648"/>
      <c r="O298" s="648"/>
      <c r="P298" s="648">
        <f>SUM(J298*H298)</f>
        <v>904.8</v>
      </c>
      <c r="Q298" s="648">
        <v>20</v>
      </c>
      <c r="R298" s="648">
        <f t="shared" si="472"/>
        <v>18096000</v>
      </c>
      <c r="S298" s="648">
        <f t="shared" si="504"/>
        <v>18096000</v>
      </c>
    </row>
    <row r="299" spans="1:19" x14ac:dyDescent="0.25">
      <c r="A299" s="645"/>
      <c r="B299" s="646"/>
      <c r="C299" s="646"/>
      <c r="D299" s="647"/>
      <c r="E299" s="648"/>
      <c r="F299" s="648" t="s">
        <v>636</v>
      </c>
      <c r="G299" s="612">
        <f t="shared" si="471"/>
        <v>401</v>
      </c>
      <c r="H299" s="614"/>
      <c r="I299" s="614">
        <v>401</v>
      </c>
      <c r="J299" s="649">
        <v>4.3499999999999996</v>
      </c>
      <c r="K299" s="648">
        <f t="shared" si="468"/>
        <v>3.0449999999999999</v>
      </c>
      <c r="L299" s="648">
        <v>0.3</v>
      </c>
      <c r="M299" s="647"/>
      <c r="N299" s="648"/>
      <c r="O299" s="648"/>
      <c r="P299" s="648">
        <f t="shared" ref="P299:P314" si="509">SUM(L299*J299*I299)</f>
        <v>523.30499999999995</v>
      </c>
      <c r="Q299" s="648">
        <v>20</v>
      </c>
      <c r="R299" s="648">
        <f t="shared" si="472"/>
        <v>10466099.999999998</v>
      </c>
      <c r="S299" s="648">
        <f t="shared" si="504"/>
        <v>10466099.999999998</v>
      </c>
    </row>
    <row r="300" spans="1:19" x14ac:dyDescent="0.25">
      <c r="A300" s="645"/>
      <c r="B300" s="646"/>
      <c r="C300" s="646"/>
      <c r="D300" s="647"/>
      <c r="E300" s="648"/>
      <c r="F300" s="648" t="s">
        <v>501</v>
      </c>
      <c r="G300" s="612">
        <f t="shared" si="471"/>
        <v>15</v>
      </c>
      <c r="H300" s="614"/>
      <c r="I300" s="614">
        <v>15</v>
      </c>
      <c r="J300" s="649">
        <v>4.3499999999999996</v>
      </c>
      <c r="K300" s="648">
        <f t="shared" si="468"/>
        <v>2.1749999999999998</v>
      </c>
      <c r="L300" s="648">
        <v>0.5</v>
      </c>
      <c r="M300" s="647"/>
      <c r="N300" s="648"/>
      <c r="O300" s="648"/>
      <c r="P300" s="648">
        <f t="shared" si="509"/>
        <v>32.625</v>
      </c>
      <c r="Q300" s="648">
        <v>20</v>
      </c>
      <c r="R300" s="648">
        <f t="shared" si="472"/>
        <v>652500</v>
      </c>
      <c r="S300" s="648">
        <f t="shared" si="504"/>
        <v>652500</v>
      </c>
    </row>
    <row r="301" spans="1:19" s="595" customFormat="1" x14ac:dyDescent="0.25">
      <c r="A301" s="640"/>
      <c r="B301" s="641" t="s">
        <v>637</v>
      </c>
      <c r="C301" s="642"/>
      <c r="D301" s="643"/>
      <c r="E301" s="644">
        <f>SUM(E302:E304)</f>
        <v>1942</v>
      </c>
      <c r="F301" s="644">
        <f t="shared" ref="F301:S301" si="510">SUM(F302:F304)</f>
        <v>0</v>
      </c>
      <c r="G301" s="644">
        <f t="shared" si="510"/>
        <v>2159</v>
      </c>
      <c r="H301" s="644">
        <f t="shared" si="510"/>
        <v>0</v>
      </c>
      <c r="I301" s="644">
        <f t="shared" si="510"/>
        <v>2159</v>
      </c>
      <c r="J301" s="644">
        <f t="shared" si="510"/>
        <v>13.049999999999999</v>
      </c>
      <c r="K301" s="644">
        <f t="shared" si="510"/>
        <v>10.004999999999999</v>
      </c>
      <c r="L301" s="644">
        <f t="shared" si="510"/>
        <v>0.7</v>
      </c>
      <c r="M301" s="644">
        <f t="shared" si="510"/>
        <v>0</v>
      </c>
      <c r="N301" s="644">
        <f t="shared" si="510"/>
        <v>0</v>
      </c>
      <c r="O301" s="644">
        <f t="shared" si="510"/>
        <v>0</v>
      </c>
      <c r="P301" s="644">
        <f t="shared" si="510"/>
        <v>2302.2374999999997</v>
      </c>
      <c r="Q301" s="644">
        <f t="shared" si="510"/>
        <v>60</v>
      </c>
      <c r="R301" s="644">
        <f t="shared" si="510"/>
        <v>46044750</v>
      </c>
      <c r="S301" s="644">
        <f t="shared" si="510"/>
        <v>46044750</v>
      </c>
    </row>
    <row r="302" spans="1:19" x14ac:dyDescent="0.25">
      <c r="A302" s="645">
        <v>25</v>
      </c>
      <c r="C302" s="646"/>
      <c r="D302" s="647"/>
      <c r="E302" s="648">
        <v>1942</v>
      </c>
      <c r="F302" s="651" t="s">
        <v>638</v>
      </c>
      <c r="G302" s="612">
        <f t="shared" si="471"/>
        <v>1244</v>
      </c>
      <c r="H302" s="614"/>
      <c r="I302" s="614">
        <v>1244</v>
      </c>
      <c r="J302" s="649">
        <v>4.3499999999999996</v>
      </c>
      <c r="K302" s="648">
        <f t="shared" si="468"/>
        <v>3.2624999999999997</v>
      </c>
      <c r="L302" s="648">
        <v>0.25</v>
      </c>
      <c r="M302" s="647"/>
      <c r="N302" s="648"/>
      <c r="O302" s="648"/>
      <c r="P302" s="648">
        <f t="shared" si="509"/>
        <v>1352.85</v>
      </c>
      <c r="Q302" s="648">
        <v>20</v>
      </c>
      <c r="R302" s="648">
        <f t="shared" si="472"/>
        <v>27057000</v>
      </c>
      <c r="S302" s="648">
        <f t="shared" si="504"/>
        <v>27057000</v>
      </c>
    </row>
    <row r="303" spans="1:19" x14ac:dyDescent="0.25">
      <c r="A303" s="645"/>
      <c r="B303" s="646"/>
      <c r="C303" s="646"/>
      <c r="D303" s="647"/>
      <c r="E303" s="648"/>
      <c r="F303" s="648" t="s">
        <v>504</v>
      </c>
      <c r="G303" s="612">
        <f t="shared" si="471"/>
        <v>705</v>
      </c>
      <c r="H303" s="614"/>
      <c r="I303" s="614">
        <v>705</v>
      </c>
      <c r="J303" s="649">
        <v>4.3499999999999996</v>
      </c>
      <c r="K303" s="648">
        <f t="shared" si="468"/>
        <v>3.2624999999999997</v>
      </c>
      <c r="L303" s="648">
        <v>0.25</v>
      </c>
      <c r="M303" s="647"/>
      <c r="N303" s="648"/>
      <c r="O303" s="648"/>
      <c r="P303" s="648">
        <f t="shared" si="509"/>
        <v>766.68749999999989</v>
      </c>
      <c r="Q303" s="648">
        <v>20</v>
      </c>
      <c r="R303" s="648">
        <f t="shared" si="472"/>
        <v>15333749.999999998</v>
      </c>
      <c r="S303" s="648">
        <f t="shared" si="504"/>
        <v>15333749.999999998</v>
      </c>
    </row>
    <row r="304" spans="1:19" x14ac:dyDescent="0.25">
      <c r="A304" s="645"/>
      <c r="B304" s="646"/>
      <c r="C304" s="646"/>
      <c r="D304" s="647"/>
      <c r="E304" s="648"/>
      <c r="F304" s="648" t="s">
        <v>474</v>
      </c>
      <c r="G304" s="612">
        <f t="shared" si="471"/>
        <v>210</v>
      </c>
      <c r="H304" s="614"/>
      <c r="I304" s="614">
        <v>210</v>
      </c>
      <c r="J304" s="649">
        <v>4.3499999999999996</v>
      </c>
      <c r="K304" s="648">
        <f t="shared" si="468"/>
        <v>3.4799999999999995</v>
      </c>
      <c r="L304" s="648">
        <v>0.2</v>
      </c>
      <c r="M304" s="647"/>
      <c r="N304" s="648"/>
      <c r="O304" s="648"/>
      <c r="P304" s="648">
        <f t="shared" si="509"/>
        <v>182.7</v>
      </c>
      <c r="Q304" s="648">
        <v>20</v>
      </c>
      <c r="R304" s="648">
        <f t="shared" si="472"/>
        <v>3654000</v>
      </c>
      <c r="S304" s="648">
        <f t="shared" si="504"/>
        <v>3654000</v>
      </c>
    </row>
    <row r="305" spans="1:19" s="595" customFormat="1" x14ac:dyDescent="0.25">
      <c r="A305" s="640"/>
      <c r="B305" s="641" t="s">
        <v>639</v>
      </c>
      <c r="C305" s="642"/>
      <c r="D305" s="643"/>
      <c r="E305" s="644">
        <f>SUM(E306:E309)</f>
        <v>2121</v>
      </c>
      <c r="F305" s="644">
        <f t="shared" ref="F305:S305" si="511">SUM(F306:F309)</f>
        <v>0</v>
      </c>
      <c r="G305" s="644">
        <f t="shared" si="511"/>
        <v>1723</v>
      </c>
      <c r="H305" s="644">
        <f t="shared" si="511"/>
        <v>609</v>
      </c>
      <c r="I305" s="644">
        <f t="shared" si="511"/>
        <v>1114</v>
      </c>
      <c r="J305" s="644">
        <f t="shared" si="511"/>
        <v>17.399999999999999</v>
      </c>
      <c r="K305" s="644">
        <f t="shared" si="511"/>
        <v>10.004999999999999</v>
      </c>
      <c r="L305" s="644">
        <f t="shared" si="511"/>
        <v>1.7</v>
      </c>
      <c r="M305" s="644">
        <f t="shared" si="511"/>
        <v>0</v>
      </c>
      <c r="N305" s="644">
        <f t="shared" si="511"/>
        <v>0</v>
      </c>
      <c r="O305" s="644">
        <f t="shared" si="511"/>
        <v>0</v>
      </c>
      <c r="P305" s="644">
        <f t="shared" si="511"/>
        <v>4043.7599999999998</v>
      </c>
      <c r="Q305" s="644">
        <f t="shared" si="511"/>
        <v>80</v>
      </c>
      <c r="R305" s="644">
        <f t="shared" si="511"/>
        <v>80875200</v>
      </c>
      <c r="S305" s="644">
        <f t="shared" si="511"/>
        <v>80875200</v>
      </c>
    </row>
    <row r="306" spans="1:19" x14ac:dyDescent="0.25">
      <c r="A306" s="645">
        <v>26</v>
      </c>
      <c r="C306" s="646"/>
      <c r="D306" s="647"/>
      <c r="E306" s="648">
        <v>2121</v>
      </c>
      <c r="F306" s="651" t="s">
        <v>638</v>
      </c>
      <c r="G306" s="612">
        <f t="shared" si="471"/>
        <v>25</v>
      </c>
      <c r="H306" s="614"/>
      <c r="I306" s="614">
        <v>25</v>
      </c>
      <c r="J306" s="649">
        <v>4.3499999999999996</v>
      </c>
      <c r="K306" s="648">
        <f t="shared" si="468"/>
        <v>3.4799999999999995</v>
      </c>
      <c r="L306" s="648">
        <v>0.2</v>
      </c>
      <c r="M306" s="647"/>
      <c r="N306" s="648"/>
      <c r="O306" s="648"/>
      <c r="P306" s="648">
        <f t="shared" si="509"/>
        <v>21.75</v>
      </c>
      <c r="Q306" s="648">
        <v>20</v>
      </c>
      <c r="R306" s="648">
        <f t="shared" si="472"/>
        <v>435000</v>
      </c>
      <c r="S306" s="648">
        <f t="shared" si="504"/>
        <v>435000</v>
      </c>
    </row>
    <row r="307" spans="1:19" x14ac:dyDescent="0.25">
      <c r="A307" s="645"/>
      <c r="B307" s="641"/>
      <c r="C307" s="646"/>
      <c r="D307" s="647"/>
      <c r="E307" s="648"/>
      <c r="F307" s="648" t="s">
        <v>504</v>
      </c>
      <c r="G307" s="612">
        <f t="shared" si="471"/>
        <v>609</v>
      </c>
      <c r="H307" s="614">
        <v>609</v>
      </c>
      <c r="I307" s="614"/>
      <c r="J307" s="649">
        <v>4.3499999999999996</v>
      </c>
      <c r="K307" s="648">
        <f t="shared" si="468"/>
        <v>0</v>
      </c>
      <c r="L307" s="648">
        <v>1</v>
      </c>
      <c r="M307" s="647"/>
      <c r="N307" s="648"/>
      <c r="O307" s="648"/>
      <c r="P307" s="648">
        <f>SUM(L307*J307*H307)</f>
        <v>2649.1499999999996</v>
      </c>
      <c r="Q307" s="648">
        <v>20</v>
      </c>
      <c r="R307" s="648">
        <f t="shared" si="472"/>
        <v>52982999.999999993</v>
      </c>
      <c r="S307" s="648">
        <f t="shared" si="504"/>
        <v>52982999.999999993</v>
      </c>
    </row>
    <row r="308" spans="1:19" x14ac:dyDescent="0.25">
      <c r="A308" s="645"/>
      <c r="B308" s="641"/>
      <c r="C308" s="646"/>
      <c r="D308" s="647"/>
      <c r="E308" s="648"/>
      <c r="F308" s="648" t="s">
        <v>504</v>
      </c>
      <c r="G308" s="612">
        <f t="shared" si="471"/>
        <v>978</v>
      </c>
      <c r="H308" s="614"/>
      <c r="I308" s="614">
        <v>978</v>
      </c>
      <c r="J308" s="649">
        <v>4.3499999999999996</v>
      </c>
      <c r="K308" s="648">
        <f t="shared" si="468"/>
        <v>3.0449999999999999</v>
      </c>
      <c r="L308" s="648">
        <v>0.3</v>
      </c>
      <c r="M308" s="647"/>
      <c r="N308" s="648"/>
      <c r="O308" s="648"/>
      <c r="P308" s="648">
        <f>SUM(L308*J308*I308)</f>
        <v>1276.29</v>
      </c>
      <c r="Q308" s="648">
        <v>20</v>
      </c>
      <c r="R308" s="648">
        <f t="shared" si="472"/>
        <v>25525800</v>
      </c>
      <c r="S308" s="648">
        <f t="shared" si="504"/>
        <v>25525800</v>
      </c>
    </row>
    <row r="309" spans="1:19" x14ac:dyDescent="0.25">
      <c r="A309" s="645"/>
      <c r="B309" s="641"/>
      <c r="C309" s="646"/>
      <c r="D309" s="647"/>
      <c r="E309" s="648"/>
      <c r="F309" s="648" t="s">
        <v>474</v>
      </c>
      <c r="G309" s="612">
        <f t="shared" si="471"/>
        <v>111</v>
      </c>
      <c r="H309" s="614"/>
      <c r="I309" s="614">
        <v>111</v>
      </c>
      <c r="J309" s="649">
        <v>4.3499999999999996</v>
      </c>
      <c r="K309" s="648">
        <f t="shared" si="468"/>
        <v>3.4799999999999995</v>
      </c>
      <c r="L309" s="648">
        <v>0.2</v>
      </c>
      <c r="M309" s="647"/>
      <c r="N309" s="648"/>
      <c r="O309" s="648"/>
      <c r="P309" s="648">
        <f>SUM(L309*J309*I309)</f>
        <v>96.57</v>
      </c>
      <c r="Q309" s="648">
        <v>20</v>
      </c>
      <c r="R309" s="648">
        <f t="shared" si="472"/>
        <v>1931400</v>
      </c>
      <c r="S309" s="648">
        <f t="shared" si="504"/>
        <v>1931400</v>
      </c>
    </row>
    <row r="310" spans="1:19" x14ac:dyDescent="0.25">
      <c r="A310" s="645">
        <v>27</v>
      </c>
      <c r="B310" s="641" t="s">
        <v>640</v>
      </c>
      <c r="C310" s="646"/>
      <c r="D310" s="647"/>
      <c r="E310" s="648">
        <v>13</v>
      </c>
      <c r="F310" s="648" t="s">
        <v>588</v>
      </c>
      <c r="G310" s="612">
        <f t="shared" si="471"/>
        <v>13</v>
      </c>
      <c r="H310" s="614">
        <v>13</v>
      </c>
      <c r="I310" s="614"/>
      <c r="J310" s="649">
        <v>4.3499999999999996</v>
      </c>
      <c r="K310" s="648">
        <f t="shared" si="468"/>
        <v>0</v>
      </c>
      <c r="L310" s="648">
        <v>1</v>
      </c>
      <c r="M310" s="647"/>
      <c r="N310" s="648">
        <v>26995</v>
      </c>
      <c r="O310" s="648">
        <f>SUM(N310*H310)</f>
        <v>350935</v>
      </c>
      <c r="P310" s="648">
        <f t="shared" si="509"/>
        <v>0</v>
      </c>
      <c r="Q310" s="648"/>
      <c r="R310" s="648">
        <f t="shared" si="472"/>
        <v>0</v>
      </c>
      <c r="S310" s="648">
        <f t="shared" si="504"/>
        <v>350935</v>
      </c>
    </row>
    <row r="311" spans="1:19" x14ac:dyDescent="0.25">
      <c r="A311" s="645"/>
      <c r="B311" s="646" t="s">
        <v>641</v>
      </c>
      <c r="C311" s="646"/>
      <c r="D311" s="647"/>
      <c r="E311" s="648"/>
      <c r="F311" s="648"/>
      <c r="G311" s="612">
        <f t="shared" si="471"/>
        <v>0</v>
      </c>
      <c r="H311" s="614"/>
      <c r="I311" s="614"/>
      <c r="J311" s="649"/>
      <c r="K311" s="648"/>
      <c r="L311" s="648"/>
      <c r="M311" s="647"/>
      <c r="N311" s="648"/>
      <c r="O311" s="648"/>
      <c r="P311" s="648">
        <f t="shared" si="509"/>
        <v>0</v>
      </c>
      <c r="Q311" s="648"/>
      <c r="R311" s="648">
        <f t="shared" si="472"/>
        <v>0</v>
      </c>
      <c r="S311" s="648">
        <f t="shared" si="504"/>
        <v>0</v>
      </c>
    </row>
    <row r="312" spans="1:19" s="595" customFormat="1" x14ac:dyDescent="0.25">
      <c r="A312" s="640"/>
      <c r="B312" s="641" t="s">
        <v>642</v>
      </c>
      <c r="C312" s="642"/>
      <c r="D312" s="643"/>
      <c r="E312" s="644">
        <f>SUM(E313:E314)</f>
        <v>3788</v>
      </c>
      <c r="F312" s="644">
        <f t="shared" ref="F312" si="512">SUM(F313:F314)</f>
        <v>0</v>
      </c>
      <c r="G312" s="644">
        <f t="shared" ref="G312" si="513">SUM(G313:G314)</f>
        <v>567</v>
      </c>
      <c r="H312" s="644">
        <f t="shared" ref="H312" si="514">SUM(H313:H314)</f>
        <v>0</v>
      </c>
      <c r="I312" s="644">
        <f t="shared" ref="I312" si="515">SUM(I313:I314)</f>
        <v>567</v>
      </c>
      <c r="J312" s="644">
        <f t="shared" ref="J312" si="516">SUM(J313:J314)</f>
        <v>8.6999999999999993</v>
      </c>
      <c r="K312" s="644">
        <f t="shared" ref="K312" si="517">SUM(K313:K314)</f>
        <v>0</v>
      </c>
      <c r="L312" s="644">
        <f t="shared" ref="L312" si="518">SUM(L313:L314)</f>
        <v>0.5</v>
      </c>
      <c r="M312" s="644">
        <f t="shared" ref="M312" si="519">SUM(M313:M314)</f>
        <v>0</v>
      </c>
      <c r="N312" s="644">
        <f t="shared" ref="N312" si="520">SUM(N313:N314)</f>
        <v>0</v>
      </c>
      <c r="O312" s="644">
        <f t="shared" ref="O312" si="521">SUM(O313:O314)</f>
        <v>0</v>
      </c>
      <c r="P312" s="644">
        <f t="shared" ref="P312" si="522">SUM(P313:P314)</f>
        <v>658.58999999999992</v>
      </c>
      <c r="Q312" s="644">
        <f t="shared" ref="Q312" si="523">SUM(Q313:Q314)</f>
        <v>40</v>
      </c>
      <c r="R312" s="644">
        <f t="shared" ref="R312" si="524">SUM(R313:R314)</f>
        <v>13171800</v>
      </c>
      <c r="S312" s="644">
        <f t="shared" ref="S312" si="525">SUM(S313:S314)</f>
        <v>13171800</v>
      </c>
    </row>
    <row r="313" spans="1:19" x14ac:dyDescent="0.25">
      <c r="A313" s="645">
        <v>28</v>
      </c>
      <c r="C313" s="646"/>
      <c r="D313" s="647"/>
      <c r="E313" s="648">
        <v>3788</v>
      </c>
      <c r="F313" s="648" t="s">
        <v>504</v>
      </c>
      <c r="G313" s="612">
        <f t="shared" si="471"/>
        <v>380</v>
      </c>
      <c r="H313" s="614"/>
      <c r="I313" s="614">
        <v>380</v>
      </c>
      <c r="J313" s="649">
        <v>4.3499999999999996</v>
      </c>
      <c r="K313" s="648"/>
      <c r="L313" s="648">
        <v>0.3</v>
      </c>
      <c r="M313" s="647"/>
      <c r="N313" s="648"/>
      <c r="O313" s="648"/>
      <c r="P313" s="648">
        <f t="shared" si="509"/>
        <v>495.9</v>
      </c>
      <c r="Q313" s="648">
        <v>20</v>
      </c>
      <c r="R313" s="648">
        <f t="shared" si="472"/>
        <v>9918000</v>
      </c>
      <c r="S313" s="648">
        <f t="shared" si="504"/>
        <v>9918000</v>
      </c>
    </row>
    <row r="314" spans="1:19" x14ac:dyDescent="0.25">
      <c r="A314" s="645"/>
      <c r="B314" s="646"/>
      <c r="C314" s="646"/>
      <c r="D314" s="647"/>
      <c r="E314" s="648"/>
      <c r="F314" s="648" t="s">
        <v>474</v>
      </c>
      <c r="G314" s="612">
        <f t="shared" si="471"/>
        <v>187</v>
      </c>
      <c r="H314" s="614"/>
      <c r="I314" s="614">
        <v>187</v>
      </c>
      <c r="J314" s="649">
        <v>4.3499999999999996</v>
      </c>
      <c r="K314" s="648"/>
      <c r="L314" s="648">
        <v>0.2</v>
      </c>
      <c r="M314" s="647"/>
      <c r="N314" s="648"/>
      <c r="O314" s="648"/>
      <c r="P314" s="648">
        <f t="shared" si="509"/>
        <v>162.69</v>
      </c>
      <c r="Q314" s="648">
        <v>20</v>
      </c>
      <c r="R314" s="648">
        <f t="shared" si="472"/>
        <v>3253800</v>
      </c>
      <c r="S314" s="648">
        <f t="shared" si="504"/>
        <v>3253800</v>
      </c>
    </row>
    <row r="315" spans="1:19" s="595" customFormat="1" x14ac:dyDescent="0.25">
      <c r="A315" s="640"/>
      <c r="B315" s="641" t="s">
        <v>499</v>
      </c>
      <c r="C315" s="642"/>
      <c r="D315" s="643"/>
      <c r="E315" s="644">
        <f>SUM(E316:E317)</f>
        <v>1769</v>
      </c>
      <c r="F315" s="644">
        <f t="shared" ref="F315:S315" si="526">SUM(F316:F317)</f>
        <v>0</v>
      </c>
      <c r="G315" s="644">
        <f t="shared" si="526"/>
        <v>70</v>
      </c>
      <c r="H315" s="644">
        <f t="shared" si="526"/>
        <v>0</v>
      </c>
      <c r="I315" s="644">
        <f t="shared" si="526"/>
        <v>70</v>
      </c>
      <c r="J315" s="644">
        <f t="shared" si="526"/>
        <v>8.6999999999999993</v>
      </c>
      <c r="K315" s="644">
        <f t="shared" si="526"/>
        <v>6.5249999999999995</v>
      </c>
      <c r="L315" s="644">
        <f t="shared" si="526"/>
        <v>0.5</v>
      </c>
      <c r="M315" s="644">
        <f t="shared" si="526"/>
        <v>0</v>
      </c>
      <c r="N315" s="644">
        <f t="shared" si="526"/>
        <v>0</v>
      </c>
      <c r="O315" s="644">
        <f t="shared" si="526"/>
        <v>0</v>
      </c>
      <c r="P315" s="644">
        <f t="shared" si="526"/>
        <v>78.3</v>
      </c>
      <c r="Q315" s="644">
        <f t="shared" si="526"/>
        <v>40</v>
      </c>
      <c r="R315" s="644">
        <f t="shared" si="526"/>
        <v>1566000</v>
      </c>
      <c r="S315" s="644">
        <f t="shared" si="526"/>
        <v>1566000</v>
      </c>
    </row>
    <row r="316" spans="1:19" x14ac:dyDescent="0.25">
      <c r="A316" s="645">
        <v>29</v>
      </c>
      <c r="C316" s="646"/>
      <c r="D316" s="647"/>
      <c r="E316" s="648">
        <v>1769</v>
      </c>
      <c r="F316" s="648" t="s">
        <v>504</v>
      </c>
      <c r="G316" s="612">
        <f t="shared" si="471"/>
        <v>40</v>
      </c>
      <c r="H316" s="614"/>
      <c r="I316" s="614">
        <v>40</v>
      </c>
      <c r="J316" s="649">
        <v>4.3499999999999996</v>
      </c>
      <c r="K316" s="648">
        <f t="shared" si="468"/>
        <v>3.0449999999999999</v>
      </c>
      <c r="L316" s="648">
        <v>0.3</v>
      </c>
      <c r="M316" s="647"/>
      <c r="N316" s="648"/>
      <c r="O316" s="648"/>
      <c r="P316" s="648">
        <f>SUM(L316*J316*I316)</f>
        <v>52.199999999999996</v>
      </c>
      <c r="Q316" s="648">
        <v>20</v>
      </c>
      <c r="R316" s="648">
        <f t="shared" si="472"/>
        <v>1043999.9999999999</v>
      </c>
      <c r="S316" s="648">
        <f t="shared" si="504"/>
        <v>1043999.9999999999</v>
      </c>
    </row>
    <row r="317" spans="1:19" x14ac:dyDescent="0.25">
      <c r="A317" s="645"/>
      <c r="B317" s="646"/>
      <c r="C317" s="646"/>
      <c r="D317" s="647"/>
      <c r="E317" s="648"/>
      <c r="F317" s="648" t="s">
        <v>474</v>
      </c>
      <c r="G317" s="612">
        <f t="shared" si="471"/>
        <v>30</v>
      </c>
      <c r="H317" s="614"/>
      <c r="I317" s="614">
        <v>30</v>
      </c>
      <c r="J317" s="649">
        <v>4.3499999999999996</v>
      </c>
      <c r="K317" s="648">
        <f t="shared" si="468"/>
        <v>3.4799999999999995</v>
      </c>
      <c r="L317" s="648">
        <v>0.2</v>
      </c>
      <c r="M317" s="647"/>
      <c r="N317" s="648"/>
      <c r="O317" s="648"/>
      <c r="P317" s="648">
        <f>SUM(L317*J317*I317)</f>
        <v>26.1</v>
      </c>
      <c r="Q317" s="648">
        <v>20</v>
      </c>
      <c r="R317" s="648">
        <f t="shared" si="472"/>
        <v>522000</v>
      </c>
      <c r="S317" s="648">
        <f t="shared" si="504"/>
        <v>522000</v>
      </c>
    </row>
    <row r="318" spans="1:19" s="595" customFormat="1" x14ac:dyDescent="0.25">
      <c r="A318" s="640"/>
      <c r="B318" s="641" t="s">
        <v>503</v>
      </c>
      <c r="C318" s="642"/>
      <c r="D318" s="643"/>
      <c r="E318" s="644">
        <f>SUM(E319:E320)</f>
        <v>3481</v>
      </c>
      <c r="F318" s="644">
        <f t="shared" ref="F318:S318" si="527">SUM(F319:F320)</f>
        <v>0</v>
      </c>
      <c r="G318" s="644">
        <f t="shared" si="527"/>
        <v>1300</v>
      </c>
      <c r="H318" s="644">
        <f t="shared" si="527"/>
        <v>0</v>
      </c>
      <c r="I318" s="644">
        <f t="shared" si="527"/>
        <v>1300</v>
      </c>
      <c r="J318" s="644">
        <f t="shared" si="527"/>
        <v>8.6999999999999993</v>
      </c>
      <c r="K318" s="644">
        <f t="shared" si="527"/>
        <v>6.7424999999999997</v>
      </c>
      <c r="L318" s="644">
        <f t="shared" si="527"/>
        <v>0.45</v>
      </c>
      <c r="M318" s="644">
        <f t="shared" si="527"/>
        <v>0</v>
      </c>
      <c r="N318" s="644">
        <f t="shared" si="527"/>
        <v>0</v>
      </c>
      <c r="O318" s="644">
        <f t="shared" si="527"/>
        <v>0</v>
      </c>
      <c r="P318" s="644">
        <f t="shared" si="527"/>
        <v>1337.625</v>
      </c>
      <c r="Q318" s="644">
        <f t="shared" si="527"/>
        <v>40</v>
      </c>
      <c r="R318" s="644">
        <f t="shared" si="527"/>
        <v>26752500</v>
      </c>
      <c r="S318" s="644">
        <f t="shared" si="527"/>
        <v>26752500</v>
      </c>
    </row>
    <row r="319" spans="1:19" x14ac:dyDescent="0.25">
      <c r="A319" s="645">
        <v>30</v>
      </c>
      <c r="C319" s="646"/>
      <c r="D319" s="647"/>
      <c r="E319" s="648">
        <v>3481</v>
      </c>
      <c r="F319" s="648" t="s">
        <v>643</v>
      </c>
      <c r="G319" s="612">
        <f t="shared" si="471"/>
        <v>950</v>
      </c>
      <c r="H319" s="614"/>
      <c r="I319" s="614">
        <v>950</v>
      </c>
      <c r="J319" s="649">
        <v>4.3499999999999996</v>
      </c>
      <c r="K319" s="648">
        <f t="shared" si="468"/>
        <v>3.2624999999999997</v>
      </c>
      <c r="L319" s="648">
        <v>0.25</v>
      </c>
      <c r="M319" s="647"/>
      <c r="N319" s="648"/>
      <c r="O319" s="648"/>
      <c r="P319" s="648">
        <f t="shared" ref="P319:P398" si="528">SUM(L319*J319*I319)</f>
        <v>1033.125</v>
      </c>
      <c r="Q319" s="648">
        <v>20</v>
      </c>
      <c r="R319" s="648">
        <f t="shared" si="472"/>
        <v>20662500</v>
      </c>
      <c r="S319" s="648">
        <f t="shared" si="504"/>
        <v>20662500</v>
      </c>
    </row>
    <row r="320" spans="1:19" x14ac:dyDescent="0.25">
      <c r="A320" s="645"/>
      <c r="B320" s="641"/>
      <c r="C320" s="646"/>
      <c r="D320" s="647"/>
      <c r="E320" s="648"/>
      <c r="F320" s="648" t="s">
        <v>644</v>
      </c>
      <c r="G320" s="612">
        <f t="shared" si="471"/>
        <v>350</v>
      </c>
      <c r="H320" s="614"/>
      <c r="I320" s="614">
        <v>350</v>
      </c>
      <c r="J320" s="649">
        <v>4.3499999999999996</v>
      </c>
      <c r="K320" s="648">
        <f t="shared" si="468"/>
        <v>3.4799999999999995</v>
      </c>
      <c r="L320" s="648">
        <v>0.2</v>
      </c>
      <c r="M320" s="647"/>
      <c r="N320" s="648"/>
      <c r="O320" s="648"/>
      <c r="P320" s="648">
        <f t="shared" si="528"/>
        <v>304.5</v>
      </c>
      <c r="Q320" s="648">
        <v>20</v>
      </c>
      <c r="R320" s="648">
        <f t="shared" si="472"/>
        <v>6090000</v>
      </c>
      <c r="S320" s="648">
        <f t="shared" si="504"/>
        <v>6090000</v>
      </c>
    </row>
    <row r="321" spans="1:19" s="595" customFormat="1" x14ac:dyDescent="0.25">
      <c r="A321" s="640"/>
      <c r="B321" s="641" t="s">
        <v>498</v>
      </c>
      <c r="C321" s="642"/>
      <c r="D321" s="643"/>
      <c r="E321" s="644">
        <f>SUM(E322:E324)</f>
        <v>2636</v>
      </c>
      <c r="F321" s="644">
        <f t="shared" ref="F321:S321" si="529">SUM(F322:F324)</f>
        <v>0</v>
      </c>
      <c r="G321" s="644">
        <f t="shared" si="529"/>
        <v>1425</v>
      </c>
      <c r="H321" s="644">
        <f t="shared" si="529"/>
        <v>0</v>
      </c>
      <c r="I321" s="644">
        <f t="shared" si="529"/>
        <v>1425</v>
      </c>
      <c r="J321" s="644">
        <f t="shared" si="529"/>
        <v>13.049999999999999</v>
      </c>
      <c r="K321" s="644">
        <f t="shared" si="529"/>
        <v>10.439999999999998</v>
      </c>
      <c r="L321" s="644">
        <f t="shared" si="529"/>
        <v>0.60000000000000009</v>
      </c>
      <c r="M321" s="644">
        <f t="shared" si="529"/>
        <v>0</v>
      </c>
      <c r="N321" s="644">
        <f t="shared" si="529"/>
        <v>0</v>
      </c>
      <c r="O321" s="644">
        <f t="shared" si="529"/>
        <v>0</v>
      </c>
      <c r="P321" s="644">
        <f t="shared" si="529"/>
        <v>1495.3125</v>
      </c>
      <c r="Q321" s="644">
        <f t="shared" si="529"/>
        <v>60</v>
      </c>
      <c r="R321" s="644">
        <f t="shared" si="529"/>
        <v>29906250</v>
      </c>
      <c r="S321" s="644">
        <f t="shared" si="529"/>
        <v>29906250</v>
      </c>
    </row>
    <row r="322" spans="1:19" x14ac:dyDescent="0.25">
      <c r="A322" s="645">
        <v>31</v>
      </c>
      <c r="C322" s="646"/>
      <c r="D322" s="647"/>
      <c r="E322" s="648">
        <v>2636</v>
      </c>
      <c r="F322" s="648" t="s">
        <v>504</v>
      </c>
      <c r="G322" s="612">
        <f t="shared" si="471"/>
        <v>1200</v>
      </c>
      <c r="H322" s="614"/>
      <c r="I322" s="614">
        <v>1200</v>
      </c>
      <c r="J322" s="649">
        <v>4.3499999999999996</v>
      </c>
      <c r="K322" s="648">
        <f t="shared" si="468"/>
        <v>3.2624999999999997</v>
      </c>
      <c r="L322" s="648">
        <v>0.25</v>
      </c>
      <c r="M322" s="647"/>
      <c r="N322" s="648"/>
      <c r="O322" s="648"/>
      <c r="P322" s="648">
        <f t="shared" si="528"/>
        <v>1305</v>
      </c>
      <c r="Q322" s="648">
        <v>20</v>
      </c>
      <c r="R322" s="648">
        <f t="shared" si="472"/>
        <v>26100000</v>
      </c>
      <c r="S322" s="648">
        <f t="shared" si="504"/>
        <v>26100000</v>
      </c>
    </row>
    <row r="323" spans="1:19" x14ac:dyDescent="0.25">
      <c r="A323" s="645"/>
      <c r="B323" s="641"/>
      <c r="C323" s="646"/>
      <c r="D323" s="647"/>
      <c r="E323" s="648"/>
      <c r="F323" s="648" t="s">
        <v>481</v>
      </c>
      <c r="G323" s="612">
        <f t="shared" si="471"/>
        <v>25</v>
      </c>
      <c r="H323" s="614"/>
      <c r="I323" s="614">
        <v>25</v>
      </c>
      <c r="J323" s="649">
        <v>4.3499999999999996</v>
      </c>
      <c r="K323" s="648">
        <f t="shared" si="468"/>
        <v>3.6974999999999998</v>
      </c>
      <c r="L323" s="648">
        <v>0.15</v>
      </c>
      <c r="M323" s="647"/>
      <c r="N323" s="648"/>
      <c r="O323" s="648"/>
      <c r="P323" s="648">
        <f t="shared" si="528"/>
        <v>16.3125</v>
      </c>
      <c r="Q323" s="648">
        <v>20</v>
      </c>
      <c r="R323" s="648">
        <f t="shared" si="472"/>
        <v>326250</v>
      </c>
      <c r="S323" s="648">
        <f t="shared" si="504"/>
        <v>326250</v>
      </c>
    </row>
    <row r="324" spans="1:19" x14ac:dyDescent="0.25">
      <c r="A324" s="645"/>
      <c r="B324" s="652"/>
      <c r="C324" s="641"/>
      <c r="D324" s="652"/>
      <c r="E324" s="648"/>
      <c r="F324" s="652" t="s">
        <v>481</v>
      </c>
      <c r="G324" s="612">
        <f t="shared" si="471"/>
        <v>200</v>
      </c>
      <c r="H324" s="648"/>
      <c r="I324" s="648">
        <v>200</v>
      </c>
      <c r="J324" s="648">
        <v>4.3499999999999996</v>
      </c>
      <c r="K324" s="648">
        <f t="shared" si="468"/>
        <v>3.4799999999999995</v>
      </c>
      <c r="L324" s="641">
        <v>0.2</v>
      </c>
      <c r="M324" s="648"/>
      <c r="N324" s="648"/>
      <c r="O324" s="653"/>
      <c r="P324" s="648">
        <f t="shared" si="528"/>
        <v>174</v>
      </c>
      <c r="Q324" s="648">
        <v>20</v>
      </c>
      <c r="R324" s="648">
        <f t="shared" si="472"/>
        <v>3480000</v>
      </c>
      <c r="S324" s="648">
        <f t="shared" si="504"/>
        <v>3480000</v>
      </c>
    </row>
    <row r="325" spans="1:19" s="595" customFormat="1" x14ac:dyDescent="0.25">
      <c r="A325" s="640"/>
      <c r="B325" s="652" t="s">
        <v>496</v>
      </c>
      <c r="C325" s="654"/>
      <c r="D325" s="644"/>
      <c r="E325" s="644">
        <f>SUM(E326:E331)</f>
        <v>3536</v>
      </c>
      <c r="F325" s="644">
        <f t="shared" ref="F325:S325" si="530">SUM(F326:F331)</f>
        <v>0</v>
      </c>
      <c r="G325" s="644">
        <f t="shared" si="530"/>
        <v>280.26</v>
      </c>
      <c r="H325" s="644">
        <f t="shared" si="530"/>
        <v>0</v>
      </c>
      <c r="I325" s="644">
        <f t="shared" si="530"/>
        <v>280.26</v>
      </c>
      <c r="J325" s="644">
        <f t="shared" si="530"/>
        <v>26.1</v>
      </c>
      <c r="K325" s="644">
        <f t="shared" si="530"/>
        <v>21.314999999999998</v>
      </c>
      <c r="L325" s="644">
        <f t="shared" si="530"/>
        <v>1.0999999999999999</v>
      </c>
      <c r="M325" s="644">
        <f t="shared" si="530"/>
        <v>0</v>
      </c>
      <c r="N325" s="644">
        <f t="shared" si="530"/>
        <v>26995</v>
      </c>
      <c r="O325" s="644">
        <f t="shared" si="530"/>
        <v>6127.8649999999998</v>
      </c>
      <c r="P325" s="644">
        <f t="shared" si="530"/>
        <v>263.67959999999999</v>
      </c>
      <c r="Q325" s="644">
        <f t="shared" si="530"/>
        <v>100</v>
      </c>
      <c r="R325" s="644">
        <f t="shared" si="530"/>
        <v>5273592</v>
      </c>
      <c r="S325" s="644">
        <f t="shared" si="530"/>
        <v>5279719.8650000002</v>
      </c>
    </row>
    <row r="326" spans="1:19" x14ac:dyDescent="0.25">
      <c r="A326" s="645">
        <v>32</v>
      </c>
      <c r="C326" s="641"/>
      <c r="D326" s="652"/>
      <c r="E326" s="648">
        <v>3536</v>
      </c>
      <c r="F326" s="652" t="s">
        <v>539</v>
      </c>
      <c r="G326" s="612">
        <f t="shared" si="471"/>
        <v>2.27</v>
      </c>
      <c r="H326" s="648"/>
      <c r="I326" s="648">
        <v>2.27</v>
      </c>
      <c r="J326" s="648">
        <v>4.3499999999999996</v>
      </c>
      <c r="K326" s="648">
        <f t="shared" si="468"/>
        <v>3.9149999999999996</v>
      </c>
      <c r="L326" s="641">
        <v>0.1</v>
      </c>
      <c r="M326" s="648"/>
      <c r="N326" s="648">
        <v>26995</v>
      </c>
      <c r="O326" s="653">
        <f>SUM(N326*L326*I326)</f>
        <v>6127.8649999999998</v>
      </c>
      <c r="P326" s="648"/>
      <c r="Q326" s="648"/>
      <c r="R326" s="648">
        <f t="shared" si="472"/>
        <v>0</v>
      </c>
      <c r="S326" s="648">
        <f t="shared" si="504"/>
        <v>6127.8649999999998</v>
      </c>
    </row>
    <row r="327" spans="1:19" x14ac:dyDescent="0.25">
      <c r="A327" s="645"/>
      <c r="B327" s="652"/>
      <c r="C327" s="641"/>
      <c r="D327" s="652"/>
      <c r="E327" s="648"/>
      <c r="F327" s="652" t="s">
        <v>487</v>
      </c>
      <c r="G327" s="612">
        <f t="shared" si="471"/>
        <v>3.9</v>
      </c>
      <c r="H327" s="648"/>
      <c r="I327" s="648">
        <v>3.9</v>
      </c>
      <c r="J327" s="648">
        <v>4.3499999999999996</v>
      </c>
      <c r="K327" s="648">
        <f t="shared" si="468"/>
        <v>3.6974999999999998</v>
      </c>
      <c r="L327" s="641">
        <v>0.15</v>
      </c>
      <c r="M327" s="648"/>
      <c r="N327" s="648"/>
      <c r="O327" s="653"/>
      <c r="P327" s="648">
        <f t="shared" si="528"/>
        <v>2.5447499999999996</v>
      </c>
      <c r="Q327" s="648">
        <v>20</v>
      </c>
      <c r="R327" s="648">
        <f t="shared" si="472"/>
        <v>50894.999999999993</v>
      </c>
      <c r="S327" s="648">
        <f t="shared" si="504"/>
        <v>50894.999999999993</v>
      </c>
    </row>
    <row r="328" spans="1:19" x14ac:dyDescent="0.25">
      <c r="A328" s="645"/>
      <c r="B328" s="652"/>
      <c r="C328" s="641"/>
      <c r="D328" s="652"/>
      <c r="E328" s="648"/>
      <c r="F328" s="652" t="s">
        <v>620</v>
      </c>
      <c r="G328" s="612">
        <f t="shared" si="471"/>
        <v>143.6</v>
      </c>
      <c r="H328" s="648"/>
      <c r="I328" s="648">
        <v>143.6</v>
      </c>
      <c r="J328" s="648">
        <v>4.3499999999999996</v>
      </c>
      <c r="K328" s="648">
        <f t="shared" si="468"/>
        <v>3.6974999999999998</v>
      </c>
      <c r="L328" s="641">
        <v>0.15</v>
      </c>
      <c r="M328" s="648"/>
      <c r="N328" s="648"/>
      <c r="O328" s="653"/>
      <c r="P328" s="648">
        <f t="shared" si="528"/>
        <v>93.698999999999998</v>
      </c>
      <c r="Q328" s="648">
        <v>20</v>
      </c>
      <c r="R328" s="648">
        <f t="shared" si="472"/>
        <v>1873980</v>
      </c>
      <c r="S328" s="648">
        <f t="shared" si="504"/>
        <v>1873980</v>
      </c>
    </row>
    <row r="329" spans="1:19" x14ac:dyDescent="0.25">
      <c r="A329" s="645"/>
      <c r="B329" s="652"/>
      <c r="C329" s="641"/>
      <c r="D329" s="652"/>
      <c r="E329" s="648"/>
      <c r="F329" s="652" t="s">
        <v>504</v>
      </c>
      <c r="G329" s="612">
        <f t="shared" si="471"/>
        <v>123.93</v>
      </c>
      <c r="H329" s="648"/>
      <c r="I329" s="648">
        <v>123.93</v>
      </c>
      <c r="J329" s="648">
        <v>4.3499999999999996</v>
      </c>
      <c r="K329" s="648">
        <f t="shared" si="468"/>
        <v>3.0449999999999999</v>
      </c>
      <c r="L329" s="641">
        <v>0.3</v>
      </c>
      <c r="M329" s="648"/>
      <c r="N329" s="648"/>
      <c r="O329" s="653"/>
      <c r="P329" s="648">
        <f t="shared" si="528"/>
        <v>161.72864999999999</v>
      </c>
      <c r="Q329" s="648">
        <v>20</v>
      </c>
      <c r="R329" s="648">
        <f t="shared" si="472"/>
        <v>3234573</v>
      </c>
      <c r="S329" s="648">
        <f t="shared" si="504"/>
        <v>3234573</v>
      </c>
    </row>
    <row r="330" spans="1:19" x14ac:dyDescent="0.25">
      <c r="A330" s="645"/>
      <c r="B330" s="652"/>
      <c r="C330" s="641"/>
      <c r="D330" s="652"/>
      <c r="E330" s="648"/>
      <c r="F330" s="652" t="s">
        <v>497</v>
      </c>
      <c r="G330" s="612">
        <f t="shared" si="471"/>
        <v>3.33</v>
      </c>
      <c r="H330" s="648"/>
      <c r="I330" s="648">
        <v>3.33</v>
      </c>
      <c r="J330" s="648">
        <v>4.3499999999999996</v>
      </c>
      <c r="K330" s="648">
        <f t="shared" si="468"/>
        <v>3.4799999999999995</v>
      </c>
      <c r="L330" s="641">
        <v>0.2</v>
      </c>
      <c r="M330" s="648"/>
      <c r="N330" s="648"/>
      <c r="O330" s="653"/>
      <c r="P330" s="648">
        <f t="shared" si="528"/>
        <v>2.8971</v>
      </c>
      <c r="Q330" s="648">
        <v>20</v>
      </c>
      <c r="R330" s="648">
        <f t="shared" si="472"/>
        <v>57942</v>
      </c>
      <c r="S330" s="648">
        <f t="shared" si="504"/>
        <v>57942</v>
      </c>
    </row>
    <row r="331" spans="1:19" x14ac:dyDescent="0.25">
      <c r="A331" s="645"/>
      <c r="B331" s="652"/>
      <c r="C331" s="641"/>
      <c r="D331" s="652"/>
      <c r="E331" s="648"/>
      <c r="F331" s="652" t="s">
        <v>474</v>
      </c>
      <c r="G331" s="612">
        <f t="shared" si="471"/>
        <v>3.23</v>
      </c>
      <c r="H331" s="648"/>
      <c r="I331" s="648">
        <v>3.23</v>
      </c>
      <c r="J331" s="648">
        <v>4.3499999999999996</v>
      </c>
      <c r="K331" s="648">
        <f t="shared" si="468"/>
        <v>3.4799999999999995</v>
      </c>
      <c r="L331" s="641">
        <v>0.2</v>
      </c>
      <c r="M331" s="648"/>
      <c r="N331" s="648"/>
      <c r="O331" s="653"/>
      <c r="P331" s="648">
        <f t="shared" si="528"/>
        <v>2.8100999999999998</v>
      </c>
      <c r="Q331" s="648">
        <v>20</v>
      </c>
      <c r="R331" s="648">
        <f t="shared" si="472"/>
        <v>56202</v>
      </c>
      <c r="S331" s="648">
        <f t="shared" si="504"/>
        <v>56202</v>
      </c>
    </row>
    <row r="332" spans="1:19" s="595" customFormat="1" x14ac:dyDescent="0.25">
      <c r="A332" s="640"/>
      <c r="B332" s="652" t="s">
        <v>494</v>
      </c>
      <c r="C332" s="654"/>
      <c r="D332" s="644"/>
      <c r="E332" s="644">
        <f>SUM(E333:E334)</f>
        <v>4883</v>
      </c>
      <c r="F332" s="644">
        <f t="shared" ref="F332:S332" si="531">SUM(F333:F334)</f>
        <v>0</v>
      </c>
      <c r="G332" s="644">
        <f t="shared" si="531"/>
        <v>2105</v>
      </c>
      <c r="H332" s="644">
        <f t="shared" si="531"/>
        <v>0</v>
      </c>
      <c r="I332" s="644">
        <f t="shared" si="531"/>
        <v>2105</v>
      </c>
      <c r="J332" s="644">
        <f t="shared" si="531"/>
        <v>8.6999999999999993</v>
      </c>
      <c r="K332" s="644">
        <f t="shared" si="531"/>
        <v>6.5249999999999995</v>
      </c>
      <c r="L332" s="644">
        <f t="shared" si="531"/>
        <v>0.5</v>
      </c>
      <c r="M332" s="644">
        <f t="shared" si="531"/>
        <v>0</v>
      </c>
      <c r="N332" s="644">
        <f t="shared" si="531"/>
        <v>0</v>
      </c>
      <c r="O332" s="644">
        <f t="shared" si="531"/>
        <v>0</v>
      </c>
      <c r="P332" s="644">
        <f t="shared" si="531"/>
        <v>2289.1875</v>
      </c>
      <c r="Q332" s="644">
        <f t="shared" si="531"/>
        <v>40</v>
      </c>
      <c r="R332" s="644">
        <f t="shared" si="531"/>
        <v>45783750</v>
      </c>
      <c r="S332" s="644">
        <f t="shared" si="531"/>
        <v>45783750</v>
      </c>
    </row>
    <row r="333" spans="1:19" x14ac:dyDescent="0.25">
      <c r="A333" s="645">
        <v>33</v>
      </c>
      <c r="C333" s="641"/>
      <c r="D333" s="652"/>
      <c r="E333" s="648">
        <v>4883</v>
      </c>
      <c r="F333" s="652" t="s">
        <v>504</v>
      </c>
      <c r="G333" s="612">
        <f t="shared" si="471"/>
        <v>2000</v>
      </c>
      <c r="H333" s="648"/>
      <c r="I333" s="648">
        <v>2000</v>
      </c>
      <c r="J333" s="648">
        <v>4.3499999999999996</v>
      </c>
      <c r="K333" s="648">
        <f t="shared" si="468"/>
        <v>3.2624999999999997</v>
      </c>
      <c r="L333" s="641">
        <v>0.25</v>
      </c>
      <c r="M333" s="648"/>
      <c r="N333" s="648"/>
      <c r="O333" s="653"/>
      <c r="P333" s="648">
        <f t="shared" si="528"/>
        <v>2175</v>
      </c>
      <c r="Q333" s="648">
        <v>20</v>
      </c>
      <c r="R333" s="648">
        <f t="shared" si="472"/>
        <v>43500000</v>
      </c>
      <c r="S333" s="648">
        <f t="shared" si="504"/>
        <v>43500000</v>
      </c>
    </row>
    <row r="334" spans="1:19" x14ac:dyDescent="0.25">
      <c r="A334" s="645"/>
      <c r="B334" s="652"/>
      <c r="C334" s="641"/>
      <c r="D334" s="652"/>
      <c r="E334" s="648"/>
      <c r="F334" s="652" t="s">
        <v>554</v>
      </c>
      <c r="G334" s="612">
        <f t="shared" si="471"/>
        <v>105</v>
      </c>
      <c r="H334" s="648"/>
      <c r="I334" s="648">
        <v>105</v>
      </c>
      <c r="J334" s="648">
        <v>4.3499999999999996</v>
      </c>
      <c r="K334" s="648">
        <f t="shared" si="468"/>
        <v>3.2624999999999997</v>
      </c>
      <c r="L334" s="641">
        <v>0.25</v>
      </c>
      <c r="M334" s="648"/>
      <c r="N334" s="648"/>
      <c r="O334" s="653"/>
      <c r="P334" s="648">
        <f t="shared" si="528"/>
        <v>114.18749999999999</v>
      </c>
      <c r="Q334" s="648">
        <v>20</v>
      </c>
      <c r="R334" s="648">
        <f t="shared" si="472"/>
        <v>2283749.9999999995</v>
      </c>
      <c r="S334" s="648">
        <f t="shared" si="504"/>
        <v>2283749.9999999995</v>
      </c>
    </row>
    <row r="335" spans="1:19" s="595" customFormat="1" x14ac:dyDescent="0.25">
      <c r="A335" s="640"/>
      <c r="B335" s="652" t="s">
        <v>502</v>
      </c>
      <c r="C335" s="654"/>
      <c r="D335" s="644"/>
      <c r="E335" s="644">
        <f>SUM(E336:E343)</f>
        <v>3950</v>
      </c>
      <c r="F335" s="644">
        <f t="shared" ref="F335:S335" si="532">SUM(F336:F343)</f>
        <v>0</v>
      </c>
      <c r="G335" s="644">
        <f t="shared" si="532"/>
        <v>1582.5</v>
      </c>
      <c r="H335" s="644">
        <f t="shared" si="532"/>
        <v>286</v>
      </c>
      <c r="I335" s="644">
        <f t="shared" si="532"/>
        <v>1296.5</v>
      </c>
      <c r="J335" s="644">
        <f t="shared" si="532"/>
        <v>34.800000000000004</v>
      </c>
      <c r="K335" s="644">
        <f t="shared" si="532"/>
        <v>17.182499999999997</v>
      </c>
      <c r="L335" s="644">
        <f t="shared" si="532"/>
        <v>4.05</v>
      </c>
      <c r="M335" s="644">
        <f t="shared" si="532"/>
        <v>0</v>
      </c>
      <c r="N335" s="644">
        <f t="shared" si="532"/>
        <v>53990</v>
      </c>
      <c r="O335" s="644">
        <f t="shared" si="532"/>
        <v>159270.5</v>
      </c>
      <c r="P335" s="644">
        <f t="shared" si="532"/>
        <v>2833.59</v>
      </c>
      <c r="Q335" s="644">
        <f t="shared" si="532"/>
        <v>140</v>
      </c>
      <c r="R335" s="644">
        <f t="shared" si="532"/>
        <v>56671800</v>
      </c>
      <c r="S335" s="644">
        <f t="shared" si="532"/>
        <v>56831070.5</v>
      </c>
    </row>
    <row r="336" spans="1:19" x14ac:dyDescent="0.25">
      <c r="A336" s="645">
        <v>34</v>
      </c>
      <c r="C336" s="641"/>
      <c r="D336" s="652"/>
      <c r="E336" s="648">
        <v>3950</v>
      </c>
      <c r="F336" s="652" t="s">
        <v>588</v>
      </c>
      <c r="G336" s="612">
        <f t="shared" si="471"/>
        <v>5</v>
      </c>
      <c r="H336" s="648">
        <v>5</v>
      </c>
      <c r="I336" s="648"/>
      <c r="J336" s="648">
        <v>4.3499999999999996</v>
      </c>
      <c r="K336" s="648">
        <f t="shared" si="468"/>
        <v>0</v>
      </c>
      <c r="L336" s="641">
        <v>1</v>
      </c>
      <c r="M336" s="648"/>
      <c r="N336" s="648">
        <v>26995</v>
      </c>
      <c r="O336" s="653">
        <f>SUM(N336*H336)</f>
        <v>134975</v>
      </c>
      <c r="P336" s="648">
        <f t="shared" si="528"/>
        <v>0</v>
      </c>
      <c r="Q336" s="648"/>
      <c r="R336" s="648">
        <f t="shared" si="472"/>
        <v>0</v>
      </c>
      <c r="S336" s="648">
        <f t="shared" si="504"/>
        <v>134975</v>
      </c>
    </row>
    <row r="337" spans="1:19" x14ac:dyDescent="0.25">
      <c r="A337" s="645"/>
      <c r="B337" s="652"/>
      <c r="C337" s="641"/>
      <c r="D337" s="652"/>
      <c r="E337" s="648"/>
      <c r="F337" s="652" t="s">
        <v>588</v>
      </c>
      <c r="G337" s="612">
        <f t="shared" si="471"/>
        <v>9</v>
      </c>
      <c r="H337" s="648"/>
      <c r="I337" s="648">
        <v>9</v>
      </c>
      <c r="J337" s="648">
        <v>4.3499999999999996</v>
      </c>
      <c r="K337" s="648">
        <f t="shared" si="468"/>
        <v>3.9149999999999996</v>
      </c>
      <c r="L337" s="641">
        <v>0.1</v>
      </c>
      <c r="M337" s="648"/>
      <c r="N337" s="648">
        <v>26995</v>
      </c>
      <c r="O337" s="653">
        <f>SUM(N337*L337*I337)</f>
        <v>24295.5</v>
      </c>
      <c r="P337" s="648">
        <f t="shared" si="528"/>
        <v>3.915</v>
      </c>
      <c r="Q337" s="648">
        <v>20</v>
      </c>
      <c r="R337" s="648">
        <f t="shared" si="472"/>
        <v>78300</v>
      </c>
      <c r="S337" s="648">
        <f t="shared" si="504"/>
        <v>102595.5</v>
      </c>
    </row>
    <row r="338" spans="1:19" x14ac:dyDescent="0.25">
      <c r="A338" s="645"/>
      <c r="B338" s="652"/>
      <c r="C338" s="641"/>
      <c r="D338" s="652"/>
      <c r="E338" s="648"/>
      <c r="F338" s="655" t="s">
        <v>638</v>
      </c>
      <c r="G338" s="612">
        <f t="shared" si="471"/>
        <v>10</v>
      </c>
      <c r="H338" s="648"/>
      <c r="I338" s="648">
        <v>10</v>
      </c>
      <c r="J338" s="648">
        <v>4.3499999999999996</v>
      </c>
      <c r="K338" s="648">
        <f t="shared" si="468"/>
        <v>3.4799999999999995</v>
      </c>
      <c r="L338" s="641">
        <v>0.2</v>
      </c>
      <c r="M338" s="648"/>
      <c r="N338" s="648"/>
      <c r="O338" s="653"/>
      <c r="P338" s="648">
        <f t="shared" si="528"/>
        <v>8.6999999999999993</v>
      </c>
      <c r="Q338" s="648">
        <v>20</v>
      </c>
      <c r="R338" s="648">
        <f t="shared" si="472"/>
        <v>174000</v>
      </c>
      <c r="S338" s="648">
        <f t="shared" si="504"/>
        <v>174000</v>
      </c>
    </row>
    <row r="339" spans="1:19" x14ac:dyDescent="0.25">
      <c r="A339" s="645"/>
      <c r="B339" s="652"/>
      <c r="C339" s="641"/>
      <c r="D339" s="652"/>
      <c r="E339" s="648"/>
      <c r="F339" s="652" t="s">
        <v>645</v>
      </c>
      <c r="G339" s="612">
        <f t="shared" si="471"/>
        <v>1027.5</v>
      </c>
      <c r="H339" s="648"/>
      <c r="I339" s="648">
        <v>1027.5</v>
      </c>
      <c r="J339" s="648">
        <v>4.3499999999999996</v>
      </c>
      <c r="K339" s="648">
        <f t="shared" si="468"/>
        <v>3.0449999999999999</v>
      </c>
      <c r="L339" s="641">
        <v>0.3</v>
      </c>
      <c r="M339" s="648"/>
      <c r="N339" s="648"/>
      <c r="O339" s="653"/>
      <c r="P339" s="648">
        <f t="shared" si="528"/>
        <v>1340.8875</v>
      </c>
      <c r="Q339" s="648">
        <v>20</v>
      </c>
      <c r="R339" s="648">
        <f t="shared" si="472"/>
        <v>26817750</v>
      </c>
      <c r="S339" s="648">
        <f t="shared" si="504"/>
        <v>26817750</v>
      </c>
    </row>
    <row r="340" spans="1:19" x14ac:dyDescent="0.25">
      <c r="A340" s="645"/>
      <c r="B340" s="656"/>
      <c r="C340" s="641"/>
      <c r="D340" s="652"/>
      <c r="E340" s="648"/>
      <c r="F340" s="652" t="s">
        <v>630</v>
      </c>
      <c r="G340" s="612">
        <f t="shared" si="471"/>
        <v>185</v>
      </c>
      <c r="H340" s="648">
        <v>185</v>
      </c>
      <c r="I340" s="648"/>
      <c r="J340" s="648">
        <v>4.3499999999999996</v>
      </c>
      <c r="K340" s="648">
        <f t="shared" si="468"/>
        <v>0</v>
      </c>
      <c r="L340" s="641">
        <v>1</v>
      </c>
      <c r="M340" s="648"/>
      <c r="N340" s="648"/>
      <c r="O340" s="653"/>
      <c r="P340" s="648">
        <f>SUM(J340*H340)</f>
        <v>804.74999999999989</v>
      </c>
      <c r="Q340" s="648">
        <v>20</v>
      </c>
      <c r="R340" s="648">
        <f t="shared" si="472"/>
        <v>16094999.999999998</v>
      </c>
      <c r="S340" s="648">
        <f t="shared" si="504"/>
        <v>16094999.999999998</v>
      </c>
    </row>
    <row r="341" spans="1:19" x14ac:dyDescent="0.25">
      <c r="A341" s="645"/>
      <c r="B341" s="656"/>
      <c r="C341" s="641"/>
      <c r="D341" s="652"/>
      <c r="E341" s="648"/>
      <c r="F341" s="652" t="s">
        <v>630</v>
      </c>
      <c r="G341" s="612">
        <f t="shared" si="471"/>
        <v>185</v>
      </c>
      <c r="H341" s="648"/>
      <c r="I341" s="648">
        <v>185</v>
      </c>
      <c r="J341" s="648">
        <v>4.3499999999999996</v>
      </c>
      <c r="K341" s="648">
        <f t="shared" si="468"/>
        <v>3.2624999999999997</v>
      </c>
      <c r="L341" s="641">
        <v>0.25</v>
      </c>
      <c r="M341" s="648"/>
      <c r="N341" s="648"/>
      <c r="O341" s="653"/>
      <c r="P341" s="648">
        <f>SUM(L341*J341*I341)</f>
        <v>201.18749999999997</v>
      </c>
      <c r="Q341" s="648">
        <v>20</v>
      </c>
      <c r="R341" s="648">
        <f t="shared" si="472"/>
        <v>4023749.9999999995</v>
      </c>
      <c r="S341" s="648">
        <f t="shared" si="504"/>
        <v>4023749.9999999995</v>
      </c>
    </row>
    <row r="342" spans="1:19" x14ac:dyDescent="0.25">
      <c r="A342" s="645"/>
      <c r="B342" s="656"/>
      <c r="C342" s="641"/>
      <c r="D342" s="652"/>
      <c r="E342" s="648"/>
      <c r="F342" s="652" t="s">
        <v>501</v>
      </c>
      <c r="G342" s="612">
        <f t="shared" si="471"/>
        <v>96</v>
      </c>
      <c r="H342" s="648">
        <v>96</v>
      </c>
      <c r="I342" s="648"/>
      <c r="J342" s="648">
        <v>4.3499999999999996</v>
      </c>
      <c r="K342" s="648">
        <f t="shared" si="468"/>
        <v>0</v>
      </c>
      <c r="L342" s="641">
        <v>1</v>
      </c>
      <c r="M342" s="648"/>
      <c r="N342" s="648"/>
      <c r="O342" s="653"/>
      <c r="P342" s="648">
        <f>SUM(J342*H342)</f>
        <v>417.59999999999997</v>
      </c>
      <c r="Q342" s="648">
        <v>20</v>
      </c>
      <c r="R342" s="648">
        <f t="shared" si="472"/>
        <v>8351999.9999999991</v>
      </c>
      <c r="S342" s="648">
        <f t="shared" si="504"/>
        <v>8351999.9999999991</v>
      </c>
    </row>
    <row r="343" spans="1:19" x14ac:dyDescent="0.25">
      <c r="A343" s="645"/>
      <c r="B343" s="656"/>
      <c r="C343" s="641"/>
      <c r="D343" s="652"/>
      <c r="E343" s="648"/>
      <c r="F343" s="652" t="s">
        <v>501</v>
      </c>
      <c r="G343" s="612">
        <f t="shared" si="471"/>
        <v>65</v>
      </c>
      <c r="H343" s="648"/>
      <c r="I343" s="648">
        <v>65</v>
      </c>
      <c r="J343" s="648">
        <v>4.3499999999999996</v>
      </c>
      <c r="K343" s="648">
        <f t="shared" si="468"/>
        <v>3.4799999999999995</v>
      </c>
      <c r="L343" s="641">
        <v>0.2</v>
      </c>
      <c r="M343" s="648"/>
      <c r="N343" s="648"/>
      <c r="O343" s="653"/>
      <c r="P343" s="648">
        <f>SUM(L343*J343*I343)</f>
        <v>56.55</v>
      </c>
      <c r="Q343" s="648">
        <v>20</v>
      </c>
      <c r="R343" s="648">
        <f t="shared" si="472"/>
        <v>1131000</v>
      </c>
      <c r="S343" s="648">
        <f t="shared" si="504"/>
        <v>1131000</v>
      </c>
    </row>
    <row r="344" spans="1:19" s="595" customFormat="1" x14ac:dyDescent="0.25">
      <c r="A344" s="640"/>
      <c r="B344" s="652" t="s">
        <v>500</v>
      </c>
      <c r="C344" s="654"/>
      <c r="D344" s="644"/>
      <c r="E344" s="644">
        <f>SUM(E345:E346)</f>
        <v>2815</v>
      </c>
      <c r="F344" s="644">
        <f t="shared" ref="F344:S344" si="533">SUM(F345:F346)</f>
        <v>0</v>
      </c>
      <c r="G344" s="644">
        <f t="shared" si="533"/>
        <v>997.1</v>
      </c>
      <c r="H344" s="644">
        <f t="shared" si="533"/>
        <v>0</v>
      </c>
      <c r="I344" s="644">
        <f t="shared" si="533"/>
        <v>997.1</v>
      </c>
      <c r="J344" s="644">
        <f t="shared" si="533"/>
        <v>8.6999999999999993</v>
      </c>
      <c r="K344" s="644">
        <f t="shared" si="533"/>
        <v>6.7424999999999997</v>
      </c>
      <c r="L344" s="644">
        <f t="shared" si="533"/>
        <v>0.45</v>
      </c>
      <c r="M344" s="644">
        <f t="shared" si="533"/>
        <v>0</v>
      </c>
      <c r="N344" s="644">
        <f t="shared" si="533"/>
        <v>0</v>
      </c>
      <c r="O344" s="644">
        <f t="shared" si="533"/>
        <v>0</v>
      </c>
      <c r="P344" s="644">
        <f t="shared" si="533"/>
        <v>1080.4964999999997</v>
      </c>
      <c r="Q344" s="644">
        <f t="shared" si="533"/>
        <v>40</v>
      </c>
      <c r="R344" s="644">
        <f t="shared" si="533"/>
        <v>21609929.999999996</v>
      </c>
      <c r="S344" s="644">
        <f t="shared" si="533"/>
        <v>21609929.999999996</v>
      </c>
    </row>
    <row r="345" spans="1:19" x14ac:dyDescent="0.25">
      <c r="A345" s="645">
        <v>35</v>
      </c>
      <c r="C345" s="641"/>
      <c r="D345" s="652"/>
      <c r="E345" s="648">
        <v>2815</v>
      </c>
      <c r="F345" s="652" t="s">
        <v>586</v>
      </c>
      <c r="G345" s="612">
        <f t="shared" si="471"/>
        <v>979.4</v>
      </c>
      <c r="H345" s="648"/>
      <c r="I345" s="648">
        <v>979.4</v>
      </c>
      <c r="J345" s="648">
        <v>4.3499999999999996</v>
      </c>
      <c r="K345" s="648">
        <f t="shared" si="468"/>
        <v>3.2624999999999997</v>
      </c>
      <c r="L345" s="641">
        <v>0.25</v>
      </c>
      <c r="M345" s="648"/>
      <c r="N345" s="648"/>
      <c r="O345" s="653"/>
      <c r="P345" s="648">
        <f t="shared" ref="P345:P351" si="534">SUM(L345*J345*I345)</f>
        <v>1065.0974999999999</v>
      </c>
      <c r="Q345" s="648">
        <v>20</v>
      </c>
      <c r="R345" s="648">
        <f t="shared" si="472"/>
        <v>21301949.999999996</v>
      </c>
      <c r="S345" s="648">
        <f t="shared" si="504"/>
        <v>21301949.999999996</v>
      </c>
    </row>
    <row r="346" spans="1:19" x14ac:dyDescent="0.25">
      <c r="A346" s="645"/>
      <c r="B346" s="656"/>
      <c r="C346" s="641"/>
      <c r="D346" s="652"/>
      <c r="E346" s="648"/>
      <c r="F346" s="652" t="s">
        <v>474</v>
      </c>
      <c r="G346" s="612">
        <f t="shared" si="471"/>
        <v>17.7</v>
      </c>
      <c r="H346" s="648"/>
      <c r="I346" s="648">
        <v>17.7</v>
      </c>
      <c r="J346" s="648">
        <v>4.3499999999999996</v>
      </c>
      <c r="K346" s="648">
        <f t="shared" si="468"/>
        <v>3.4799999999999995</v>
      </c>
      <c r="L346" s="641">
        <v>0.2</v>
      </c>
      <c r="M346" s="648"/>
      <c r="N346" s="648"/>
      <c r="O346" s="653"/>
      <c r="P346" s="648">
        <f t="shared" si="534"/>
        <v>15.398999999999999</v>
      </c>
      <c r="Q346" s="648">
        <v>20</v>
      </c>
      <c r="R346" s="648">
        <f t="shared" si="472"/>
        <v>307980</v>
      </c>
      <c r="S346" s="648">
        <f t="shared" si="504"/>
        <v>307980</v>
      </c>
    </row>
    <row r="347" spans="1:19" s="595" customFormat="1" x14ac:dyDescent="0.25">
      <c r="A347" s="640"/>
      <c r="B347" s="652" t="s">
        <v>476</v>
      </c>
      <c r="C347" s="654"/>
      <c r="D347" s="644"/>
      <c r="E347" s="644">
        <f>SUM(E348:E351)</f>
        <v>872</v>
      </c>
      <c r="F347" s="644">
        <f t="shared" ref="F347:S347" si="535">SUM(F348:F351)</f>
        <v>0</v>
      </c>
      <c r="G347" s="644">
        <f t="shared" si="535"/>
        <v>700</v>
      </c>
      <c r="H347" s="644">
        <f t="shared" si="535"/>
        <v>0</v>
      </c>
      <c r="I347" s="644">
        <f t="shared" si="535"/>
        <v>700</v>
      </c>
      <c r="J347" s="644">
        <f t="shared" si="535"/>
        <v>17.399999999999999</v>
      </c>
      <c r="K347" s="644">
        <f t="shared" si="535"/>
        <v>13.919999999999998</v>
      </c>
      <c r="L347" s="644">
        <f t="shared" si="535"/>
        <v>0.8</v>
      </c>
      <c r="M347" s="644">
        <f t="shared" si="535"/>
        <v>0</v>
      </c>
      <c r="N347" s="644">
        <f t="shared" si="535"/>
        <v>0</v>
      </c>
      <c r="O347" s="644">
        <f t="shared" si="535"/>
        <v>0</v>
      </c>
      <c r="P347" s="644">
        <f t="shared" si="535"/>
        <v>548.1</v>
      </c>
      <c r="Q347" s="644">
        <f t="shared" si="535"/>
        <v>80</v>
      </c>
      <c r="R347" s="644">
        <f t="shared" si="535"/>
        <v>10962000</v>
      </c>
      <c r="S347" s="644">
        <f t="shared" si="535"/>
        <v>10962000</v>
      </c>
    </row>
    <row r="348" spans="1:19" x14ac:dyDescent="0.25">
      <c r="A348" s="645">
        <v>36</v>
      </c>
      <c r="C348" s="641"/>
      <c r="D348" s="652"/>
      <c r="E348" s="648">
        <v>872</v>
      </c>
      <c r="F348" s="652" t="s">
        <v>487</v>
      </c>
      <c r="G348" s="612">
        <f t="shared" si="471"/>
        <v>140</v>
      </c>
      <c r="H348" s="648"/>
      <c r="I348" s="648">
        <v>140</v>
      </c>
      <c r="J348" s="648">
        <v>4.3499999999999996</v>
      </c>
      <c r="K348" s="648">
        <f t="shared" si="468"/>
        <v>3.9149999999999996</v>
      </c>
      <c r="L348" s="641">
        <v>0.1</v>
      </c>
      <c r="M348" s="648"/>
      <c r="N348" s="648"/>
      <c r="O348" s="653"/>
      <c r="P348" s="648">
        <f t="shared" si="534"/>
        <v>60.9</v>
      </c>
      <c r="Q348" s="648">
        <v>20</v>
      </c>
      <c r="R348" s="648">
        <f t="shared" si="472"/>
        <v>1218000</v>
      </c>
      <c r="S348" s="648">
        <f t="shared" si="504"/>
        <v>1218000</v>
      </c>
    </row>
    <row r="349" spans="1:19" x14ac:dyDescent="0.25">
      <c r="A349" s="645"/>
      <c r="B349" s="656"/>
      <c r="C349" s="641"/>
      <c r="D349" s="652"/>
      <c r="E349" s="648"/>
      <c r="F349" s="652" t="s">
        <v>504</v>
      </c>
      <c r="G349" s="612">
        <f t="shared" si="471"/>
        <v>250</v>
      </c>
      <c r="H349" s="648"/>
      <c r="I349" s="648">
        <v>250</v>
      </c>
      <c r="J349" s="648">
        <v>4.3499999999999996</v>
      </c>
      <c r="K349" s="648">
        <f t="shared" si="468"/>
        <v>3.9149999999999996</v>
      </c>
      <c r="L349" s="641">
        <v>0.1</v>
      </c>
      <c r="M349" s="648"/>
      <c r="N349" s="648"/>
      <c r="O349" s="653"/>
      <c r="P349" s="648">
        <f t="shared" si="534"/>
        <v>108.75</v>
      </c>
      <c r="Q349" s="648">
        <v>20</v>
      </c>
      <c r="R349" s="648">
        <f t="shared" si="472"/>
        <v>2175000</v>
      </c>
      <c r="S349" s="648">
        <f t="shared" si="504"/>
        <v>2175000</v>
      </c>
    </row>
    <row r="350" spans="1:19" x14ac:dyDescent="0.25">
      <c r="A350" s="645"/>
      <c r="B350" s="656"/>
      <c r="C350" s="641"/>
      <c r="D350" s="652"/>
      <c r="E350" s="648"/>
      <c r="F350" s="652" t="s">
        <v>501</v>
      </c>
      <c r="G350" s="612">
        <f t="shared" si="471"/>
        <v>170</v>
      </c>
      <c r="H350" s="648"/>
      <c r="I350" s="648">
        <v>170</v>
      </c>
      <c r="J350" s="648">
        <v>4.3499999999999996</v>
      </c>
      <c r="K350" s="648">
        <f t="shared" si="468"/>
        <v>3.9149999999999996</v>
      </c>
      <c r="L350" s="641">
        <v>0.1</v>
      </c>
      <c r="M350" s="648"/>
      <c r="N350" s="648"/>
      <c r="O350" s="653"/>
      <c r="P350" s="648">
        <f t="shared" si="534"/>
        <v>73.95</v>
      </c>
      <c r="Q350" s="648">
        <v>20</v>
      </c>
      <c r="R350" s="648">
        <f t="shared" si="472"/>
        <v>1479000</v>
      </c>
      <c r="S350" s="648">
        <f t="shared" si="504"/>
        <v>1479000</v>
      </c>
    </row>
    <row r="351" spans="1:19" x14ac:dyDescent="0.25">
      <c r="A351" s="645"/>
      <c r="B351" s="656"/>
      <c r="C351" s="641"/>
      <c r="D351" s="652"/>
      <c r="E351" s="648"/>
      <c r="F351" s="652" t="s">
        <v>481</v>
      </c>
      <c r="G351" s="612">
        <f t="shared" si="471"/>
        <v>140</v>
      </c>
      <c r="H351" s="648"/>
      <c r="I351" s="648">
        <v>140</v>
      </c>
      <c r="J351" s="648">
        <v>4.3499999999999996</v>
      </c>
      <c r="K351" s="648">
        <f t="shared" si="468"/>
        <v>2.1749999999999998</v>
      </c>
      <c r="L351" s="641">
        <v>0.5</v>
      </c>
      <c r="M351" s="648"/>
      <c r="N351" s="648"/>
      <c r="O351" s="653"/>
      <c r="P351" s="648">
        <f t="shared" si="534"/>
        <v>304.5</v>
      </c>
      <c r="Q351" s="648">
        <v>20</v>
      </c>
      <c r="R351" s="648">
        <f t="shared" si="472"/>
        <v>6090000</v>
      </c>
      <c r="S351" s="648">
        <f t="shared" si="504"/>
        <v>6090000</v>
      </c>
    </row>
    <row r="352" spans="1:19" x14ac:dyDescent="0.25">
      <c r="A352" s="645"/>
      <c r="B352" s="656" t="s">
        <v>646</v>
      </c>
      <c r="C352" s="641"/>
      <c r="D352" s="652"/>
      <c r="E352" s="648"/>
      <c r="F352" s="652"/>
      <c r="G352" s="612"/>
      <c r="H352" s="648"/>
      <c r="I352" s="648"/>
      <c r="J352" s="648"/>
      <c r="K352" s="648">
        <f t="shared" si="468"/>
        <v>0</v>
      </c>
      <c r="L352" s="641"/>
      <c r="M352" s="648"/>
      <c r="N352" s="648"/>
      <c r="O352" s="653"/>
      <c r="P352" s="648">
        <f t="shared" si="528"/>
        <v>0</v>
      </c>
      <c r="Q352" s="648"/>
      <c r="R352" s="648">
        <f t="shared" si="472"/>
        <v>0</v>
      </c>
      <c r="S352" s="648">
        <f t="shared" si="504"/>
        <v>0</v>
      </c>
    </row>
    <row r="353" spans="1:19" s="595" customFormat="1" x14ac:dyDescent="0.25">
      <c r="A353" s="640"/>
      <c r="B353" s="652" t="s">
        <v>516</v>
      </c>
      <c r="C353" s="654"/>
      <c r="D353" s="644"/>
      <c r="E353" s="644">
        <f>SUM(E354:E356)</f>
        <v>4990</v>
      </c>
      <c r="F353" s="644">
        <f t="shared" ref="F353:S353" si="536">SUM(F354:F356)</f>
        <v>0</v>
      </c>
      <c r="G353" s="644">
        <f t="shared" si="536"/>
        <v>2516</v>
      </c>
      <c r="H353" s="644">
        <f t="shared" si="536"/>
        <v>0</v>
      </c>
      <c r="I353" s="644">
        <f t="shared" si="536"/>
        <v>2516</v>
      </c>
      <c r="J353" s="644">
        <f t="shared" si="536"/>
        <v>13.049999999999999</v>
      </c>
      <c r="K353" s="644">
        <f t="shared" si="536"/>
        <v>8.4824999999999982</v>
      </c>
      <c r="L353" s="644">
        <f t="shared" si="536"/>
        <v>1.0499999999999998</v>
      </c>
      <c r="M353" s="644">
        <f t="shared" si="536"/>
        <v>0</v>
      </c>
      <c r="N353" s="644">
        <f t="shared" si="536"/>
        <v>0</v>
      </c>
      <c r="O353" s="644">
        <f t="shared" si="536"/>
        <v>0</v>
      </c>
      <c r="P353" s="644">
        <f t="shared" si="536"/>
        <v>3830.6099999999992</v>
      </c>
      <c r="Q353" s="644">
        <f t="shared" si="536"/>
        <v>60</v>
      </c>
      <c r="R353" s="644">
        <f t="shared" si="536"/>
        <v>76612199.999999985</v>
      </c>
      <c r="S353" s="644">
        <f t="shared" si="536"/>
        <v>76612199.999999985</v>
      </c>
    </row>
    <row r="354" spans="1:19" x14ac:dyDescent="0.25">
      <c r="A354" s="645">
        <v>37</v>
      </c>
      <c r="C354" s="641"/>
      <c r="D354" s="652"/>
      <c r="E354" s="648">
        <v>4990</v>
      </c>
      <c r="F354" s="652" t="s">
        <v>487</v>
      </c>
      <c r="G354" s="612">
        <f t="shared" si="471"/>
        <v>1005</v>
      </c>
      <c r="H354" s="648"/>
      <c r="I354" s="648">
        <v>1005</v>
      </c>
      <c r="J354" s="648">
        <v>4.3499999999999996</v>
      </c>
      <c r="K354" s="648">
        <f t="shared" si="468"/>
        <v>2.8274999999999997</v>
      </c>
      <c r="L354" s="641">
        <v>0.35</v>
      </c>
      <c r="M354" s="648"/>
      <c r="N354" s="648"/>
      <c r="O354" s="653"/>
      <c r="P354" s="648">
        <f t="shared" si="528"/>
        <v>1530.1124999999997</v>
      </c>
      <c r="Q354" s="648">
        <v>20</v>
      </c>
      <c r="R354" s="648">
        <f t="shared" si="472"/>
        <v>30602249.999999996</v>
      </c>
      <c r="S354" s="648">
        <f t="shared" si="504"/>
        <v>30602249.999999996</v>
      </c>
    </row>
    <row r="355" spans="1:19" x14ac:dyDescent="0.25">
      <c r="A355" s="645"/>
      <c r="B355" s="656"/>
      <c r="C355" s="641"/>
      <c r="D355" s="652"/>
      <c r="E355" s="648"/>
      <c r="F355" s="652" t="s">
        <v>615</v>
      </c>
      <c r="G355" s="612">
        <f t="shared" si="471"/>
        <v>879</v>
      </c>
      <c r="H355" s="648"/>
      <c r="I355" s="648">
        <v>879</v>
      </c>
      <c r="J355" s="648">
        <v>4.3499999999999996</v>
      </c>
      <c r="K355" s="648">
        <f t="shared" si="468"/>
        <v>2.8274999999999997</v>
      </c>
      <c r="L355" s="641">
        <v>0.35</v>
      </c>
      <c r="M355" s="648"/>
      <c r="N355" s="648"/>
      <c r="O355" s="653"/>
      <c r="P355" s="648">
        <f t="shared" si="528"/>
        <v>1338.2774999999997</v>
      </c>
      <c r="Q355" s="648">
        <v>20</v>
      </c>
      <c r="R355" s="648">
        <f t="shared" si="472"/>
        <v>26765549.999999996</v>
      </c>
      <c r="S355" s="648">
        <f t="shared" si="504"/>
        <v>26765549.999999996</v>
      </c>
    </row>
    <row r="356" spans="1:19" x14ac:dyDescent="0.25">
      <c r="A356" s="645"/>
      <c r="B356" s="656"/>
      <c r="C356" s="641"/>
      <c r="D356" s="652"/>
      <c r="E356" s="648"/>
      <c r="F356" s="652" t="s">
        <v>647</v>
      </c>
      <c r="G356" s="612">
        <f t="shared" si="471"/>
        <v>632</v>
      </c>
      <c r="H356" s="648"/>
      <c r="I356" s="648">
        <v>632</v>
      </c>
      <c r="J356" s="648">
        <v>4.3499999999999996</v>
      </c>
      <c r="K356" s="648">
        <f t="shared" si="468"/>
        <v>2.8274999999999997</v>
      </c>
      <c r="L356" s="641">
        <v>0.35</v>
      </c>
      <c r="M356" s="648"/>
      <c r="N356" s="648"/>
      <c r="O356" s="653"/>
      <c r="P356" s="648">
        <f t="shared" si="528"/>
        <v>962.2199999999998</v>
      </c>
      <c r="Q356" s="648">
        <v>20</v>
      </c>
      <c r="R356" s="648">
        <f t="shared" si="472"/>
        <v>19244399.999999996</v>
      </c>
      <c r="S356" s="648">
        <f t="shared" si="504"/>
        <v>19244399.999999996</v>
      </c>
    </row>
    <row r="357" spans="1:19" s="595" customFormat="1" x14ac:dyDescent="0.25">
      <c r="A357" s="640"/>
      <c r="B357" s="652" t="s">
        <v>519</v>
      </c>
      <c r="C357" s="654"/>
      <c r="D357" s="644"/>
      <c r="E357" s="644">
        <f>SUM(E358:E360)</f>
        <v>12761</v>
      </c>
      <c r="F357" s="644">
        <f t="shared" ref="F357:S357" si="537">SUM(F358:F360)</f>
        <v>0</v>
      </c>
      <c r="G357" s="644">
        <f t="shared" si="537"/>
        <v>6819</v>
      </c>
      <c r="H357" s="644">
        <f t="shared" si="537"/>
        <v>0</v>
      </c>
      <c r="I357" s="644">
        <f t="shared" si="537"/>
        <v>6819</v>
      </c>
      <c r="J357" s="644">
        <f t="shared" si="537"/>
        <v>13.049999999999999</v>
      </c>
      <c r="K357" s="644">
        <f t="shared" si="537"/>
        <v>10.004999999999999</v>
      </c>
      <c r="L357" s="644">
        <f t="shared" si="537"/>
        <v>0.7</v>
      </c>
      <c r="M357" s="644">
        <f t="shared" si="537"/>
        <v>0</v>
      </c>
      <c r="N357" s="644">
        <f t="shared" si="537"/>
        <v>0</v>
      </c>
      <c r="O357" s="644">
        <f t="shared" si="537"/>
        <v>0</v>
      </c>
      <c r="P357" s="644">
        <f t="shared" si="537"/>
        <v>7672.0949999999993</v>
      </c>
      <c r="Q357" s="644">
        <f t="shared" si="537"/>
        <v>60</v>
      </c>
      <c r="R357" s="644">
        <f t="shared" si="537"/>
        <v>153441900</v>
      </c>
      <c r="S357" s="644">
        <f t="shared" si="537"/>
        <v>153441900</v>
      </c>
    </row>
    <row r="358" spans="1:19" x14ac:dyDescent="0.25">
      <c r="A358" s="645">
        <v>38</v>
      </c>
      <c r="C358" s="641"/>
      <c r="D358" s="652"/>
      <c r="E358" s="648">
        <v>12761</v>
      </c>
      <c r="F358" s="652" t="s">
        <v>504</v>
      </c>
      <c r="G358" s="612">
        <f t="shared" si="471"/>
        <v>3999</v>
      </c>
      <c r="H358" s="648"/>
      <c r="I358" s="648">
        <v>3999</v>
      </c>
      <c r="J358" s="648">
        <v>4.3499999999999996</v>
      </c>
      <c r="K358" s="648">
        <f t="shared" si="468"/>
        <v>3.0449999999999999</v>
      </c>
      <c r="L358" s="641">
        <v>0.3</v>
      </c>
      <c r="M358" s="648"/>
      <c r="N358" s="648"/>
      <c r="O358" s="653"/>
      <c r="P358" s="648">
        <f t="shared" si="528"/>
        <v>5218.6949999999997</v>
      </c>
      <c r="Q358" s="648">
        <v>20</v>
      </c>
      <c r="R358" s="648">
        <f t="shared" si="472"/>
        <v>104373900</v>
      </c>
      <c r="S358" s="648">
        <f t="shared" si="504"/>
        <v>104373900</v>
      </c>
    </row>
    <row r="359" spans="1:19" x14ac:dyDescent="0.25">
      <c r="A359" s="645"/>
      <c r="B359" s="656"/>
      <c r="C359" s="641"/>
      <c r="D359" s="652"/>
      <c r="E359" s="648"/>
      <c r="F359" s="652" t="s">
        <v>474</v>
      </c>
      <c r="G359" s="612">
        <f t="shared" si="471"/>
        <v>2000</v>
      </c>
      <c r="H359" s="648"/>
      <c r="I359" s="648">
        <v>2000</v>
      </c>
      <c r="J359" s="648">
        <v>4.3499999999999996</v>
      </c>
      <c r="K359" s="648">
        <f t="shared" si="468"/>
        <v>3.4799999999999995</v>
      </c>
      <c r="L359" s="641">
        <v>0.2</v>
      </c>
      <c r="M359" s="648"/>
      <c r="N359" s="648"/>
      <c r="O359" s="653"/>
      <c r="P359" s="648">
        <f t="shared" si="528"/>
        <v>1740</v>
      </c>
      <c r="Q359" s="648">
        <v>20</v>
      </c>
      <c r="R359" s="648">
        <f t="shared" si="472"/>
        <v>34800000</v>
      </c>
      <c r="S359" s="648">
        <f t="shared" si="504"/>
        <v>34800000</v>
      </c>
    </row>
    <row r="360" spans="1:19" x14ac:dyDescent="0.25">
      <c r="A360" s="645"/>
      <c r="B360" s="656"/>
      <c r="C360" s="641"/>
      <c r="D360" s="652"/>
      <c r="E360" s="648"/>
      <c r="F360" s="652" t="s">
        <v>481</v>
      </c>
      <c r="G360" s="612">
        <f t="shared" si="471"/>
        <v>820</v>
      </c>
      <c r="H360" s="648"/>
      <c r="I360" s="648">
        <v>820</v>
      </c>
      <c r="J360" s="648">
        <v>4.3499999999999996</v>
      </c>
      <c r="K360" s="648">
        <f t="shared" si="468"/>
        <v>3.4799999999999995</v>
      </c>
      <c r="L360" s="641">
        <v>0.2</v>
      </c>
      <c r="M360" s="648"/>
      <c r="N360" s="648"/>
      <c r="O360" s="653"/>
      <c r="P360" s="648">
        <f t="shared" si="528"/>
        <v>713.4</v>
      </c>
      <c r="Q360" s="648">
        <v>20</v>
      </c>
      <c r="R360" s="648">
        <f t="shared" si="472"/>
        <v>14268000</v>
      </c>
      <c r="S360" s="648">
        <f t="shared" si="504"/>
        <v>14268000</v>
      </c>
    </row>
    <row r="361" spans="1:19" s="595" customFormat="1" x14ac:dyDescent="0.25">
      <c r="A361" s="640"/>
      <c r="B361" s="652" t="s">
        <v>520</v>
      </c>
      <c r="C361" s="654"/>
      <c r="D361" s="644"/>
      <c r="E361" s="644">
        <f>SUM(E362:E370)</f>
        <v>3431</v>
      </c>
      <c r="F361" s="644">
        <f t="shared" ref="F361:S361" si="538">SUM(F362:F370)</f>
        <v>0</v>
      </c>
      <c r="G361" s="644">
        <f t="shared" si="538"/>
        <v>912.5</v>
      </c>
      <c r="H361" s="644">
        <f t="shared" si="538"/>
        <v>16</v>
      </c>
      <c r="I361" s="644">
        <f t="shared" si="538"/>
        <v>896.5</v>
      </c>
      <c r="J361" s="644">
        <f t="shared" si="538"/>
        <v>39.150000000000006</v>
      </c>
      <c r="K361" s="644">
        <f t="shared" si="538"/>
        <v>16.965</v>
      </c>
      <c r="L361" s="644">
        <f t="shared" si="538"/>
        <v>5.1000000000000005</v>
      </c>
      <c r="M361" s="644">
        <f t="shared" si="538"/>
        <v>0</v>
      </c>
      <c r="N361" s="644">
        <f t="shared" si="538"/>
        <v>52457</v>
      </c>
      <c r="O361" s="644">
        <f t="shared" si="538"/>
        <v>151223.25</v>
      </c>
      <c r="P361" s="644">
        <f t="shared" si="538"/>
        <v>944.40674999999987</v>
      </c>
      <c r="Q361" s="644">
        <f t="shared" si="538"/>
        <v>140</v>
      </c>
      <c r="R361" s="644">
        <f t="shared" si="538"/>
        <v>18888135</v>
      </c>
      <c r="S361" s="644">
        <f t="shared" si="538"/>
        <v>19039358.25</v>
      </c>
    </row>
    <row r="362" spans="1:19" x14ac:dyDescent="0.25">
      <c r="A362" s="645">
        <v>39</v>
      </c>
      <c r="C362" s="641"/>
      <c r="D362" s="652"/>
      <c r="E362" s="648">
        <v>3431</v>
      </c>
      <c r="F362" s="652" t="s">
        <v>482</v>
      </c>
      <c r="G362" s="612">
        <f t="shared" si="471"/>
        <v>5</v>
      </c>
      <c r="H362" s="648">
        <v>5</v>
      </c>
      <c r="I362" s="648"/>
      <c r="J362" s="648">
        <v>4.3499999999999996</v>
      </c>
      <c r="K362" s="648">
        <f t="shared" si="468"/>
        <v>0</v>
      </c>
      <c r="L362" s="641">
        <v>1</v>
      </c>
      <c r="M362" s="648"/>
      <c r="N362" s="648">
        <v>3000</v>
      </c>
      <c r="O362" s="653">
        <f>SUM(L362*H362*N362)</f>
        <v>15000</v>
      </c>
      <c r="P362" s="648">
        <f t="shared" si="528"/>
        <v>0</v>
      </c>
      <c r="Q362" s="648"/>
      <c r="R362" s="648">
        <f t="shared" si="472"/>
        <v>0</v>
      </c>
      <c r="S362" s="648">
        <f t="shared" si="504"/>
        <v>15000</v>
      </c>
    </row>
    <row r="363" spans="1:19" x14ac:dyDescent="0.25">
      <c r="A363" s="645"/>
      <c r="B363" s="656"/>
      <c r="C363" s="641"/>
      <c r="D363" s="652"/>
      <c r="E363" s="648"/>
      <c r="F363" s="652" t="s">
        <v>625</v>
      </c>
      <c r="G363" s="612">
        <f t="shared" si="471"/>
        <v>3</v>
      </c>
      <c r="H363" s="648">
        <v>3</v>
      </c>
      <c r="I363" s="648"/>
      <c r="J363" s="648">
        <v>4.3499999999999996</v>
      </c>
      <c r="K363" s="648">
        <f t="shared" si="468"/>
        <v>0</v>
      </c>
      <c r="L363" s="641">
        <v>1</v>
      </c>
      <c r="M363" s="648"/>
      <c r="N363" s="648">
        <v>22462</v>
      </c>
      <c r="O363" s="653">
        <f>SUM(L363*H363*N363)</f>
        <v>67386</v>
      </c>
      <c r="P363" s="648">
        <f t="shared" si="528"/>
        <v>0</v>
      </c>
      <c r="Q363" s="648"/>
      <c r="R363" s="648">
        <f t="shared" si="472"/>
        <v>0</v>
      </c>
      <c r="S363" s="648">
        <f t="shared" si="504"/>
        <v>67386</v>
      </c>
    </row>
    <row r="364" spans="1:19" x14ac:dyDescent="0.25">
      <c r="A364" s="645"/>
      <c r="B364" s="656"/>
      <c r="C364" s="641"/>
      <c r="D364" s="652"/>
      <c r="E364" s="648"/>
      <c r="F364" s="652" t="s">
        <v>539</v>
      </c>
      <c r="G364" s="612">
        <f t="shared" si="471"/>
        <v>17</v>
      </c>
      <c r="H364" s="648"/>
      <c r="I364" s="648">
        <v>17</v>
      </c>
      <c r="J364" s="648">
        <v>4.3499999999999996</v>
      </c>
      <c r="K364" s="648">
        <f t="shared" si="468"/>
        <v>3.6974999999999998</v>
      </c>
      <c r="L364" s="641">
        <v>0.15</v>
      </c>
      <c r="M364" s="648"/>
      <c r="N364" s="648">
        <v>26995</v>
      </c>
      <c r="O364" s="653">
        <f>SUM(N364*L364*I364)</f>
        <v>68837.25</v>
      </c>
      <c r="P364" s="648">
        <f t="shared" si="528"/>
        <v>11.092499999999999</v>
      </c>
      <c r="Q364" s="648">
        <v>20</v>
      </c>
      <c r="R364" s="648">
        <f t="shared" si="472"/>
        <v>221850</v>
      </c>
      <c r="S364" s="648">
        <f t="shared" si="504"/>
        <v>290687.25</v>
      </c>
    </row>
    <row r="365" spans="1:19" x14ac:dyDescent="0.25">
      <c r="A365" s="645"/>
      <c r="B365" s="656"/>
      <c r="C365" s="641"/>
      <c r="D365" s="652"/>
      <c r="E365" s="648"/>
      <c r="F365" s="652" t="s">
        <v>586</v>
      </c>
      <c r="G365" s="612">
        <f t="shared" si="471"/>
        <v>211.1</v>
      </c>
      <c r="H365" s="648"/>
      <c r="I365" s="648">
        <v>211.1</v>
      </c>
      <c r="J365" s="648">
        <v>4.3499999999999996</v>
      </c>
      <c r="K365" s="648">
        <f t="shared" si="468"/>
        <v>3.4799999999999995</v>
      </c>
      <c r="L365" s="641">
        <v>0.2</v>
      </c>
      <c r="M365" s="648"/>
      <c r="N365" s="648"/>
      <c r="O365" s="653"/>
      <c r="P365" s="648">
        <f t="shared" si="528"/>
        <v>183.65699999999998</v>
      </c>
      <c r="Q365" s="648">
        <v>20</v>
      </c>
      <c r="R365" s="648">
        <f t="shared" si="472"/>
        <v>3673139.9999999995</v>
      </c>
      <c r="S365" s="648">
        <f t="shared" si="504"/>
        <v>3673139.9999999995</v>
      </c>
    </row>
    <row r="366" spans="1:19" x14ac:dyDescent="0.25">
      <c r="A366" s="645"/>
      <c r="B366" s="656"/>
      <c r="C366" s="641"/>
      <c r="D366" s="652"/>
      <c r="E366" s="648"/>
      <c r="F366" s="652" t="s">
        <v>504</v>
      </c>
      <c r="G366" s="612">
        <f t="shared" si="471"/>
        <v>7.5</v>
      </c>
      <c r="H366" s="648">
        <v>7.5</v>
      </c>
      <c r="I366" s="648"/>
      <c r="J366" s="648">
        <v>4.3499999999999996</v>
      </c>
      <c r="K366" s="648">
        <f t="shared" si="468"/>
        <v>0</v>
      </c>
      <c r="L366" s="641">
        <v>1</v>
      </c>
      <c r="M366" s="648"/>
      <c r="N366" s="648"/>
      <c r="O366" s="653"/>
      <c r="P366" s="648">
        <f>SUM(L366*J366*H366)</f>
        <v>32.625</v>
      </c>
      <c r="Q366" s="648">
        <v>20</v>
      </c>
      <c r="R366" s="648">
        <f t="shared" si="472"/>
        <v>652500</v>
      </c>
      <c r="S366" s="648">
        <f t="shared" si="504"/>
        <v>652500</v>
      </c>
    </row>
    <row r="367" spans="1:19" x14ac:dyDescent="0.25">
      <c r="A367" s="645"/>
      <c r="B367" s="656"/>
      <c r="C367" s="641"/>
      <c r="D367" s="652"/>
      <c r="E367" s="648"/>
      <c r="F367" s="652" t="s">
        <v>504</v>
      </c>
      <c r="G367" s="612">
        <f t="shared" si="471"/>
        <v>181.7</v>
      </c>
      <c r="H367" s="648"/>
      <c r="I367" s="648">
        <v>181.7</v>
      </c>
      <c r="J367" s="648">
        <v>4.3499999999999996</v>
      </c>
      <c r="K367" s="648">
        <f t="shared" si="468"/>
        <v>3.0449999999999999</v>
      </c>
      <c r="L367" s="641">
        <v>0.3</v>
      </c>
      <c r="M367" s="648"/>
      <c r="N367" s="648"/>
      <c r="O367" s="653"/>
      <c r="P367" s="648">
        <f t="shared" si="528"/>
        <v>237.11849999999998</v>
      </c>
      <c r="Q367" s="648">
        <v>20</v>
      </c>
      <c r="R367" s="648">
        <f t="shared" si="472"/>
        <v>4742369.9999999991</v>
      </c>
      <c r="S367" s="648">
        <f t="shared" si="504"/>
        <v>4742369.9999999991</v>
      </c>
    </row>
    <row r="368" spans="1:19" x14ac:dyDescent="0.25">
      <c r="A368" s="645"/>
      <c r="B368" s="656"/>
      <c r="C368" s="641"/>
      <c r="D368" s="652"/>
      <c r="E368" s="648"/>
      <c r="F368" s="652" t="s">
        <v>512</v>
      </c>
      <c r="G368" s="612">
        <f t="shared" si="471"/>
        <v>249.7</v>
      </c>
      <c r="H368" s="648"/>
      <c r="I368" s="648">
        <v>249.7</v>
      </c>
      <c r="J368" s="648">
        <v>4.3499999999999996</v>
      </c>
      <c r="K368" s="648">
        <f t="shared" si="468"/>
        <v>3.2624999999999997</v>
      </c>
      <c r="L368" s="641">
        <v>0.25</v>
      </c>
      <c r="M368" s="648"/>
      <c r="N368" s="648"/>
      <c r="O368" s="653"/>
      <c r="P368" s="648">
        <f t="shared" si="528"/>
        <v>271.54874999999998</v>
      </c>
      <c r="Q368" s="648">
        <v>20</v>
      </c>
      <c r="R368" s="648">
        <f t="shared" si="472"/>
        <v>5430975</v>
      </c>
      <c r="S368" s="648">
        <f t="shared" si="504"/>
        <v>5430975</v>
      </c>
    </row>
    <row r="369" spans="1:19" x14ac:dyDescent="0.25">
      <c r="A369" s="645"/>
      <c r="B369" s="656"/>
      <c r="C369" s="641"/>
      <c r="D369" s="652"/>
      <c r="E369" s="648"/>
      <c r="F369" s="652" t="s">
        <v>512</v>
      </c>
      <c r="G369" s="612">
        <f t="shared" si="471"/>
        <v>0.5</v>
      </c>
      <c r="H369" s="648">
        <v>0.5</v>
      </c>
      <c r="I369" s="648"/>
      <c r="J369" s="648">
        <v>4.3499999999999996</v>
      </c>
      <c r="K369" s="648">
        <f t="shared" si="468"/>
        <v>0</v>
      </c>
      <c r="L369" s="641">
        <v>1</v>
      </c>
      <c r="M369" s="648"/>
      <c r="N369" s="648"/>
      <c r="O369" s="653"/>
      <c r="P369" s="648">
        <f>SUM(L369*J369*H369)</f>
        <v>2.1749999999999998</v>
      </c>
      <c r="Q369" s="648">
        <v>20</v>
      </c>
      <c r="R369" s="648">
        <f t="shared" si="472"/>
        <v>43500</v>
      </c>
      <c r="S369" s="648">
        <f t="shared" si="504"/>
        <v>43500</v>
      </c>
    </row>
    <row r="370" spans="1:19" x14ac:dyDescent="0.25">
      <c r="A370" s="645"/>
      <c r="B370" s="656"/>
      <c r="C370" s="641"/>
      <c r="D370" s="652"/>
      <c r="E370" s="648"/>
      <c r="F370" s="652" t="s">
        <v>474</v>
      </c>
      <c r="G370" s="612">
        <f t="shared" si="471"/>
        <v>237</v>
      </c>
      <c r="H370" s="648"/>
      <c r="I370" s="648">
        <v>237</v>
      </c>
      <c r="J370" s="648">
        <v>4.3499999999999996</v>
      </c>
      <c r="K370" s="648">
        <f t="shared" si="468"/>
        <v>3.4799999999999995</v>
      </c>
      <c r="L370" s="641">
        <v>0.2</v>
      </c>
      <c r="M370" s="648"/>
      <c r="N370" s="648"/>
      <c r="O370" s="653"/>
      <c r="P370" s="648">
        <f t="shared" si="528"/>
        <v>206.19</v>
      </c>
      <c r="Q370" s="648">
        <v>20</v>
      </c>
      <c r="R370" s="648">
        <f t="shared" si="472"/>
        <v>4123800</v>
      </c>
      <c r="S370" s="648">
        <f t="shared" si="504"/>
        <v>4123800</v>
      </c>
    </row>
    <row r="371" spans="1:19" s="595" customFormat="1" x14ac:dyDescent="0.25">
      <c r="A371" s="640"/>
      <c r="B371" s="652" t="s">
        <v>648</v>
      </c>
      <c r="C371" s="654"/>
      <c r="D371" s="644"/>
      <c r="E371" s="644">
        <f>SUM(E372:E374)</f>
        <v>4045</v>
      </c>
      <c r="F371" s="644">
        <f t="shared" ref="F371:S371" si="539">SUM(F372:F374)</f>
        <v>0</v>
      </c>
      <c r="G371" s="644">
        <f t="shared" si="539"/>
        <v>575</v>
      </c>
      <c r="H371" s="644">
        <f t="shared" si="539"/>
        <v>0</v>
      </c>
      <c r="I371" s="644">
        <f t="shared" si="539"/>
        <v>575</v>
      </c>
      <c r="J371" s="644">
        <f t="shared" si="539"/>
        <v>13.049999999999999</v>
      </c>
      <c r="K371" s="644">
        <f t="shared" si="539"/>
        <v>9.3524999999999991</v>
      </c>
      <c r="L371" s="644">
        <f t="shared" si="539"/>
        <v>0.85</v>
      </c>
      <c r="M371" s="644">
        <f t="shared" si="539"/>
        <v>0</v>
      </c>
      <c r="N371" s="644">
        <f t="shared" si="539"/>
        <v>0</v>
      </c>
      <c r="O371" s="644">
        <f t="shared" si="539"/>
        <v>0</v>
      </c>
      <c r="P371" s="644">
        <f t="shared" si="539"/>
        <v>717.75</v>
      </c>
      <c r="Q371" s="644">
        <f t="shared" si="539"/>
        <v>60</v>
      </c>
      <c r="R371" s="644">
        <f t="shared" si="539"/>
        <v>14355000</v>
      </c>
      <c r="S371" s="644">
        <f t="shared" si="539"/>
        <v>14355000</v>
      </c>
    </row>
    <row r="372" spans="1:19" x14ac:dyDescent="0.25">
      <c r="A372" s="645">
        <v>40</v>
      </c>
      <c r="C372" s="641"/>
      <c r="D372" s="652"/>
      <c r="E372" s="648">
        <v>4045</v>
      </c>
      <c r="F372" s="652" t="s">
        <v>504</v>
      </c>
      <c r="G372" s="612">
        <f t="shared" si="471"/>
        <v>175</v>
      </c>
      <c r="H372" s="648"/>
      <c r="I372" s="648">
        <v>175</v>
      </c>
      <c r="J372" s="648">
        <v>4.3499999999999996</v>
      </c>
      <c r="K372" s="648">
        <f t="shared" si="468"/>
        <v>3.0449999999999999</v>
      </c>
      <c r="L372" s="641">
        <v>0.3</v>
      </c>
      <c r="M372" s="648"/>
      <c r="N372" s="648"/>
      <c r="O372" s="653"/>
      <c r="P372" s="648">
        <f t="shared" si="528"/>
        <v>228.375</v>
      </c>
      <c r="Q372" s="648">
        <v>20</v>
      </c>
      <c r="R372" s="648">
        <f t="shared" si="472"/>
        <v>4567500</v>
      </c>
      <c r="S372" s="648">
        <f t="shared" si="504"/>
        <v>4567500</v>
      </c>
    </row>
    <row r="373" spans="1:19" x14ac:dyDescent="0.25">
      <c r="A373" s="645"/>
      <c r="B373" s="656"/>
      <c r="C373" s="641"/>
      <c r="D373" s="652"/>
      <c r="E373" s="648"/>
      <c r="F373" s="652" t="s">
        <v>611</v>
      </c>
      <c r="G373" s="612">
        <f t="shared" si="471"/>
        <v>250</v>
      </c>
      <c r="H373" s="648"/>
      <c r="I373" s="648">
        <v>250</v>
      </c>
      <c r="J373" s="648">
        <v>4.3499999999999996</v>
      </c>
      <c r="K373" s="648">
        <f t="shared" si="468"/>
        <v>3.0449999999999999</v>
      </c>
      <c r="L373" s="641">
        <v>0.3</v>
      </c>
      <c r="M373" s="648"/>
      <c r="N373" s="648"/>
      <c r="O373" s="653"/>
      <c r="P373" s="648">
        <f t="shared" si="528"/>
        <v>326.25</v>
      </c>
      <c r="Q373" s="648">
        <v>20</v>
      </c>
      <c r="R373" s="648">
        <f t="shared" si="472"/>
        <v>6525000</v>
      </c>
      <c r="S373" s="648">
        <f t="shared" si="504"/>
        <v>6525000</v>
      </c>
    </row>
    <row r="374" spans="1:19" x14ac:dyDescent="0.25">
      <c r="A374" s="645"/>
      <c r="B374" s="656"/>
      <c r="C374" s="641"/>
      <c r="D374" s="652"/>
      <c r="E374" s="648"/>
      <c r="F374" s="652" t="s">
        <v>484</v>
      </c>
      <c r="G374" s="612">
        <f t="shared" si="471"/>
        <v>150</v>
      </c>
      <c r="H374" s="648"/>
      <c r="I374" s="648">
        <v>150</v>
      </c>
      <c r="J374" s="648">
        <v>4.3499999999999996</v>
      </c>
      <c r="K374" s="648">
        <f t="shared" si="468"/>
        <v>3.2624999999999997</v>
      </c>
      <c r="L374" s="641">
        <v>0.25</v>
      </c>
      <c r="M374" s="648"/>
      <c r="N374" s="648"/>
      <c r="O374" s="653"/>
      <c r="P374" s="648">
        <f t="shared" si="528"/>
        <v>163.125</v>
      </c>
      <c r="Q374" s="648">
        <v>20</v>
      </c>
      <c r="R374" s="648">
        <f t="shared" si="472"/>
        <v>3262500</v>
      </c>
      <c r="S374" s="648">
        <f t="shared" si="504"/>
        <v>3262500</v>
      </c>
    </row>
    <row r="375" spans="1:19" s="595" customFormat="1" x14ac:dyDescent="0.25">
      <c r="A375" s="640"/>
      <c r="B375" s="652" t="s">
        <v>649</v>
      </c>
      <c r="C375" s="654"/>
      <c r="D375" s="644"/>
      <c r="E375" s="644">
        <f>SUM(E376:E379)</f>
        <v>4288</v>
      </c>
      <c r="F375" s="644">
        <f t="shared" ref="F375:S375" si="540">SUM(F376:F379)</f>
        <v>0</v>
      </c>
      <c r="G375" s="644">
        <f t="shared" si="540"/>
        <v>705.25</v>
      </c>
      <c r="H375" s="644">
        <f t="shared" si="540"/>
        <v>0</v>
      </c>
      <c r="I375" s="644">
        <f t="shared" si="540"/>
        <v>705.25</v>
      </c>
      <c r="J375" s="644">
        <f t="shared" si="540"/>
        <v>17.399999999999999</v>
      </c>
      <c r="K375" s="644">
        <f t="shared" si="540"/>
        <v>13.484999999999999</v>
      </c>
      <c r="L375" s="644">
        <f t="shared" si="540"/>
        <v>0.89999999999999991</v>
      </c>
      <c r="M375" s="644">
        <f t="shared" si="540"/>
        <v>0</v>
      </c>
      <c r="N375" s="644">
        <f t="shared" si="540"/>
        <v>0</v>
      </c>
      <c r="O375" s="644">
        <f t="shared" si="540"/>
        <v>0</v>
      </c>
      <c r="P375" s="644">
        <f t="shared" si="540"/>
        <v>761.46749999999997</v>
      </c>
      <c r="Q375" s="644">
        <f t="shared" si="540"/>
        <v>80</v>
      </c>
      <c r="R375" s="644">
        <f t="shared" si="540"/>
        <v>15229350</v>
      </c>
      <c r="S375" s="644">
        <f t="shared" si="540"/>
        <v>15229350</v>
      </c>
    </row>
    <row r="376" spans="1:19" x14ac:dyDescent="0.25">
      <c r="A376" s="645">
        <v>41</v>
      </c>
      <c r="C376" s="641"/>
      <c r="D376" s="652"/>
      <c r="E376" s="648">
        <v>4288</v>
      </c>
      <c r="F376" s="652" t="s">
        <v>504</v>
      </c>
      <c r="G376" s="612">
        <f t="shared" si="471"/>
        <v>340</v>
      </c>
      <c r="H376" s="648"/>
      <c r="I376" s="648">
        <v>340</v>
      </c>
      <c r="J376" s="648">
        <v>4.3499999999999996</v>
      </c>
      <c r="K376" s="648">
        <f t="shared" si="468"/>
        <v>3.0449999999999999</v>
      </c>
      <c r="L376" s="641">
        <v>0.3</v>
      </c>
      <c r="M376" s="648"/>
      <c r="N376" s="648"/>
      <c r="O376" s="653"/>
      <c r="P376" s="648">
        <f t="shared" si="528"/>
        <v>443.7</v>
      </c>
      <c r="Q376" s="648">
        <v>20</v>
      </c>
      <c r="R376" s="648">
        <f t="shared" si="472"/>
        <v>8874000</v>
      </c>
      <c r="S376" s="648">
        <f t="shared" si="504"/>
        <v>8874000</v>
      </c>
    </row>
    <row r="377" spans="1:19" x14ac:dyDescent="0.25">
      <c r="A377" s="645"/>
      <c r="B377" s="652"/>
      <c r="C377" s="641"/>
      <c r="D377" s="652"/>
      <c r="E377" s="648"/>
      <c r="F377" s="652" t="s">
        <v>497</v>
      </c>
      <c r="G377" s="612">
        <f t="shared" si="471"/>
        <v>126.75</v>
      </c>
      <c r="H377" s="648"/>
      <c r="I377" s="648">
        <v>126.75</v>
      </c>
      <c r="J377" s="648">
        <v>4.3499999999999996</v>
      </c>
      <c r="K377" s="648">
        <f t="shared" si="468"/>
        <v>3.4799999999999995</v>
      </c>
      <c r="L377" s="641">
        <v>0.2</v>
      </c>
      <c r="M377" s="648"/>
      <c r="N377" s="648"/>
      <c r="O377" s="653"/>
      <c r="P377" s="648">
        <f t="shared" si="528"/>
        <v>110.27249999999999</v>
      </c>
      <c r="Q377" s="648">
        <v>20</v>
      </c>
      <c r="R377" s="648">
        <f t="shared" si="472"/>
        <v>2205450</v>
      </c>
      <c r="S377" s="648">
        <f t="shared" si="504"/>
        <v>2205450</v>
      </c>
    </row>
    <row r="378" spans="1:19" x14ac:dyDescent="0.25">
      <c r="A378" s="645"/>
      <c r="B378" s="652"/>
      <c r="C378" s="641"/>
      <c r="D378" s="652"/>
      <c r="E378" s="648"/>
      <c r="F378" s="652" t="s">
        <v>650</v>
      </c>
      <c r="G378" s="612">
        <f t="shared" si="471"/>
        <v>192</v>
      </c>
      <c r="H378" s="648"/>
      <c r="I378" s="648">
        <v>192</v>
      </c>
      <c r="J378" s="648">
        <v>4.3499999999999996</v>
      </c>
      <c r="K378" s="648">
        <f t="shared" si="468"/>
        <v>3.4799999999999995</v>
      </c>
      <c r="L378" s="641">
        <v>0.2</v>
      </c>
      <c r="M378" s="648"/>
      <c r="N378" s="648"/>
      <c r="O378" s="653">
        <f>SUM(N378*L378*I378)</f>
        <v>0</v>
      </c>
      <c r="P378" s="648">
        <f t="shared" si="528"/>
        <v>167.04</v>
      </c>
      <c r="Q378" s="648">
        <v>20</v>
      </c>
      <c r="R378" s="648">
        <f t="shared" si="472"/>
        <v>3340800</v>
      </c>
      <c r="S378" s="648">
        <f t="shared" si="504"/>
        <v>3340800</v>
      </c>
    </row>
    <row r="379" spans="1:19" x14ac:dyDescent="0.25">
      <c r="A379" s="645"/>
      <c r="B379" s="652"/>
      <c r="C379" s="641"/>
      <c r="D379" s="652"/>
      <c r="E379" s="648"/>
      <c r="F379" s="652" t="s">
        <v>651</v>
      </c>
      <c r="G379" s="612">
        <f t="shared" si="471"/>
        <v>46.5</v>
      </c>
      <c r="H379" s="648"/>
      <c r="I379" s="648">
        <v>46.5</v>
      </c>
      <c r="J379" s="648">
        <v>4.3499999999999996</v>
      </c>
      <c r="K379" s="648">
        <f t="shared" si="468"/>
        <v>3.4799999999999995</v>
      </c>
      <c r="L379" s="641">
        <v>0.2</v>
      </c>
      <c r="M379" s="648"/>
      <c r="N379" s="648"/>
      <c r="O379" s="653"/>
      <c r="P379" s="648">
        <f t="shared" si="528"/>
        <v>40.454999999999998</v>
      </c>
      <c r="Q379" s="648">
        <v>20</v>
      </c>
      <c r="R379" s="648">
        <f t="shared" si="472"/>
        <v>809100</v>
      </c>
      <c r="S379" s="648">
        <f t="shared" si="504"/>
        <v>809100</v>
      </c>
    </row>
    <row r="380" spans="1:19" s="595" customFormat="1" x14ac:dyDescent="0.25">
      <c r="A380" s="640"/>
      <c r="B380" s="652" t="s">
        <v>511</v>
      </c>
      <c r="C380" s="654"/>
      <c r="D380" s="644"/>
      <c r="E380" s="644">
        <f>SUM(E381:E388)</f>
        <v>4424</v>
      </c>
      <c r="F380" s="644">
        <f t="shared" ref="F380:S380" si="541">SUM(F381:F388)</f>
        <v>0</v>
      </c>
      <c r="G380" s="644">
        <f t="shared" si="541"/>
        <v>2468.15</v>
      </c>
      <c r="H380" s="644">
        <f t="shared" si="541"/>
        <v>8.16</v>
      </c>
      <c r="I380" s="644">
        <f t="shared" si="541"/>
        <v>2459.9899999999998</v>
      </c>
      <c r="J380" s="644">
        <f t="shared" si="541"/>
        <v>34.800000000000004</v>
      </c>
      <c r="K380" s="644">
        <f t="shared" si="541"/>
        <v>24.577500000000001</v>
      </c>
      <c r="L380" s="644">
        <f t="shared" si="541"/>
        <v>2.3500000000000005</v>
      </c>
      <c r="M380" s="644">
        <f t="shared" si="541"/>
        <v>0</v>
      </c>
      <c r="N380" s="644">
        <f t="shared" si="541"/>
        <v>53990</v>
      </c>
      <c r="O380" s="644">
        <f t="shared" si="541"/>
        <v>220279.2</v>
      </c>
      <c r="P380" s="644">
        <f t="shared" si="541"/>
        <v>1625.7124499999995</v>
      </c>
      <c r="Q380" s="644">
        <f t="shared" si="541"/>
        <v>120</v>
      </c>
      <c r="R380" s="644">
        <f t="shared" si="541"/>
        <v>32514249</v>
      </c>
      <c r="S380" s="644">
        <f t="shared" si="541"/>
        <v>32734528.199999996</v>
      </c>
    </row>
    <row r="381" spans="1:19" x14ac:dyDescent="0.25">
      <c r="A381" s="645">
        <v>42</v>
      </c>
      <c r="C381" s="641"/>
      <c r="D381" s="652"/>
      <c r="E381" s="648">
        <v>4424</v>
      </c>
      <c r="F381" s="652" t="s">
        <v>588</v>
      </c>
      <c r="G381" s="612">
        <f t="shared" si="471"/>
        <v>7.5</v>
      </c>
      <c r="H381" s="648">
        <v>7.5</v>
      </c>
      <c r="I381" s="648"/>
      <c r="J381" s="648">
        <v>4.3499999999999996</v>
      </c>
      <c r="K381" s="648">
        <f t="shared" si="468"/>
        <v>0</v>
      </c>
      <c r="L381" s="641">
        <v>1</v>
      </c>
      <c r="M381" s="648"/>
      <c r="N381" s="648">
        <v>26995</v>
      </c>
      <c r="O381" s="653">
        <f>SUM(N381*H381)</f>
        <v>202462.5</v>
      </c>
      <c r="P381" s="648">
        <f t="shared" si="528"/>
        <v>0</v>
      </c>
      <c r="Q381" s="648"/>
      <c r="R381" s="648">
        <f t="shared" si="472"/>
        <v>0</v>
      </c>
      <c r="S381" s="648">
        <f t="shared" si="504"/>
        <v>202462.5</v>
      </c>
    </row>
    <row r="382" spans="1:19" x14ac:dyDescent="0.25">
      <c r="A382" s="645"/>
      <c r="B382" s="652"/>
      <c r="C382" s="641"/>
      <c r="D382" s="652"/>
      <c r="E382" s="648"/>
      <c r="F382" s="652" t="s">
        <v>588</v>
      </c>
      <c r="G382" s="612">
        <f t="shared" si="471"/>
        <v>1334.1</v>
      </c>
      <c r="H382" s="648"/>
      <c r="I382" s="648">
        <v>1334.1</v>
      </c>
      <c r="J382" s="648">
        <v>4.3499999999999996</v>
      </c>
      <c r="K382" s="648">
        <f t="shared" si="468"/>
        <v>3.9149999999999996</v>
      </c>
      <c r="L382" s="641">
        <v>0.1</v>
      </c>
      <c r="M382" s="648"/>
      <c r="N382" s="648"/>
      <c r="O382" s="653">
        <f>SUM(N382*H382)</f>
        <v>0</v>
      </c>
      <c r="P382" s="648">
        <f t="shared" si="528"/>
        <v>580.33349999999996</v>
      </c>
      <c r="Q382" s="648">
        <v>20</v>
      </c>
      <c r="R382" s="648">
        <f t="shared" si="472"/>
        <v>11606670</v>
      </c>
      <c r="S382" s="648">
        <f t="shared" si="504"/>
        <v>11606670</v>
      </c>
    </row>
    <row r="383" spans="1:19" x14ac:dyDescent="0.25">
      <c r="A383" s="645"/>
      <c r="B383" s="652"/>
      <c r="C383" s="641"/>
      <c r="D383" s="652"/>
      <c r="E383" s="648"/>
      <c r="F383" s="652" t="s">
        <v>539</v>
      </c>
      <c r="G383" s="612">
        <f t="shared" si="471"/>
        <v>0.66</v>
      </c>
      <c r="H383" s="648">
        <v>0.66</v>
      </c>
      <c r="I383" s="648"/>
      <c r="J383" s="648">
        <v>4.3499999999999996</v>
      </c>
      <c r="K383" s="648">
        <f t="shared" si="468"/>
        <v>3.9149999999999996</v>
      </c>
      <c r="L383" s="641">
        <v>0.1</v>
      </c>
      <c r="M383" s="648"/>
      <c r="N383" s="648">
        <v>26995</v>
      </c>
      <c r="O383" s="653">
        <f>SUM(N383*H383)</f>
        <v>17816.7</v>
      </c>
      <c r="P383" s="648">
        <f t="shared" si="528"/>
        <v>0</v>
      </c>
      <c r="Q383" s="648"/>
      <c r="R383" s="648">
        <f t="shared" si="472"/>
        <v>0</v>
      </c>
      <c r="S383" s="648">
        <f t="shared" si="504"/>
        <v>17816.7</v>
      </c>
    </row>
    <row r="384" spans="1:19" x14ac:dyDescent="0.25">
      <c r="A384" s="645"/>
      <c r="B384" s="652"/>
      <c r="C384" s="641"/>
      <c r="D384" s="652"/>
      <c r="E384" s="648"/>
      <c r="F384" s="655" t="s">
        <v>652</v>
      </c>
      <c r="G384" s="612">
        <f t="shared" si="471"/>
        <v>662</v>
      </c>
      <c r="H384" s="648"/>
      <c r="I384" s="648">
        <v>662</v>
      </c>
      <c r="J384" s="648">
        <v>4.3499999999999996</v>
      </c>
      <c r="K384" s="648">
        <f t="shared" si="468"/>
        <v>3.4799999999999995</v>
      </c>
      <c r="L384" s="641">
        <v>0.2</v>
      </c>
      <c r="M384" s="648"/>
      <c r="N384" s="648"/>
      <c r="O384" s="653"/>
      <c r="P384" s="648">
        <f t="shared" si="528"/>
        <v>575.93999999999994</v>
      </c>
      <c r="Q384" s="648">
        <v>20</v>
      </c>
      <c r="R384" s="648">
        <f t="shared" si="472"/>
        <v>11518799.999999998</v>
      </c>
      <c r="S384" s="648">
        <f t="shared" si="504"/>
        <v>11518799.999999998</v>
      </c>
    </row>
    <row r="385" spans="1:19" x14ac:dyDescent="0.25">
      <c r="A385" s="645"/>
      <c r="B385" s="652"/>
      <c r="C385" s="641"/>
      <c r="D385" s="652"/>
      <c r="E385" s="648"/>
      <c r="F385" s="652" t="s">
        <v>504</v>
      </c>
      <c r="G385" s="612">
        <f t="shared" si="471"/>
        <v>91.89</v>
      </c>
      <c r="H385" s="648"/>
      <c r="I385" s="648">
        <v>91.89</v>
      </c>
      <c r="J385" s="648">
        <v>4.3499999999999996</v>
      </c>
      <c r="K385" s="648">
        <f t="shared" si="468"/>
        <v>3.0449999999999999</v>
      </c>
      <c r="L385" s="641">
        <v>0.3</v>
      </c>
      <c r="M385" s="648"/>
      <c r="N385" s="648"/>
      <c r="O385" s="653"/>
      <c r="P385" s="648">
        <f t="shared" si="528"/>
        <v>119.91645</v>
      </c>
      <c r="Q385" s="648">
        <v>20</v>
      </c>
      <c r="R385" s="648">
        <f t="shared" si="472"/>
        <v>2398329</v>
      </c>
      <c r="S385" s="648">
        <f t="shared" si="504"/>
        <v>2398329</v>
      </c>
    </row>
    <row r="386" spans="1:19" x14ac:dyDescent="0.25">
      <c r="A386" s="645"/>
      <c r="B386" s="652"/>
      <c r="C386" s="641"/>
      <c r="D386" s="652"/>
      <c r="E386" s="648"/>
      <c r="F386" s="652" t="s">
        <v>497</v>
      </c>
      <c r="G386" s="612">
        <f t="shared" si="471"/>
        <v>119</v>
      </c>
      <c r="H386" s="648"/>
      <c r="I386" s="648">
        <v>119</v>
      </c>
      <c r="J386" s="648">
        <v>4.3499999999999996</v>
      </c>
      <c r="K386" s="648">
        <f t="shared" si="468"/>
        <v>3.2624999999999997</v>
      </c>
      <c r="L386" s="641">
        <v>0.25</v>
      </c>
      <c r="M386" s="648"/>
      <c r="N386" s="648"/>
      <c r="O386" s="653"/>
      <c r="P386" s="648">
        <f t="shared" si="528"/>
        <v>129.41249999999999</v>
      </c>
      <c r="Q386" s="648">
        <v>20</v>
      </c>
      <c r="R386" s="648">
        <f t="shared" si="472"/>
        <v>2588250</v>
      </c>
      <c r="S386" s="648">
        <f t="shared" si="504"/>
        <v>2588250</v>
      </c>
    </row>
    <row r="387" spans="1:19" x14ac:dyDescent="0.25">
      <c r="A387" s="645"/>
      <c r="B387" s="652"/>
      <c r="C387" s="641"/>
      <c r="D387" s="652"/>
      <c r="E387" s="648"/>
      <c r="F387" s="652" t="s">
        <v>653</v>
      </c>
      <c r="G387" s="612">
        <f t="shared" si="471"/>
        <v>138</v>
      </c>
      <c r="H387" s="648"/>
      <c r="I387" s="648">
        <v>138</v>
      </c>
      <c r="J387" s="648">
        <v>4.3499999999999996</v>
      </c>
      <c r="K387" s="648">
        <f t="shared" si="468"/>
        <v>3.4799999999999995</v>
      </c>
      <c r="L387" s="641">
        <v>0.2</v>
      </c>
      <c r="M387" s="648"/>
      <c r="N387" s="648"/>
      <c r="O387" s="653"/>
      <c r="P387" s="648">
        <f t="shared" si="528"/>
        <v>120.06</v>
      </c>
      <c r="Q387" s="648">
        <v>20</v>
      </c>
      <c r="R387" s="648">
        <f t="shared" si="472"/>
        <v>2401200</v>
      </c>
      <c r="S387" s="648">
        <f t="shared" si="504"/>
        <v>2401200</v>
      </c>
    </row>
    <row r="388" spans="1:19" x14ac:dyDescent="0.25">
      <c r="A388" s="645"/>
      <c r="B388" s="652"/>
      <c r="C388" s="641"/>
      <c r="D388" s="652"/>
      <c r="E388" s="648"/>
      <c r="F388" s="652" t="s">
        <v>501</v>
      </c>
      <c r="G388" s="612">
        <f t="shared" si="471"/>
        <v>115</v>
      </c>
      <c r="H388" s="648"/>
      <c r="I388" s="648">
        <v>115</v>
      </c>
      <c r="J388" s="648">
        <v>4.3499999999999996</v>
      </c>
      <c r="K388" s="648">
        <f t="shared" si="468"/>
        <v>3.4799999999999995</v>
      </c>
      <c r="L388" s="641">
        <v>0.2</v>
      </c>
      <c r="M388" s="648"/>
      <c r="N388" s="648"/>
      <c r="O388" s="653"/>
      <c r="P388" s="648">
        <f t="shared" si="528"/>
        <v>100.05</v>
      </c>
      <c r="Q388" s="648">
        <v>20</v>
      </c>
      <c r="R388" s="648">
        <f t="shared" si="472"/>
        <v>2001000</v>
      </c>
      <c r="S388" s="648">
        <f t="shared" si="504"/>
        <v>2001000</v>
      </c>
    </row>
    <row r="389" spans="1:19" s="595" customFormat="1" x14ac:dyDescent="0.25">
      <c r="A389" s="640"/>
      <c r="B389" s="652" t="s">
        <v>514</v>
      </c>
      <c r="C389" s="654"/>
      <c r="D389" s="644"/>
      <c r="E389" s="644">
        <f>SUM(E390:E393)</f>
        <v>1886</v>
      </c>
      <c r="F389" s="644">
        <f t="shared" ref="F389:S389" si="542">SUM(F390:F393)</f>
        <v>0</v>
      </c>
      <c r="G389" s="644">
        <f t="shared" si="542"/>
        <v>1010</v>
      </c>
      <c r="H389" s="644">
        <f t="shared" si="542"/>
        <v>100</v>
      </c>
      <c r="I389" s="644">
        <f t="shared" si="542"/>
        <v>910</v>
      </c>
      <c r="J389" s="644">
        <f t="shared" si="542"/>
        <v>17.399999999999999</v>
      </c>
      <c r="K389" s="644">
        <f t="shared" si="542"/>
        <v>10.657499999999999</v>
      </c>
      <c r="L389" s="644">
        <f t="shared" si="542"/>
        <v>1.55</v>
      </c>
      <c r="M389" s="644">
        <f t="shared" si="542"/>
        <v>0</v>
      </c>
      <c r="N389" s="644">
        <f t="shared" si="542"/>
        <v>26995</v>
      </c>
      <c r="O389" s="644">
        <f t="shared" si="542"/>
        <v>26995</v>
      </c>
      <c r="P389" s="644">
        <f t="shared" si="542"/>
        <v>1331.1</v>
      </c>
      <c r="Q389" s="644">
        <f t="shared" si="542"/>
        <v>80</v>
      </c>
      <c r="R389" s="644">
        <f t="shared" si="542"/>
        <v>26622000</v>
      </c>
      <c r="S389" s="644">
        <f t="shared" si="542"/>
        <v>26648995</v>
      </c>
    </row>
    <row r="390" spans="1:19" x14ac:dyDescent="0.25">
      <c r="A390" s="645">
        <v>43</v>
      </c>
      <c r="C390" s="641"/>
      <c r="D390" s="652"/>
      <c r="E390" s="648">
        <v>1886</v>
      </c>
      <c r="F390" s="652" t="s">
        <v>539</v>
      </c>
      <c r="G390" s="612">
        <f t="shared" si="471"/>
        <v>10</v>
      </c>
      <c r="H390" s="648"/>
      <c r="I390" s="648">
        <v>10</v>
      </c>
      <c r="J390" s="648">
        <v>4.3499999999999996</v>
      </c>
      <c r="K390" s="648">
        <f t="shared" si="468"/>
        <v>3.9149999999999996</v>
      </c>
      <c r="L390" s="641">
        <v>0.1</v>
      </c>
      <c r="M390" s="648"/>
      <c r="N390" s="648">
        <v>26995</v>
      </c>
      <c r="O390" s="653">
        <f>SUM(N390*L390*I390)</f>
        <v>26995</v>
      </c>
      <c r="P390" s="648">
        <f t="shared" si="528"/>
        <v>4.3499999999999996</v>
      </c>
      <c r="Q390" s="648">
        <v>20</v>
      </c>
      <c r="R390" s="648">
        <f t="shared" si="472"/>
        <v>87000</v>
      </c>
      <c r="S390" s="648">
        <f t="shared" si="504"/>
        <v>113995</v>
      </c>
    </row>
    <row r="391" spans="1:19" x14ac:dyDescent="0.25">
      <c r="A391" s="645"/>
      <c r="B391" s="652"/>
      <c r="C391" s="641"/>
      <c r="D391" s="652"/>
      <c r="E391" s="648"/>
      <c r="F391" s="652" t="s">
        <v>586</v>
      </c>
      <c r="G391" s="612">
        <f t="shared" si="471"/>
        <v>500</v>
      </c>
      <c r="H391" s="648"/>
      <c r="I391" s="648">
        <v>500</v>
      </c>
      <c r="J391" s="648">
        <v>4.3499999999999996</v>
      </c>
      <c r="K391" s="648">
        <f t="shared" si="468"/>
        <v>3.2624999999999997</v>
      </c>
      <c r="L391" s="641">
        <v>0.25</v>
      </c>
      <c r="M391" s="648"/>
      <c r="N391" s="648"/>
      <c r="O391" s="653"/>
      <c r="P391" s="648">
        <f>SUM(L391*J391*I391)</f>
        <v>543.75</v>
      </c>
      <c r="Q391" s="648">
        <v>20</v>
      </c>
      <c r="R391" s="648">
        <f t="shared" si="472"/>
        <v>10875000</v>
      </c>
      <c r="S391" s="648">
        <f t="shared" si="504"/>
        <v>10875000</v>
      </c>
    </row>
    <row r="392" spans="1:19" x14ac:dyDescent="0.25">
      <c r="A392" s="645"/>
      <c r="B392" s="652"/>
      <c r="C392" s="641"/>
      <c r="D392" s="652"/>
      <c r="E392" s="648"/>
      <c r="F392" s="652" t="s">
        <v>586</v>
      </c>
      <c r="G392" s="612">
        <f t="shared" si="471"/>
        <v>100</v>
      </c>
      <c r="H392" s="648">
        <v>100</v>
      </c>
      <c r="I392" s="648"/>
      <c r="J392" s="648">
        <v>4.3499999999999996</v>
      </c>
      <c r="K392" s="648">
        <f t="shared" si="468"/>
        <v>0</v>
      </c>
      <c r="L392" s="641">
        <v>1</v>
      </c>
      <c r="M392" s="648"/>
      <c r="N392" s="648"/>
      <c r="O392" s="653"/>
      <c r="P392" s="648">
        <f>SUM(J392*H392)</f>
        <v>434.99999999999994</v>
      </c>
      <c r="Q392" s="648">
        <v>20</v>
      </c>
      <c r="R392" s="648">
        <f t="shared" si="472"/>
        <v>8699999.9999999981</v>
      </c>
      <c r="S392" s="648">
        <f t="shared" si="504"/>
        <v>8699999.9999999981</v>
      </c>
    </row>
    <row r="393" spans="1:19" x14ac:dyDescent="0.25">
      <c r="A393" s="645"/>
      <c r="B393" s="652"/>
      <c r="C393" s="641"/>
      <c r="D393" s="652"/>
      <c r="E393" s="648"/>
      <c r="F393" s="652" t="s">
        <v>474</v>
      </c>
      <c r="G393" s="612">
        <f t="shared" si="471"/>
        <v>400</v>
      </c>
      <c r="H393" s="648"/>
      <c r="I393" s="648">
        <v>400</v>
      </c>
      <c r="J393" s="648">
        <v>4.3499999999999996</v>
      </c>
      <c r="K393" s="648">
        <f t="shared" si="468"/>
        <v>3.4799999999999995</v>
      </c>
      <c r="L393" s="641">
        <v>0.2</v>
      </c>
      <c r="M393" s="648"/>
      <c r="N393" s="648"/>
      <c r="O393" s="653"/>
      <c r="P393" s="648">
        <f>SUM(L393*J393*I393)</f>
        <v>348</v>
      </c>
      <c r="Q393" s="648">
        <v>20</v>
      </c>
      <c r="R393" s="648">
        <f t="shared" si="472"/>
        <v>6960000</v>
      </c>
      <c r="S393" s="648">
        <f t="shared" si="504"/>
        <v>6960000</v>
      </c>
    </row>
    <row r="394" spans="1:19" x14ac:dyDescent="0.25">
      <c r="A394" s="657">
        <v>43</v>
      </c>
      <c r="B394" s="652" t="s">
        <v>515</v>
      </c>
      <c r="C394" s="652"/>
      <c r="D394" s="656"/>
      <c r="E394" s="652">
        <v>5277</v>
      </c>
      <c r="F394" s="652" t="s">
        <v>504</v>
      </c>
      <c r="G394" s="612">
        <f t="shared" si="471"/>
        <v>1250</v>
      </c>
      <c r="H394" s="647"/>
      <c r="I394" s="648">
        <v>1250</v>
      </c>
      <c r="J394" s="648">
        <v>4.3499999999999996</v>
      </c>
      <c r="K394" s="648">
        <f t="shared" si="468"/>
        <v>3.2624999999999997</v>
      </c>
      <c r="L394" s="652">
        <v>0.25</v>
      </c>
      <c r="M394" s="647"/>
      <c r="N394" s="648"/>
      <c r="O394" s="653">
        <f>SUM(N394*L394*I394)</f>
        <v>0</v>
      </c>
      <c r="P394" s="648">
        <f t="shared" si="528"/>
        <v>1359.375</v>
      </c>
      <c r="Q394" s="648">
        <v>20</v>
      </c>
      <c r="R394" s="648">
        <f t="shared" si="472"/>
        <v>27187500</v>
      </c>
      <c r="S394" s="648">
        <f t="shared" si="504"/>
        <v>27187500</v>
      </c>
    </row>
    <row r="395" spans="1:19" x14ac:dyDescent="0.25">
      <c r="A395" s="657">
        <v>45</v>
      </c>
      <c r="B395" s="652" t="s">
        <v>654</v>
      </c>
      <c r="C395" s="652"/>
      <c r="D395" s="652"/>
      <c r="E395" s="652">
        <v>4326</v>
      </c>
      <c r="F395" s="652" t="s">
        <v>504</v>
      </c>
      <c r="G395" s="612">
        <f t="shared" si="471"/>
        <v>1200</v>
      </c>
      <c r="H395" s="647"/>
      <c r="I395" s="648">
        <v>1200</v>
      </c>
      <c r="J395" s="648">
        <v>4.3499999999999996</v>
      </c>
      <c r="K395" s="658">
        <f t="shared" si="468"/>
        <v>3.0449999999999999</v>
      </c>
      <c r="L395" s="652">
        <v>0.3</v>
      </c>
      <c r="M395" s="648"/>
      <c r="N395" s="648"/>
      <c r="O395" s="659">
        <f>SUM(N395*L395*I395)</f>
        <v>0</v>
      </c>
      <c r="P395" s="658">
        <f t="shared" si="528"/>
        <v>1566</v>
      </c>
      <c r="Q395" s="648">
        <v>20</v>
      </c>
      <c r="R395" s="648">
        <f t="shared" si="472"/>
        <v>31320000</v>
      </c>
      <c r="S395" s="648">
        <f t="shared" si="504"/>
        <v>31320000</v>
      </c>
    </row>
    <row r="396" spans="1:19" s="595" customFormat="1" x14ac:dyDescent="0.25">
      <c r="A396" s="660"/>
      <c r="B396" s="661" t="s">
        <v>655</v>
      </c>
      <c r="C396" s="662"/>
      <c r="D396" s="662"/>
      <c r="E396" s="662">
        <f>SUM(E397:E400)</f>
        <v>3451</v>
      </c>
      <c r="F396" s="662">
        <f t="shared" ref="F396:S396" si="543">SUM(F397:F400)</f>
        <v>0</v>
      </c>
      <c r="G396" s="662">
        <f t="shared" si="543"/>
        <v>3443</v>
      </c>
      <c r="H396" s="662">
        <f t="shared" si="543"/>
        <v>13</v>
      </c>
      <c r="I396" s="662">
        <f t="shared" si="543"/>
        <v>3430</v>
      </c>
      <c r="J396" s="662">
        <f t="shared" si="543"/>
        <v>17.399999999999999</v>
      </c>
      <c r="K396" s="662">
        <f t="shared" si="543"/>
        <v>10.004999999999999</v>
      </c>
      <c r="L396" s="662">
        <f t="shared" si="543"/>
        <v>1.7</v>
      </c>
      <c r="M396" s="662">
        <f t="shared" si="543"/>
        <v>0</v>
      </c>
      <c r="N396" s="662">
        <f t="shared" si="543"/>
        <v>26995</v>
      </c>
      <c r="O396" s="662">
        <f t="shared" si="543"/>
        <v>417072.75</v>
      </c>
      <c r="P396" s="662">
        <f t="shared" si="543"/>
        <v>4393.9350000000004</v>
      </c>
      <c r="Q396" s="662">
        <f t="shared" si="543"/>
        <v>60</v>
      </c>
      <c r="R396" s="662">
        <f t="shared" si="543"/>
        <v>87878700</v>
      </c>
      <c r="S396" s="662">
        <f t="shared" si="543"/>
        <v>88295772.75</v>
      </c>
    </row>
    <row r="397" spans="1:19" x14ac:dyDescent="0.25">
      <c r="A397" s="661">
        <v>46</v>
      </c>
      <c r="C397" s="663"/>
      <c r="D397" s="663"/>
      <c r="E397" s="661">
        <v>3451</v>
      </c>
      <c r="F397" s="661" t="s">
        <v>539</v>
      </c>
      <c r="G397" s="664">
        <f t="shared" si="471"/>
        <v>103</v>
      </c>
      <c r="H397" s="664"/>
      <c r="I397" s="664">
        <v>103</v>
      </c>
      <c r="J397" s="648">
        <v>4.3499999999999996</v>
      </c>
      <c r="K397" s="661">
        <f t="shared" si="468"/>
        <v>3.6974999999999998</v>
      </c>
      <c r="L397" s="661">
        <v>0.15</v>
      </c>
      <c r="M397" s="663"/>
      <c r="N397" s="661">
        <v>26995</v>
      </c>
      <c r="O397" s="653">
        <f>SUM(N397*L397*I397)</f>
        <v>417072.75</v>
      </c>
      <c r="P397" s="648"/>
      <c r="Q397" s="648"/>
      <c r="R397" s="648">
        <f t="shared" si="472"/>
        <v>0</v>
      </c>
      <c r="S397" s="648">
        <f t="shared" si="504"/>
        <v>417072.75</v>
      </c>
    </row>
    <row r="398" spans="1:19" x14ac:dyDescent="0.25">
      <c r="A398" s="665"/>
      <c r="B398" s="665"/>
      <c r="C398" s="665"/>
      <c r="D398" s="665"/>
      <c r="E398" s="666"/>
      <c r="F398" s="666" t="s">
        <v>586</v>
      </c>
      <c r="G398" s="667">
        <f t="shared" si="471"/>
        <v>3307</v>
      </c>
      <c r="H398" s="667"/>
      <c r="I398" s="667">
        <v>3307</v>
      </c>
      <c r="J398" s="648">
        <v>4.3499999999999996</v>
      </c>
      <c r="K398" s="648">
        <f t="shared" si="468"/>
        <v>3.0449999999999999</v>
      </c>
      <c r="L398" s="668">
        <v>0.3</v>
      </c>
      <c r="M398" s="669"/>
      <c r="N398" s="647"/>
      <c r="O398" s="647"/>
      <c r="P398" s="648">
        <f t="shared" si="528"/>
        <v>4315.6350000000002</v>
      </c>
      <c r="Q398" s="648">
        <v>20</v>
      </c>
      <c r="R398" s="648">
        <f t="shared" si="472"/>
        <v>86312700</v>
      </c>
      <c r="S398" s="648">
        <f t="shared" si="504"/>
        <v>86312700</v>
      </c>
    </row>
    <row r="399" spans="1:19" x14ac:dyDescent="0.25">
      <c r="A399" s="648"/>
      <c r="B399" s="648"/>
      <c r="C399" s="648"/>
      <c r="D399" s="648"/>
      <c r="E399" s="670"/>
      <c r="F399" s="666" t="s">
        <v>586</v>
      </c>
      <c r="G399" s="671">
        <f t="shared" si="471"/>
        <v>13</v>
      </c>
      <c r="H399" s="671">
        <v>13</v>
      </c>
      <c r="I399" s="671"/>
      <c r="J399" s="648">
        <v>4.3499999999999996</v>
      </c>
      <c r="K399" s="648">
        <f t="shared" si="468"/>
        <v>0</v>
      </c>
      <c r="L399" s="648">
        <v>1</v>
      </c>
      <c r="M399" s="648"/>
      <c r="N399" s="670"/>
      <c r="O399" s="670"/>
      <c r="P399" s="648">
        <f>SUM(J399*H399)</f>
        <v>56.55</v>
      </c>
      <c r="Q399" s="648">
        <v>20</v>
      </c>
      <c r="R399" s="648">
        <f t="shared" si="472"/>
        <v>1131000</v>
      </c>
      <c r="S399" s="648">
        <f t="shared" si="504"/>
        <v>1131000</v>
      </c>
    </row>
    <row r="400" spans="1:19" x14ac:dyDescent="0.25">
      <c r="A400" s="648"/>
      <c r="B400" s="648"/>
      <c r="C400" s="648"/>
      <c r="D400" s="648"/>
      <c r="E400" s="648"/>
      <c r="F400" s="648" t="s">
        <v>481</v>
      </c>
      <c r="G400" s="671">
        <f t="shared" si="471"/>
        <v>20</v>
      </c>
      <c r="H400" s="670"/>
      <c r="I400" s="670">
        <v>20</v>
      </c>
      <c r="J400" s="648">
        <v>4.3499999999999996</v>
      </c>
      <c r="K400" s="648">
        <f t="shared" si="468"/>
        <v>3.2624999999999997</v>
      </c>
      <c r="L400" s="648">
        <v>0.25</v>
      </c>
      <c r="M400" s="648"/>
      <c r="N400" s="648"/>
      <c r="O400" s="648"/>
      <c r="P400" s="648">
        <f>SUM(L400*J400*I400)</f>
        <v>21.75</v>
      </c>
      <c r="Q400" s="648">
        <v>20</v>
      </c>
      <c r="R400" s="648">
        <f t="shared" si="472"/>
        <v>435000</v>
      </c>
      <c r="S400" s="648">
        <f t="shared" si="504"/>
        <v>435000</v>
      </c>
    </row>
    <row r="401" spans="1:19" x14ac:dyDescent="0.25">
      <c r="A401" s="522"/>
      <c r="B401" s="522">
        <v>1</v>
      </c>
      <c r="C401" s="522">
        <v>2</v>
      </c>
      <c r="D401" s="522">
        <v>3</v>
      </c>
      <c r="E401" s="522">
        <v>4</v>
      </c>
      <c r="F401" s="522">
        <v>5</v>
      </c>
      <c r="G401" s="522">
        <v>6</v>
      </c>
      <c r="H401" s="522">
        <v>7</v>
      </c>
      <c r="I401" s="522">
        <v>8</v>
      </c>
      <c r="J401" s="522">
        <v>9</v>
      </c>
      <c r="K401" s="522">
        <v>10</v>
      </c>
      <c r="L401" s="522">
        <v>11</v>
      </c>
      <c r="M401" s="522">
        <v>12</v>
      </c>
      <c r="N401" s="522">
        <v>13</v>
      </c>
      <c r="O401" s="522">
        <v>14</v>
      </c>
      <c r="P401" s="522">
        <v>15</v>
      </c>
      <c r="Q401" s="522">
        <v>16</v>
      </c>
      <c r="R401" s="522">
        <v>17</v>
      </c>
      <c r="S401" s="522">
        <v>18</v>
      </c>
    </row>
    <row r="402" spans="1:19" x14ac:dyDescent="0.25">
      <c r="A402" s="672" t="s">
        <v>522</v>
      </c>
      <c r="B402" s="673"/>
      <c r="C402" s="673"/>
      <c r="D402" s="673"/>
      <c r="E402" s="673"/>
      <c r="F402" s="674" t="s">
        <v>656</v>
      </c>
      <c r="G402" s="520"/>
      <c r="H402" s="674" t="s">
        <v>657</v>
      </c>
      <c r="J402" s="562"/>
      <c r="L402" s="673"/>
      <c r="M402" s="674" t="s">
        <v>658</v>
      </c>
      <c r="N402" s="562"/>
      <c r="O402" s="673"/>
      <c r="Q402" s="674"/>
      <c r="R402" s="562"/>
      <c r="S402" s="562"/>
    </row>
    <row r="403" spans="1:19" x14ac:dyDescent="0.25">
      <c r="A403" s="675"/>
      <c r="B403" s="673"/>
      <c r="C403" s="673"/>
      <c r="D403" s="673"/>
      <c r="E403" s="673"/>
      <c r="F403" s="673"/>
      <c r="G403" s="562"/>
      <c r="H403" s="674"/>
      <c r="I403" s="562"/>
      <c r="J403" s="562"/>
      <c r="K403" s="562"/>
      <c r="L403" s="673"/>
      <c r="M403" s="562"/>
      <c r="N403" s="562"/>
      <c r="O403" s="673"/>
      <c r="P403" s="673"/>
      <c r="Q403" s="674"/>
      <c r="R403" s="562"/>
      <c r="S403" s="562"/>
    </row>
    <row r="404" spans="1:19" x14ac:dyDescent="0.25">
      <c r="A404" s="674"/>
      <c r="B404" s="674"/>
      <c r="C404" s="674"/>
      <c r="D404" s="674"/>
      <c r="E404" s="674"/>
      <c r="F404" s="562"/>
      <c r="G404" s="674"/>
      <c r="H404" s="674"/>
      <c r="I404" s="674"/>
      <c r="J404" s="674"/>
      <c r="K404" s="674"/>
      <c r="L404" s="674"/>
      <c r="M404" s="674"/>
      <c r="N404" s="674"/>
      <c r="O404" s="674"/>
      <c r="P404" s="674"/>
      <c r="Q404" s="674"/>
      <c r="R404" s="674"/>
      <c r="S404" s="674"/>
    </row>
    <row r="405" spans="1:19" x14ac:dyDescent="0.25">
      <c r="A405" s="1608" t="s">
        <v>659</v>
      </c>
      <c r="B405" s="1608"/>
      <c r="C405" s="1608"/>
      <c r="D405" s="1608"/>
      <c r="E405" s="676"/>
      <c r="F405" s="1521" t="s">
        <v>524</v>
      </c>
      <c r="G405" s="677"/>
      <c r="H405" s="1609" t="s">
        <v>525</v>
      </c>
      <c r="I405" s="1609"/>
      <c r="J405" s="1609"/>
      <c r="K405" s="677"/>
      <c r="M405" s="1608" t="s">
        <v>526</v>
      </c>
      <c r="N405" s="1608"/>
      <c r="O405" s="1608"/>
      <c r="S405" s="674"/>
    </row>
    <row r="406" spans="1:19" x14ac:dyDescent="0.25">
      <c r="A406" s="1610" t="s">
        <v>660</v>
      </c>
      <c r="B406" s="1610"/>
      <c r="C406" s="1610"/>
      <c r="D406" s="1610"/>
      <c r="E406" s="1520"/>
      <c r="F406" s="678" t="s">
        <v>661</v>
      </c>
      <c r="G406" s="678"/>
      <c r="H406" s="1605" t="s">
        <v>662</v>
      </c>
      <c r="I406" s="1605"/>
      <c r="J406" s="1605"/>
      <c r="K406" s="678"/>
      <c r="M406" s="1608" t="s">
        <v>530</v>
      </c>
      <c r="N406" s="1608"/>
      <c r="O406" s="1608"/>
      <c r="S406" s="674"/>
    </row>
    <row r="407" spans="1:19" x14ac:dyDescent="0.25">
      <c r="E407" s="679"/>
      <c r="F407" s="679"/>
      <c r="G407" s="520"/>
      <c r="H407" s="1605" t="s">
        <v>663</v>
      </c>
      <c r="I407" s="1605"/>
      <c r="J407" s="1605"/>
      <c r="L407" s="678"/>
      <c r="M407" s="678"/>
      <c r="N407" s="679"/>
      <c r="O407" s="679"/>
      <c r="P407" s="679"/>
    </row>
  </sheetData>
  <mergeCells count="31">
    <mergeCell ref="A6:S6"/>
    <mergeCell ref="A1:S1"/>
    <mergeCell ref="A2:S2"/>
    <mergeCell ref="A3:S3"/>
    <mergeCell ref="A4:S4"/>
    <mergeCell ref="A5:S5"/>
    <mergeCell ref="A7:R7"/>
    <mergeCell ref="A8:R8"/>
    <mergeCell ref="A15:A17"/>
    <mergeCell ref="B15:B17"/>
    <mergeCell ref="C15:C17"/>
    <mergeCell ref="D15:D17"/>
    <mergeCell ref="E15:E17"/>
    <mergeCell ref="F15:F17"/>
    <mergeCell ref="G15:I16"/>
    <mergeCell ref="J15:K15"/>
    <mergeCell ref="H407:J407"/>
    <mergeCell ref="T16:T17"/>
    <mergeCell ref="A405:D405"/>
    <mergeCell ref="H405:J405"/>
    <mergeCell ref="M405:O405"/>
    <mergeCell ref="A406:D406"/>
    <mergeCell ref="H406:J406"/>
    <mergeCell ref="M406:O406"/>
    <mergeCell ref="L15:L17"/>
    <mergeCell ref="M15:S15"/>
    <mergeCell ref="J16:J17"/>
    <mergeCell ref="K16:K17"/>
    <mergeCell ref="M16:O16"/>
    <mergeCell ref="P16:R16"/>
    <mergeCell ref="S16:S17"/>
  </mergeCells>
  <pageMargins left="0.5" right="0.5" top="0.5" bottom="0.5" header="0.3" footer="0.3"/>
  <pageSetup paperSize="256" scale="49" orientation="landscape" r:id="rId1"/>
  <rowBreaks count="1" manualBreakCount="1">
    <brk id="347" max="1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3541-11CF-ED4C-B00E-EBE9DE8BF730}">
  <sheetPr>
    <tabColor rgb="FFC00000"/>
  </sheetPr>
  <dimension ref="A1:S82"/>
  <sheetViews>
    <sheetView view="pageBreakPreview" zoomScale="85" zoomScaleNormal="85" zoomScaleSheetLayoutView="85" workbookViewId="0">
      <selection activeCell="E70" sqref="E70"/>
    </sheetView>
  </sheetViews>
  <sheetFormatPr defaultColWidth="9.125" defaultRowHeight="15.75" x14ac:dyDescent="0.25"/>
  <cols>
    <col min="1" max="1" width="5.875" style="393" customWidth="1"/>
    <col min="2" max="2" width="16" style="393" customWidth="1"/>
    <col min="3" max="3" width="14.5" style="393" customWidth="1"/>
    <col min="4" max="4" width="12" style="718" customWidth="1"/>
    <col min="5" max="5" width="10.5" style="718" customWidth="1"/>
    <col min="6" max="6" width="18.5" style="393" customWidth="1"/>
    <col min="7" max="7" width="12.5" style="393" customWidth="1"/>
    <col min="8" max="8" width="11.5" style="721" customWidth="1"/>
    <col min="9" max="9" width="10.5" style="393" customWidth="1"/>
    <col min="10" max="10" width="9.5" style="393" customWidth="1"/>
    <col min="11" max="11" width="11.5" style="393" customWidth="1"/>
    <col min="12" max="12" width="10.5" style="393" customWidth="1"/>
    <col min="13" max="13" width="12.5" style="393" customWidth="1"/>
    <col min="14" max="14" width="14.125" style="393" customWidth="1"/>
    <col min="15" max="15" width="16.5" style="393" customWidth="1"/>
    <col min="16" max="16" width="12.5" style="393" customWidth="1"/>
    <col min="17" max="17" width="8.5" style="393" customWidth="1"/>
    <col min="18" max="18" width="17.5" style="393" customWidth="1"/>
    <col min="19" max="19" width="16.5" style="393" customWidth="1"/>
    <col min="20" max="20" width="17.5" style="393" customWidth="1"/>
    <col min="21" max="16384" width="9.125" style="393"/>
  </cols>
  <sheetData>
    <row r="1" spans="1:19" x14ac:dyDescent="0.25">
      <c r="A1" s="1598" t="s">
        <v>411</v>
      </c>
      <c r="B1" s="1598"/>
      <c r="C1" s="1598"/>
      <c r="D1" s="1598"/>
      <c r="E1" s="1598"/>
      <c r="F1" s="1598"/>
      <c r="G1" s="1598"/>
      <c r="H1" s="1598"/>
      <c r="I1" s="1598"/>
      <c r="J1" s="1598"/>
      <c r="K1" s="1598"/>
      <c r="L1" s="1598"/>
      <c r="M1" s="1598"/>
      <c r="N1" s="1598"/>
      <c r="O1" s="1598"/>
      <c r="P1" s="1598"/>
      <c r="Q1" s="1598"/>
      <c r="R1" s="1598"/>
      <c r="S1" s="1598"/>
    </row>
    <row r="2" spans="1:19" x14ac:dyDescent="0.25">
      <c r="A2" s="1598" t="s">
        <v>412</v>
      </c>
      <c r="B2" s="1598"/>
      <c r="C2" s="1598"/>
      <c r="D2" s="1598"/>
      <c r="E2" s="1598"/>
      <c r="F2" s="1598"/>
      <c r="G2" s="1598"/>
      <c r="H2" s="1598"/>
      <c r="I2" s="1598"/>
      <c r="J2" s="1598"/>
      <c r="K2" s="1598"/>
      <c r="L2" s="1598"/>
      <c r="M2" s="1598"/>
      <c r="N2" s="1598"/>
      <c r="O2" s="1598"/>
      <c r="P2" s="1598"/>
      <c r="Q2" s="1598"/>
      <c r="R2" s="1598"/>
      <c r="S2" s="1598"/>
    </row>
    <row r="3" spans="1:19" x14ac:dyDescent="0.25">
      <c r="A3" s="1604" t="s">
        <v>664</v>
      </c>
      <c r="B3" s="1604"/>
      <c r="C3" s="1604"/>
      <c r="D3" s="1604"/>
      <c r="E3" s="1604"/>
      <c r="F3" s="1604"/>
      <c r="G3" s="1604"/>
      <c r="H3" s="1604"/>
      <c r="I3" s="1604"/>
      <c r="J3" s="1604"/>
      <c r="K3" s="1604"/>
      <c r="L3" s="1604"/>
      <c r="M3" s="1604"/>
      <c r="N3" s="1604"/>
      <c r="O3" s="1604"/>
      <c r="P3" s="1604"/>
      <c r="Q3" s="1604"/>
      <c r="R3" s="1604"/>
      <c r="S3" s="1604"/>
    </row>
    <row r="4" spans="1:19" x14ac:dyDescent="0.25">
      <c r="A4" s="1598" t="s">
        <v>665</v>
      </c>
      <c r="B4" s="1598"/>
      <c r="C4" s="1598"/>
      <c r="D4" s="1598"/>
      <c r="E4" s="1598"/>
      <c r="F4" s="1598"/>
      <c r="G4" s="1598"/>
      <c r="H4" s="1598"/>
      <c r="I4" s="1598"/>
      <c r="J4" s="1598"/>
      <c r="K4" s="1598"/>
      <c r="L4" s="1598"/>
      <c r="M4" s="1598"/>
      <c r="N4" s="1598"/>
      <c r="O4" s="1598"/>
      <c r="P4" s="1598"/>
      <c r="Q4" s="1598"/>
      <c r="R4" s="1598"/>
      <c r="S4" s="1598"/>
    </row>
    <row r="5" spans="1:19" x14ac:dyDescent="0.25">
      <c r="A5" s="1598" t="s">
        <v>666</v>
      </c>
      <c r="B5" s="1598"/>
      <c r="C5" s="1598"/>
      <c r="D5" s="1598"/>
      <c r="E5" s="1598"/>
      <c r="F5" s="1598"/>
      <c r="G5" s="1598"/>
      <c r="H5" s="1598"/>
      <c r="I5" s="1598"/>
      <c r="J5" s="1598"/>
      <c r="K5" s="1598"/>
      <c r="L5" s="1598"/>
      <c r="M5" s="1598"/>
      <c r="N5" s="1598"/>
      <c r="O5" s="1598"/>
      <c r="P5" s="1598"/>
      <c r="Q5" s="1598"/>
      <c r="R5" s="1598"/>
      <c r="S5" s="1598"/>
    </row>
    <row r="6" spans="1:19" x14ac:dyDescent="0.25">
      <c r="A6" s="1598" t="s">
        <v>667</v>
      </c>
      <c r="B6" s="1598"/>
      <c r="C6" s="1598"/>
      <c r="D6" s="1598"/>
      <c r="E6" s="1598"/>
      <c r="F6" s="1598"/>
      <c r="G6" s="1598"/>
      <c r="H6" s="1598"/>
      <c r="I6" s="1598"/>
      <c r="J6" s="1598"/>
      <c r="K6" s="1598"/>
      <c r="L6" s="1598"/>
      <c r="M6" s="1598"/>
      <c r="N6" s="1598"/>
      <c r="O6" s="1598"/>
      <c r="P6" s="1598"/>
      <c r="Q6" s="1598"/>
      <c r="R6" s="1598"/>
      <c r="S6" s="1598"/>
    </row>
    <row r="7" spans="1:19" hidden="1" x14ac:dyDescent="0.25">
      <c r="A7" s="1598"/>
      <c r="B7" s="1598"/>
      <c r="C7" s="1598"/>
      <c r="D7" s="1598"/>
      <c r="E7" s="1598"/>
      <c r="F7" s="1598"/>
      <c r="G7" s="1598"/>
      <c r="H7" s="1598"/>
      <c r="I7" s="1598"/>
      <c r="J7" s="1598"/>
      <c r="K7" s="1598"/>
      <c r="L7" s="1598"/>
      <c r="M7" s="1598"/>
      <c r="N7" s="1598"/>
      <c r="O7" s="1598"/>
      <c r="P7" s="1598"/>
      <c r="Q7" s="1598"/>
      <c r="R7" s="1598"/>
      <c r="S7" s="392"/>
    </row>
    <row r="8" spans="1:19" x14ac:dyDescent="0.25">
      <c r="A8" s="1598"/>
      <c r="B8" s="1598"/>
      <c r="C8" s="1598"/>
      <c r="D8" s="1598"/>
      <c r="E8" s="1598"/>
      <c r="F8" s="1598"/>
      <c r="G8" s="1598"/>
      <c r="H8" s="1598"/>
      <c r="I8" s="1598"/>
      <c r="J8" s="1598"/>
      <c r="K8" s="1598"/>
      <c r="L8" s="1598"/>
      <c r="M8" s="1598"/>
      <c r="N8" s="1598"/>
      <c r="O8" s="1598"/>
      <c r="P8" s="1598"/>
      <c r="Q8" s="1598"/>
      <c r="R8" s="1598"/>
    </row>
    <row r="9" spans="1:19" ht="14.25" customHeight="1" x14ac:dyDescent="0.25">
      <c r="A9" s="394" t="s">
        <v>417</v>
      </c>
      <c r="B9" s="395"/>
      <c r="C9" s="395"/>
      <c r="D9" s="396"/>
      <c r="E9" s="396"/>
      <c r="F9" s="395"/>
      <c r="G9" s="395"/>
      <c r="H9" s="684"/>
      <c r="I9" s="395"/>
      <c r="J9" s="395"/>
      <c r="K9" s="397"/>
      <c r="L9" s="398" t="s">
        <v>418</v>
      </c>
      <c r="M9" s="399"/>
      <c r="N9" s="399"/>
      <c r="O9" s="399"/>
      <c r="P9" s="399"/>
      <c r="Q9" s="399"/>
      <c r="R9" s="399"/>
      <c r="S9" s="400"/>
    </row>
    <row r="10" spans="1:19" ht="14.25" customHeight="1" x14ac:dyDescent="0.25">
      <c r="A10" s="402" t="s">
        <v>420</v>
      </c>
      <c r="B10" s="403"/>
      <c r="C10" s="403"/>
      <c r="D10" s="404"/>
      <c r="E10" s="404"/>
      <c r="F10" s="403"/>
      <c r="G10" s="403"/>
      <c r="H10" s="685"/>
      <c r="I10" s="403"/>
      <c r="J10" s="403"/>
      <c r="K10" s="403"/>
      <c r="L10" s="405" t="s">
        <v>421</v>
      </c>
      <c r="M10" s="395"/>
      <c r="N10" s="395" t="s">
        <v>422</v>
      </c>
      <c r="O10" s="395"/>
      <c r="P10" s="395"/>
      <c r="Q10" s="395"/>
      <c r="R10" s="397"/>
      <c r="S10" s="397"/>
    </row>
    <row r="11" spans="1:19" ht="14.25" customHeight="1" x14ac:dyDescent="0.25">
      <c r="A11" s="402"/>
      <c r="B11" s="403"/>
      <c r="C11" s="403"/>
      <c r="D11" s="404"/>
      <c r="E11" s="404"/>
      <c r="F11" s="403"/>
      <c r="G11" s="403"/>
      <c r="H11" s="685"/>
      <c r="I11" s="403"/>
      <c r="J11" s="403"/>
      <c r="K11" s="403"/>
      <c r="L11" s="402"/>
      <c r="M11" s="408" t="s">
        <v>423</v>
      </c>
      <c r="N11" s="403" t="s">
        <v>535</v>
      </c>
      <c r="O11" s="408" t="s">
        <v>424</v>
      </c>
      <c r="P11" s="403"/>
      <c r="Q11" s="403"/>
      <c r="R11" s="409"/>
      <c r="S11" s="409"/>
    </row>
    <row r="12" spans="1:19" ht="14.25" customHeight="1" x14ac:dyDescent="0.25">
      <c r="A12" s="402"/>
      <c r="B12" s="403"/>
      <c r="C12" s="403"/>
      <c r="D12" s="404"/>
      <c r="E12" s="404"/>
      <c r="F12" s="403"/>
      <c r="G12" s="403"/>
      <c r="H12" s="685"/>
      <c r="I12" s="403"/>
      <c r="J12" s="403"/>
      <c r="K12" s="403"/>
      <c r="L12" s="407" t="s">
        <v>425</v>
      </c>
      <c r="M12" s="408" t="s">
        <v>426</v>
      </c>
      <c r="N12" s="408"/>
      <c r="O12" s="408" t="s">
        <v>427</v>
      </c>
      <c r="P12" s="403"/>
      <c r="Q12" s="403"/>
      <c r="R12" s="403">
        <f>N19+Q19</f>
        <v>0</v>
      </c>
      <c r="S12" s="409"/>
    </row>
    <row r="13" spans="1:19" ht="14.25" customHeight="1" x14ac:dyDescent="0.25">
      <c r="A13" s="411"/>
      <c r="B13" s="412"/>
      <c r="C13" s="412"/>
      <c r="D13" s="413"/>
      <c r="E13" s="413"/>
      <c r="F13" s="412"/>
      <c r="G13" s="412"/>
      <c r="H13" s="686"/>
      <c r="I13" s="412"/>
      <c r="J13" s="412"/>
      <c r="K13" s="412"/>
      <c r="L13" s="687"/>
      <c r="M13" s="415" t="s">
        <v>428</v>
      </c>
      <c r="N13" s="416" t="s">
        <v>425</v>
      </c>
      <c r="O13" s="415" t="s">
        <v>429</v>
      </c>
      <c r="P13" s="412"/>
      <c r="Q13" s="412"/>
      <c r="R13" s="417"/>
      <c r="S13" s="417"/>
    </row>
    <row r="14" spans="1:19" ht="15.75" customHeight="1" x14ac:dyDescent="0.25">
      <c r="A14" s="419" t="s">
        <v>430</v>
      </c>
      <c r="B14" s="400"/>
      <c r="C14" s="400"/>
      <c r="D14" s="420"/>
      <c r="E14" s="420"/>
      <c r="F14" s="400"/>
      <c r="G14" s="400"/>
      <c r="H14" s="688"/>
      <c r="I14" s="400"/>
      <c r="J14" s="400"/>
      <c r="K14" s="400"/>
      <c r="L14" s="421"/>
      <c r="M14" s="421"/>
      <c r="N14" s="421"/>
      <c r="O14" s="421"/>
      <c r="P14" s="421"/>
      <c r="Q14" s="421"/>
      <c r="R14" s="421"/>
      <c r="S14" s="400"/>
    </row>
    <row r="15" spans="1:19" ht="15.75" customHeight="1" x14ac:dyDescent="0.25">
      <c r="A15" s="1591" t="s">
        <v>431</v>
      </c>
      <c r="B15" s="1597" t="s">
        <v>432</v>
      </c>
      <c r="C15" s="1591" t="s">
        <v>668</v>
      </c>
      <c r="D15" s="1599" t="s">
        <v>434</v>
      </c>
      <c r="E15" s="1599" t="s">
        <v>435</v>
      </c>
      <c r="F15" s="1591" t="s">
        <v>436</v>
      </c>
      <c r="G15" s="1585" t="s">
        <v>437</v>
      </c>
      <c r="H15" s="1600"/>
      <c r="I15" s="1601"/>
      <c r="J15" s="1588" t="s">
        <v>438</v>
      </c>
      <c r="K15" s="1590"/>
      <c r="L15" s="1585" t="s">
        <v>439</v>
      </c>
      <c r="M15" s="1588" t="s">
        <v>440</v>
      </c>
      <c r="N15" s="1589"/>
      <c r="O15" s="1589"/>
      <c r="P15" s="1589"/>
      <c r="Q15" s="1589"/>
      <c r="R15" s="1589"/>
      <c r="S15" s="1590"/>
    </row>
    <row r="16" spans="1:19" ht="14.25" customHeight="1" x14ac:dyDescent="0.25">
      <c r="A16" s="1591"/>
      <c r="B16" s="1597"/>
      <c r="C16" s="1591"/>
      <c r="D16" s="1599"/>
      <c r="E16" s="1599"/>
      <c r="F16" s="1591"/>
      <c r="G16" s="1587"/>
      <c r="H16" s="1602"/>
      <c r="I16" s="1603"/>
      <c r="J16" s="1591" t="s">
        <v>441</v>
      </c>
      <c r="K16" s="1591" t="s">
        <v>442</v>
      </c>
      <c r="L16" s="1586"/>
      <c r="M16" s="1592" t="s">
        <v>443</v>
      </c>
      <c r="N16" s="1593"/>
      <c r="O16" s="1594"/>
      <c r="P16" s="1592" t="s">
        <v>444</v>
      </c>
      <c r="Q16" s="1595"/>
      <c r="R16" s="1596"/>
      <c r="S16" s="1597" t="s">
        <v>445</v>
      </c>
    </row>
    <row r="17" spans="1:19" ht="47.25" customHeight="1" x14ac:dyDescent="0.25">
      <c r="A17" s="1591"/>
      <c r="B17" s="1597"/>
      <c r="C17" s="1591"/>
      <c r="D17" s="1599"/>
      <c r="E17" s="1599"/>
      <c r="F17" s="1591"/>
      <c r="G17" s="1532" t="s">
        <v>447</v>
      </c>
      <c r="H17" s="689" t="s">
        <v>448</v>
      </c>
      <c r="I17" s="1531" t="s">
        <v>449</v>
      </c>
      <c r="J17" s="1591"/>
      <c r="K17" s="1591"/>
      <c r="L17" s="1587"/>
      <c r="M17" s="1517" t="s">
        <v>450</v>
      </c>
      <c r="N17" s="1517" t="s">
        <v>451</v>
      </c>
      <c r="O17" s="1517" t="s">
        <v>452</v>
      </c>
      <c r="P17" s="1517" t="s">
        <v>450</v>
      </c>
      <c r="Q17" s="1517" t="s">
        <v>453</v>
      </c>
      <c r="R17" s="1517" t="s">
        <v>452</v>
      </c>
      <c r="S17" s="1597"/>
    </row>
    <row r="18" spans="1:19" x14ac:dyDescent="0.25">
      <c r="A18" s="422" t="s">
        <v>454</v>
      </c>
      <c r="B18" s="422" t="s">
        <v>455</v>
      </c>
      <c r="C18" s="422" t="s">
        <v>456</v>
      </c>
      <c r="D18" s="423" t="s">
        <v>457</v>
      </c>
      <c r="E18" s="423" t="s">
        <v>458</v>
      </c>
      <c r="F18" s="422" t="s">
        <v>459</v>
      </c>
      <c r="G18" s="422" t="s">
        <v>460</v>
      </c>
      <c r="H18" s="690" t="s">
        <v>461</v>
      </c>
      <c r="I18" s="422" t="s">
        <v>462</v>
      </c>
      <c r="J18" s="422" t="s">
        <v>463</v>
      </c>
      <c r="K18" s="422" t="s">
        <v>464</v>
      </c>
      <c r="L18" s="422" t="s">
        <v>465</v>
      </c>
      <c r="M18" s="422" t="s">
        <v>466</v>
      </c>
      <c r="N18" s="422" t="s">
        <v>467</v>
      </c>
      <c r="O18" s="422"/>
      <c r="P18" s="422"/>
      <c r="Q18" s="422" t="s">
        <v>468</v>
      </c>
      <c r="R18" s="422" t="s">
        <v>469</v>
      </c>
      <c r="S18" s="400"/>
    </row>
    <row r="19" spans="1:19" ht="16.5" customHeight="1" x14ac:dyDescent="0.25">
      <c r="A19" s="424"/>
      <c r="B19" s="425" t="s">
        <v>470</v>
      </c>
      <c r="C19" s="424"/>
      <c r="D19" s="426"/>
      <c r="E19" s="426"/>
      <c r="F19" s="427"/>
      <c r="G19" s="427">
        <f>G56</f>
        <v>57</v>
      </c>
      <c r="H19" s="427">
        <f>H56</f>
        <v>0</v>
      </c>
      <c r="I19" s="427">
        <f>I56</f>
        <v>57</v>
      </c>
      <c r="J19" s="427"/>
      <c r="K19" s="427"/>
      <c r="L19" s="427"/>
      <c r="M19" s="427">
        <f>M57</f>
        <v>0</v>
      </c>
      <c r="N19" s="427"/>
      <c r="O19" s="427">
        <f>O57</f>
        <v>0</v>
      </c>
      <c r="P19" s="427">
        <f>P56</f>
        <v>53.92</v>
      </c>
      <c r="Q19" s="427"/>
      <c r="R19" s="427">
        <f>R56</f>
        <v>916674</v>
      </c>
      <c r="S19" s="427">
        <f>S56</f>
        <v>916674</v>
      </c>
    </row>
    <row r="20" spans="1:19" ht="16.5" hidden="1" customHeight="1" x14ac:dyDescent="0.25">
      <c r="A20" s="428"/>
      <c r="B20" s="429" t="s">
        <v>210</v>
      </c>
      <c r="C20" s="429"/>
      <c r="D20" s="430"/>
      <c r="E20" s="432"/>
      <c r="F20" s="429"/>
      <c r="G20" s="432">
        <f>SUM(G21+G37)</f>
        <v>0</v>
      </c>
      <c r="H20" s="432">
        <f>SUM(H21+H37)</f>
        <v>0</v>
      </c>
      <c r="I20" s="432">
        <f>SUM(I21+I37)</f>
        <v>0</v>
      </c>
      <c r="J20" s="433"/>
      <c r="K20" s="433"/>
      <c r="L20" s="433"/>
      <c r="M20" s="432">
        <f>SUM(M21+M37)</f>
        <v>0</v>
      </c>
      <c r="N20" s="432"/>
      <c r="O20" s="432">
        <f>SUM(O21+O37)</f>
        <v>0</v>
      </c>
      <c r="P20" s="432">
        <f>SUM(P21+P37)</f>
        <v>0</v>
      </c>
      <c r="Q20" s="432"/>
      <c r="R20" s="432">
        <f>SUM(R21+R37)</f>
        <v>0</v>
      </c>
      <c r="S20" s="432">
        <f>SUM(S21+S37)</f>
        <v>0</v>
      </c>
    </row>
    <row r="21" spans="1:19" ht="16.5" hidden="1" customHeight="1" x14ac:dyDescent="0.25">
      <c r="A21" s="461"/>
      <c r="B21" s="464" t="s">
        <v>471</v>
      </c>
      <c r="C21" s="464"/>
      <c r="D21" s="467"/>
      <c r="E21" s="419"/>
      <c r="F21" s="464"/>
      <c r="G21" s="419">
        <f>SUM(G22:G36)</f>
        <v>0</v>
      </c>
      <c r="H21" s="419">
        <f>SUM(H22:H36)</f>
        <v>0</v>
      </c>
      <c r="I21" s="419">
        <f>SUM(I22:I36)</f>
        <v>0</v>
      </c>
      <c r="J21" s="691"/>
      <c r="K21" s="691"/>
      <c r="L21" s="691"/>
      <c r="M21" s="419">
        <f>SUM(M30:M36)</f>
        <v>0</v>
      </c>
      <c r="N21" s="419"/>
      <c r="O21" s="419">
        <f>SUM(O30:O36)</f>
        <v>0</v>
      </c>
      <c r="P21" s="419">
        <f>SUM(P30:P36)</f>
        <v>0</v>
      </c>
      <c r="Q21" s="419"/>
      <c r="R21" s="419">
        <f>SUM(R22:R36)</f>
        <v>0</v>
      </c>
      <c r="S21" s="419">
        <f>SUM(S22:S36)</f>
        <v>0</v>
      </c>
    </row>
    <row r="22" spans="1:19" ht="16.5" hidden="1" customHeight="1" x14ac:dyDescent="0.25">
      <c r="A22" s="422"/>
      <c r="B22" s="510"/>
      <c r="C22" s="510"/>
      <c r="D22" s="511"/>
      <c r="E22" s="510"/>
      <c r="F22" s="51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>
        <f t="shared" ref="R22:R36" si="0">P22*Q22*1000</f>
        <v>0</v>
      </c>
      <c r="S22" s="400">
        <f t="shared" ref="S22:S36" si="1">R22</f>
        <v>0</v>
      </c>
    </row>
    <row r="23" spans="1:19" ht="16.5" hidden="1" customHeight="1" x14ac:dyDescent="0.25">
      <c r="A23" s="422"/>
      <c r="B23" s="510"/>
      <c r="C23" s="510"/>
      <c r="D23" s="511"/>
      <c r="E23" s="510"/>
      <c r="F23" s="51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>
        <f t="shared" si="0"/>
        <v>0</v>
      </c>
      <c r="S23" s="400">
        <f t="shared" si="1"/>
        <v>0</v>
      </c>
    </row>
    <row r="24" spans="1:19" ht="16.5" hidden="1" customHeight="1" x14ac:dyDescent="0.25">
      <c r="A24" s="422"/>
      <c r="B24" s="510"/>
      <c r="C24" s="510"/>
      <c r="D24" s="511"/>
      <c r="E24" s="510"/>
      <c r="F24" s="51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>
        <f t="shared" si="0"/>
        <v>0</v>
      </c>
      <c r="S24" s="400">
        <f t="shared" si="1"/>
        <v>0</v>
      </c>
    </row>
    <row r="25" spans="1:19" ht="16.5" hidden="1" customHeight="1" x14ac:dyDescent="0.25">
      <c r="A25" s="422"/>
      <c r="B25" s="510"/>
      <c r="C25" s="510"/>
      <c r="D25" s="511"/>
      <c r="E25" s="510"/>
      <c r="F25" s="51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>
        <f t="shared" si="0"/>
        <v>0</v>
      </c>
      <c r="S25" s="400">
        <f t="shared" si="1"/>
        <v>0</v>
      </c>
    </row>
    <row r="26" spans="1:19" ht="16.5" hidden="1" customHeight="1" x14ac:dyDescent="0.25">
      <c r="A26" s="422"/>
      <c r="B26" s="510"/>
      <c r="C26" s="510"/>
      <c r="D26" s="511"/>
      <c r="E26" s="510"/>
      <c r="F26" s="51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>
        <f t="shared" si="0"/>
        <v>0</v>
      </c>
      <c r="S26" s="400">
        <f t="shared" si="1"/>
        <v>0</v>
      </c>
    </row>
    <row r="27" spans="1:19" ht="16.5" hidden="1" customHeight="1" x14ac:dyDescent="0.25">
      <c r="A27" s="422"/>
      <c r="B27" s="510"/>
      <c r="C27" s="510"/>
      <c r="D27" s="511"/>
      <c r="E27" s="510"/>
      <c r="F27" s="510"/>
      <c r="G27" s="400"/>
      <c r="H27" s="400"/>
      <c r="I27" s="400"/>
      <c r="J27" s="400"/>
      <c r="K27" s="400"/>
      <c r="L27" s="400"/>
      <c r="M27" s="400"/>
      <c r="N27" s="400"/>
      <c r="O27" s="400"/>
      <c r="P27" s="400"/>
      <c r="Q27" s="400"/>
      <c r="R27" s="400">
        <f t="shared" si="0"/>
        <v>0</v>
      </c>
      <c r="S27" s="400">
        <f t="shared" si="1"/>
        <v>0</v>
      </c>
    </row>
    <row r="28" spans="1:19" ht="16.5" hidden="1" customHeight="1" x14ac:dyDescent="0.25">
      <c r="A28" s="422"/>
      <c r="B28" s="510"/>
      <c r="C28" s="510"/>
      <c r="D28" s="511"/>
      <c r="E28" s="510"/>
      <c r="F28" s="510"/>
      <c r="G28" s="400"/>
      <c r="H28" s="400"/>
      <c r="I28" s="400"/>
      <c r="J28" s="400"/>
      <c r="K28" s="400"/>
      <c r="L28" s="400"/>
      <c r="M28" s="400"/>
      <c r="N28" s="400"/>
      <c r="O28" s="400"/>
      <c r="P28" s="400"/>
      <c r="Q28" s="400"/>
      <c r="R28" s="400">
        <f t="shared" si="0"/>
        <v>0</v>
      </c>
      <c r="S28" s="400">
        <f t="shared" si="1"/>
        <v>0</v>
      </c>
    </row>
    <row r="29" spans="1:19" ht="16.5" hidden="1" customHeight="1" x14ac:dyDescent="0.25">
      <c r="A29" s="422"/>
      <c r="B29" s="510"/>
      <c r="C29" s="510"/>
      <c r="D29" s="511"/>
      <c r="E29" s="510"/>
      <c r="F29" s="510"/>
      <c r="G29" s="400"/>
      <c r="H29" s="400"/>
      <c r="I29" s="400"/>
      <c r="J29" s="400"/>
      <c r="K29" s="400"/>
      <c r="L29" s="400"/>
      <c r="M29" s="400"/>
      <c r="N29" s="400"/>
      <c r="O29" s="400"/>
      <c r="P29" s="400"/>
      <c r="Q29" s="400"/>
      <c r="R29" s="400">
        <f t="shared" si="0"/>
        <v>0</v>
      </c>
      <c r="S29" s="400">
        <f t="shared" si="1"/>
        <v>0</v>
      </c>
    </row>
    <row r="30" spans="1:19" ht="16.5" hidden="1" customHeight="1" x14ac:dyDescent="0.25">
      <c r="A30" s="422"/>
      <c r="B30" s="510"/>
      <c r="C30" s="510"/>
      <c r="D30" s="511"/>
      <c r="E30" s="510"/>
      <c r="F30" s="510"/>
      <c r="G30" s="400"/>
      <c r="H30" s="400"/>
      <c r="I30" s="400"/>
      <c r="J30" s="400"/>
      <c r="K30" s="400"/>
      <c r="L30" s="400"/>
      <c r="M30" s="400"/>
      <c r="N30" s="400"/>
      <c r="O30" s="400"/>
      <c r="P30" s="400"/>
      <c r="Q30" s="400"/>
      <c r="R30" s="400">
        <f t="shared" si="0"/>
        <v>0</v>
      </c>
      <c r="S30" s="400">
        <f t="shared" si="1"/>
        <v>0</v>
      </c>
    </row>
    <row r="31" spans="1:19" ht="16.5" hidden="1" customHeight="1" x14ac:dyDescent="0.25">
      <c r="A31" s="422"/>
      <c r="B31" s="510"/>
      <c r="C31" s="510"/>
      <c r="D31" s="511"/>
      <c r="E31" s="510"/>
      <c r="F31" s="510"/>
      <c r="G31" s="400"/>
      <c r="H31" s="400"/>
      <c r="I31" s="400"/>
      <c r="J31" s="400"/>
      <c r="K31" s="400"/>
      <c r="L31" s="400"/>
      <c r="M31" s="400"/>
      <c r="N31" s="400"/>
      <c r="O31" s="400"/>
      <c r="P31" s="400"/>
      <c r="Q31" s="400"/>
      <c r="R31" s="400">
        <f t="shared" si="0"/>
        <v>0</v>
      </c>
      <c r="S31" s="400">
        <f t="shared" si="1"/>
        <v>0</v>
      </c>
    </row>
    <row r="32" spans="1:19" ht="16.5" hidden="1" customHeight="1" x14ac:dyDescent="0.25">
      <c r="A32" s="422"/>
      <c r="B32" s="510"/>
      <c r="C32" s="510"/>
      <c r="D32" s="511"/>
      <c r="E32" s="510"/>
      <c r="F32" s="510"/>
      <c r="G32" s="400"/>
      <c r="H32" s="400"/>
      <c r="I32" s="400"/>
      <c r="J32" s="400"/>
      <c r="K32" s="400"/>
      <c r="L32" s="400"/>
      <c r="M32" s="400"/>
      <c r="N32" s="400"/>
      <c r="O32" s="400"/>
      <c r="P32" s="400"/>
      <c r="Q32" s="400"/>
      <c r="R32" s="400">
        <f>P32*Q32*1000</f>
        <v>0</v>
      </c>
      <c r="S32" s="400">
        <f>R32</f>
        <v>0</v>
      </c>
    </row>
    <row r="33" spans="1:19" ht="16.5" hidden="1" customHeight="1" x14ac:dyDescent="0.25">
      <c r="A33" s="422"/>
      <c r="B33" s="510"/>
      <c r="C33" s="510"/>
      <c r="D33" s="511"/>
      <c r="E33" s="510"/>
      <c r="F33" s="510"/>
      <c r="G33" s="400"/>
      <c r="H33" s="400"/>
      <c r="I33" s="400"/>
      <c r="J33" s="400"/>
      <c r="K33" s="400"/>
      <c r="L33" s="400"/>
      <c r="M33" s="400"/>
      <c r="N33" s="400"/>
      <c r="O33" s="400"/>
      <c r="P33" s="400"/>
      <c r="Q33" s="400"/>
      <c r="R33" s="400">
        <f>P33*Q33*1000</f>
        <v>0</v>
      </c>
      <c r="S33" s="400">
        <f>R33</f>
        <v>0</v>
      </c>
    </row>
    <row r="34" spans="1:19" ht="16.5" hidden="1" customHeight="1" x14ac:dyDescent="0.25">
      <c r="A34" s="422"/>
      <c r="B34" s="510"/>
      <c r="C34" s="510"/>
      <c r="D34" s="511"/>
      <c r="E34" s="510"/>
      <c r="F34" s="510"/>
      <c r="G34" s="400"/>
      <c r="H34" s="400"/>
      <c r="I34" s="400"/>
      <c r="J34" s="400"/>
      <c r="K34" s="400"/>
      <c r="L34" s="400"/>
      <c r="M34" s="400"/>
      <c r="N34" s="400"/>
      <c r="O34" s="400"/>
      <c r="P34" s="400"/>
      <c r="Q34" s="400"/>
      <c r="R34" s="400">
        <f>P34*Q34*1000</f>
        <v>0</v>
      </c>
      <c r="S34" s="400">
        <f>R34</f>
        <v>0</v>
      </c>
    </row>
    <row r="35" spans="1:19" ht="16.5" hidden="1" customHeight="1" x14ac:dyDescent="0.25">
      <c r="A35" s="422"/>
      <c r="B35" s="510"/>
      <c r="C35" s="510"/>
      <c r="D35" s="511"/>
      <c r="E35" s="510"/>
      <c r="F35" s="510"/>
      <c r="G35" s="400"/>
      <c r="H35" s="400"/>
      <c r="I35" s="400"/>
      <c r="J35" s="400"/>
      <c r="K35" s="400"/>
      <c r="L35" s="400"/>
      <c r="M35" s="400"/>
      <c r="N35" s="400"/>
      <c r="O35" s="400"/>
      <c r="P35" s="400"/>
      <c r="Q35" s="400"/>
      <c r="R35" s="400">
        <f t="shared" si="0"/>
        <v>0</v>
      </c>
      <c r="S35" s="400">
        <f t="shared" si="1"/>
        <v>0</v>
      </c>
    </row>
    <row r="36" spans="1:19" ht="16.5" hidden="1" customHeight="1" x14ac:dyDescent="0.25">
      <c r="A36" s="422"/>
      <c r="B36" s="510"/>
      <c r="C36" s="510"/>
      <c r="D36" s="511"/>
      <c r="E36" s="510"/>
      <c r="F36" s="51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>
        <f t="shared" si="0"/>
        <v>0</v>
      </c>
      <c r="S36" s="400">
        <f t="shared" si="1"/>
        <v>0</v>
      </c>
    </row>
    <row r="37" spans="1:19" ht="16.5" hidden="1" customHeight="1" x14ac:dyDescent="0.25">
      <c r="A37" s="422"/>
      <c r="B37" s="464" t="s">
        <v>475</v>
      </c>
      <c r="C37" s="464"/>
      <c r="D37" s="467"/>
      <c r="E37" s="419"/>
      <c r="F37" s="464"/>
      <c r="G37" s="419">
        <f>SUM(G38:G55)</f>
        <v>0</v>
      </c>
      <c r="H37" s="419">
        <f>SUM(H38:H55)</f>
        <v>0</v>
      </c>
      <c r="I37" s="419">
        <f>SUM(I38:I55)</f>
        <v>0</v>
      </c>
      <c r="J37" s="691"/>
      <c r="K37" s="691"/>
      <c r="L37" s="691"/>
      <c r="M37" s="419">
        <f>SUM(M38:M55)</f>
        <v>0</v>
      </c>
      <c r="N37" s="419"/>
      <c r="O37" s="419">
        <f>SUM(O38:O55)</f>
        <v>0</v>
      </c>
      <c r="P37" s="419">
        <f>SUM(P38:P55)</f>
        <v>0</v>
      </c>
      <c r="Q37" s="419"/>
      <c r="R37" s="419">
        <f>SUM(R38:R55)</f>
        <v>0</v>
      </c>
      <c r="S37" s="419">
        <f>SUM(S38:S55)</f>
        <v>0</v>
      </c>
    </row>
    <row r="38" spans="1:19" ht="16.5" hidden="1" customHeight="1" x14ac:dyDescent="0.25">
      <c r="A38" s="422"/>
      <c r="B38" s="510"/>
      <c r="C38" s="510"/>
      <c r="D38" s="511"/>
      <c r="E38" s="510"/>
      <c r="F38" s="51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>
        <f>P38*Q38*1000</f>
        <v>0</v>
      </c>
      <c r="S38" s="400">
        <f>R38</f>
        <v>0</v>
      </c>
    </row>
    <row r="39" spans="1:19" ht="16.5" hidden="1" customHeight="1" x14ac:dyDescent="0.25">
      <c r="A39" s="422"/>
      <c r="B39" s="510"/>
      <c r="C39" s="510"/>
      <c r="D39" s="511"/>
      <c r="E39" s="510"/>
      <c r="F39" s="510"/>
      <c r="G39" s="400"/>
      <c r="H39" s="400"/>
      <c r="I39" s="400"/>
      <c r="J39" s="400"/>
      <c r="K39" s="400"/>
      <c r="L39" s="400"/>
      <c r="M39" s="400"/>
      <c r="N39" s="400"/>
      <c r="O39" s="400"/>
      <c r="P39" s="400"/>
      <c r="Q39" s="400"/>
      <c r="R39" s="400">
        <f>P39*Q39*1000</f>
        <v>0</v>
      </c>
      <c r="S39" s="400">
        <f>R39</f>
        <v>0</v>
      </c>
    </row>
    <row r="40" spans="1:19" ht="16.5" hidden="1" customHeight="1" x14ac:dyDescent="0.25">
      <c r="A40" s="422"/>
      <c r="B40" s="510"/>
      <c r="C40" s="510"/>
      <c r="D40" s="511"/>
      <c r="E40" s="510"/>
      <c r="F40" s="51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>
        <f>P40*Q40*1000</f>
        <v>0</v>
      </c>
      <c r="S40" s="400">
        <f>R40</f>
        <v>0</v>
      </c>
    </row>
    <row r="41" spans="1:19" ht="16.5" hidden="1" customHeight="1" x14ac:dyDescent="0.25">
      <c r="A41" s="422"/>
      <c r="B41" s="510"/>
      <c r="C41" s="510"/>
      <c r="D41" s="511"/>
      <c r="E41" s="510"/>
      <c r="F41" s="510"/>
      <c r="G41" s="400"/>
      <c r="H41" s="400"/>
      <c r="I41" s="400"/>
      <c r="J41" s="400"/>
      <c r="K41" s="400"/>
      <c r="L41" s="400"/>
      <c r="M41" s="400"/>
      <c r="N41" s="400"/>
      <c r="O41" s="400"/>
      <c r="P41" s="400"/>
      <c r="Q41" s="400"/>
      <c r="R41" s="400">
        <f t="shared" ref="R41:R46" si="2">P41*Q41*1000</f>
        <v>0</v>
      </c>
      <c r="S41" s="400">
        <f t="shared" ref="S41:S46" si="3">R41</f>
        <v>0</v>
      </c>
    </row>
    <row r="42" spans="1:19" ht="16.5" hidden="1" customHeight="1" x14ac:dyDescent="0.25">
      <c r="A42" s="422"/>
      <c r="B42" s="510"/>
      <c r="C42" s="510"/>
      <c r="D42" s="511"/>
      <c r="E42" s="510"/>
      <c r="F42" s="51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>
        <f t="shared" si="2"/>
        <v>0</v>
      </c>
      <c r="S42" s="400">
        <f t="shared" si="3"/>
        <v>0</v>
      </c>
    </row>
    <row r="43" spans="1:19" ht="16.5" hidden="1" customHeight="1" x14ac:dyDescent="0.25">
      <c r="A43" s="422"/>
      <c r="B43" s="510"/>
      <c r="C43" s="510"/>
      <c r="D43" s="511"/>
      <c r="E43" s="510"/>
      <c r="F43" s="510"/>
      <c r="G43" s="400"/>
      <c r="H43" s="400"/>
      <c r="I43" s="400"/>
      <c r="J43" s="400"/>
      <c r="K43" s="400"/>
      <c r="L43" s="400"/>
      <c r="M43" s="400"/>
      <c r="N43" s="400"/>
      <c r="O43" s="400"/>
      <c r="P43" s="400"/>
      <c r="Q43" s="400"/>
      <c r="R43" s="400">
        <f t="shared" si="2"/>
        <v>0</v>
      </c>
      <c r="S43" s="400">
        <f t="shared" si="3"/>
        <v>0</v>
      </c>
    </row>
    <row r="44" spans="1:19" s="693" customFormat="1" ht="16.5" hidden="1" customHeight="1" x14ac:dyDescent="0.25">
      <c r="A44" s="424"/>
      <c r="B44" s="510"/>
      <c r="C44" s="510"/>
      <c r="D44" s="511"/>
      <c r="E44" s="510"/>
      <c r="F44" s="51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692">
        <f t="shared" si="2"/>
        <v>0</v>
      </c>
      <c r="S44" s="692">
        <f t="shared" si="3"/>
        <v>0</v>
      </c>
    </row>
    <row r="45" spans="1:19" ht="16.5" hidden="1" customHeight="1" x14ac:dyDescent="0.25">
      <c r="A45" s="422"/>
      <c r="B45" s="510"/>
      <c r="C45" s="510"/>
      <c r="D45" s="511"/>
      <c r="E45" s="510"/>
      <c r="F45" s="51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>
        <f t="shared" si="2"/>
        <v>0</v>
      </c>
      <c r="S45" s="400">
        <f t="shared" si="3"/>
        <v>0</v>
      </c>
    </row>
    <row r="46" spans="1:19" ht="16.5" hidden="1" customHeight="1" x14ac:dyDescent="0.25">
      <c r="A46" s="422"/>
      <c r="B46" s="510"/>
      <c r="C46" s="510"/>
      <c r="D46" s="511"/>
      <c r="E46" s="510"/>
      <c r="F46" s="51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>
        <f t="shared" si="2"/>
        <v>0</v>
      </c>
      <c r="S46" s="400">
        <f t="shared" si="3"/>
        <v>0</v>
      </c>
    </row>
    <row r="47" spans="1:19" ht="16.5" hidden="1" customHeight="1" x14ac:dyDescent="0.25">
      <c r="A47" s="422"/>
      <c r="B47" s="510"/>
      <c r="C47" s="510"/>
      <c r="D47" s="511"/>
      <c r="E47" s="510"/>
      <c r="F47" s="51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>
        <f>P47*Q47*1000</f>
        <v>0</v>
      </c>
      <c r="S47" s="400">
        <f>R47</f>
        <v>0</v>
      </c>
    </row>
    <row r="48" spans="1:19" ht="16.5" hidden="1" customHeight="1" x14ac:dyDescent="0.25">
      <c r="A48" s="422"/>
      <c r="B48" s="510"/>
      <c r="C48" s="510"/>
      <c r="D48" s="511"/>
      <c r="E48" s="510"/>
      <c r="F48" s="510"/>
      <c r="G48" s="400"/>
      <c r="H48" s="400"/>
      <c r="I48" s="400"/>
      <c r="J48" s="400"/>
      <c r="K48" s="400"/>
      <c r="L48" s="400"/>
      <c r="M48" s="400"/>
      <c r="N48" s="400"/>
      <c r="O48" s="400"/>
      <c r="P48" s="400"/>
      <c r="Q48" s="400"/>
      <c r="R48" s="400">
        <f>P48*Q48*1000</f>
        <v>0</v>
      </c>
      <c r="S48" s="400">
        <f>R48</f>
        <v>0</v>
      </c>
    </row>
    <row r="49" spans="1:19" ht="16.5" hidden="1" customHeight="1" x14ac:dyDescent="0.25">
      <c r="A49" s="422"/>
      <c r="B49" s="510"/>
      <c r="C49" s="510"/>
      <c r="D49" s="511"/>
      <c r="E49" s="510"/>
      <c r="F49" s="51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>
        <f>P49*Q49*1000</f>
        <v>0</v>
      </c>
      <c r="S49" s="400">
        <f>R49</f>
        <v>0</v>
      </c>
    </row>
    <row r="50" spans="1:19" ht="16.5" hidden="1" customHeight="1" x14ac:dyDescent="0.25">
      <c r="A50" s="422"/>
      <c r="B50" s="510"/>
      <c r="C50" s="510"/>
      <c r="D50" s="511"/>
      <c r="E50" s="510"/>
      <c r="F50" s="51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>
        <f>P50*Q50*1000</f>
        <v>0</v>
      </c>
      <c r="S50" s="400">
        <f>R50</f>
        <v>0</v>
      </c>
    </row>
    <row r="51" spans="1:19" ht="16.5" hidden="1" customHeight="1" x14ac:dyDescent="0.25">
      <c r="A51" s="422"/>
      <c r="B51" s="510"/>
      <c r="C51" s="510"/>
      <c r="D51" s="511"/>
      <c r="E51" s="510"/>
      <c r="F51" s="51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>
        <f>O51</f>
        <v>0</v>
      </c>
    </row>
    <row r="52" spans="1:19" ht="16.5" hidden="1" customHeight="1" x14ac:dyDescent="0.25">
      <c r="A52" s="422"/>
      <c r="B52" s="510"/>
      <c r="C52" s="510"/>
      <c r="D52" s="511"/>
      <c r="E52" s="510"/>
      <c r="F52" s="51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>
        <f>P52*Q52*1000</f>
        <v>0</v>
      </c>
      <c r="S52" s="400">
        <f>R52</f>
        <v>0</v>
      </c>
    </row>
    <row r="53" spans="1:19" ht="16.5" hidden="1" customHeight="1" x14ac:dyDescent="0.25">
      <c r="A53" s="422"/>
      <c r="B53" s="510"/>
      <c r="C53" s="510"/>
      <c r="D53" s="511"/>
      <c r="E53" s="510"/>
      <c r="F53" s="510"/>
      <c r="G53" s="400"/>
      <c r="H53" s="400"/>
      <c r="I53" s="400"/>
      <c r="J53" s="400"/>
      <c r="K53" s="400"/>
      <c r="L53" s="400"/>
      <c r="M53" s="400"/>
      <c r="N53" s="400"/>
      <c r="O53" s="400"/>
      <c r="P53" s="400"/>
      <c r="Q53" s="400"/>
      <c r="R53" s="400">
        <f t="shared" ref="R53:R55" si="4">P53*Q53*1000</f>
        <v>0</v>
      </c>
      <c r="S53" s="400">
        <f t="shared" ref="S53:S55" si="5">R53</f>
        <v>0</v>
      </c>
    </row>
    <row r="54" spans="1:19" ht="16.5" hidden="1" customHeight="1" x14ac:dyDescent="0.25">
      <c r="A54" s="422"/>
      <c r="B54" s="510"/>
      <c r="C54" s="510"/>
      <c r="D54" s="511"/>
      <c r="E54" s="510"/>
      <c r="F54" s="510"/>
      <c r="G54" s="400"/>
      <c r="H54" s="400"/>
      <c r="I54" s="400"/>
      <c r="J54" s="400"/>
      <c r="K54" s="400"/>
      <c r="L54" s="400"/>
      <c r="M54" s="400"/>
      <c r="N54" s="400"/>
      <c r="O54" s="400"/>
      <c r="P54" s="400"/>
      <c r="Q54" s="400"/>
      <c r="R54" s="400">
        <f t="shared" si="4"/>
        <v>0</v>
      </c>
      <c r="S54" s="400">
        <f t="shared" si="5"/>
        <v>0</v>
      </c>
    </row>
    <row r="55" spans="1:19" ht="16.5" hidden="1" customHeight="1" x14ac:dyDescent="0.25">
      <c r="A55" s="422"/>
      <c r="B55" s="510"/>
      <c r="C55" s="510"/>
      <c r="D55" s="511"/>
      <c r="E55" s="510"/>
      <c r="F55" s="51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>
        <f t="shared" si="4"/>
        <v>0</v>
      </c>
      <c r="S55" s="400">
        <f t="shared" si="5"/>
        <v>0</v>
      </c>
    </row>
    <row r="56" spans="1:19" ht="16.5" customHeight="1" x14ac:dyDescent="0.25">
      <c r="A56" s="428"/>
      <c r="B56" s="429" t="s">
        <v>271</v>
      </c>
      <c r="C56" s="429"/>
      <c r="D56" s="430"/>
      <c r="E56" s="430"/>
      <c r="F56" s="429"/>
      <c r="G56" s="432">
        <f>G57</f>
        <v>57</v>
      </c>
      <c r="H56" s="432">
        <f>H57</f>
        <v>0</v>
      </c>
      <c r="I56" s="432">
        <f>I57</f>
        <v>57</v>
      </c>
      <c r="J56" s="433"/>
      <c r="K56" s="433"/>
      <c r="L56" s="433"/>
      <c r="M56" s="432">
        <f>M57</f>
        <v>0</v>
      </c>
      <c r="N56" s="432"/>
      <c r="O56" s="432">
        <f>O57</f>
        <v>0</v>
      </c>
      <c r="P56" s="432">
        <f>P57</f>
        <v>53.92</v>
      </c>
      <c r="Q56" s="432"/>
      <c r="R56" s="432">
        <f>R57</f>
        <v>916674</v>
      </c>
      <c r="S56" s="432">
        <f>S57</f>
        <v>916674</v>
      </c>
    </row>
    <row r="57" spans="1:19" ht="16.5" customHeight="1" x14ac:dyDescent="0.25">
      <c r="A57" s="469"/>
      <c r="B57" s="481"/>
      <c r="C57" s="481" t="s">
        <v>473</v>
      </c>
      <c r="D57" s="472">
        <v>46</v>
      </c>
      <c r="E57" s="472">
        <v>88</v>
      </c>
      <c r="F57" s="481"/>
      <c r="G57" s="694">
        <v>57</v>
      </c>
      <c r="H57" s="694"/>
      <c r="I57" s="694">
        <v>57</v>
      </c>
      <c r="J57" s="695"/>
      <c r="K57" s="695"/>
      <c r="L57" s="695"/>
      <c r="M57" s="694"/>
      <c r="N57" s="694"/>
      <c r="O57" s="694"/>
      <c r="P57" s="694">
        <f>P58</f>
        <v>53.92</v>
      </c>
      <c r="Q57" s="694"/>
      <c r="R57" s="694">
        <f>R58</f>
        <v>916674</v>
      </c>
      <c r="S57" s="694">
        <f>S58</f>
        <v>916674</v>
      </c>
    </row>
    <row r="58" spans="1:19" ht="16.5" customHeight="1" x14ac:dyDescent="0.25">
      <c r="A58" s="469"/>
      <c r="B58" s="481" t="s">
        <v>669</v>
      </c>
      <c r="C58" s="481"/>
      <c r="D58" s="471">
        <v>46</v>
      </c>
      <c r="E58" s="471">
        <v>88</v>
      </c>
      <c r="F58" s="696" t="s">
        <v>670</v>
      </c>
      <c r="G58" s="474">
        <v>57</v>
      </c>
      <c r="H58" s="474"/>
      <c r="I58" s="474">
        <v>57</v>
      </c>
      <c r="J58" s="697">
        <v>4.7300000000000004</v>
      </c>
      <c r="K58" s="697">
        <v>3.78</v>
      </c>
      <c r="L58" s="697">
        <v>0.2</v>
      </c>
      <c r="M58" s="474"/>
      <c r="N58" s="474"/>
      <c r="O58" s="474"/>
      <c r="P58" s="474">
        <v>53.92</v>
      </c>
      <c r="Q58" s="474">
        <v>17</v>
      </c>
      <c r="R58" s="474">
        <v>916674</v>
      </c>
      <c r="S58" s="474">
        <v>916674</v>
      </c>
    </row>
    <row r="59" spans="1:19" ht="16.5" customHeight="1" x14ac:dyDescent="0.25">
      <c r="A59" s="461"/>
      <c r="B59" s="464"/>
      <c r="C59" s="464"/>
      <c r="D59" s="691"/>
      <c r="E59" s="691"/>
      <c r="F59" s="464"/>
      <c r="G59" s="419"/>
      <c r="H59" s="419"/>
      <c r="I59" s="419"/>
      <c r="J59" s="419"/>
      <c r="K59" s="419"/>
      <c r="L59" s="419"/>
      <c r="M59" s="419"/>
      <c r="N59" s="419"/>
      <c r="O59" s="419"/>
      <c r="P59" s="419"/>
      <c r="Q59" s="419"/>
      <c r="R59" s="419"/>
      <c r="S59" s="419"/>
    </row>
    <row r="60" spans="1:19" s="699" customFormat="1" ht="12.75" customHeight="1" x14ac:dyDescent="0.25">
      <c r="A60" s="1630" t="s">
        <v>431</v>
      </c>
      <c r="B60" s="1632" t="s">
        <v>671</v>
      </c>
      <c r="C60" s="1634" t="s">
        <v>668</v>
      </c>
      <c r="D60" s="1636" t="s">
        <v>434</v>
      </c>
      <c r="E60" s="1636" t="s">
        <v>435</v>
      </c>
      <c r="F60" s="1634" t="s">
        <v>436</v>
      </c>
      <c r="G60" s="1643" t="s">
        <v>672</v>
      </c>
      <c r="H60" s="1644"/>
      <c r="I60" s="1645"/>
      <c r="J60" s="1643" t="s">
        <v>673</v>
      </c>
      <c r="K60" s="1645"/>
      <c r="L60" s="1632" t="s">
        <v>439</v>
      </c>
      <c r="M60" s="1649" t="s">
        <v>440</v>
      </c>
      <c r="N60" s="1650"/>
      <c r="O60" s="1650"/>
      <c r="P60" s="1650"/>
      <c r="Q60" s="1650"/>
      <c r="R60" s="1650"/>
      <c r="S60" s="698"/>
    </row>
    <row r="61" spans="1:19" s="699" customFormat="1" ht="12.75" x14ac:dyDescent="0.25">
      <c r="A61" s="1631"/>
      <c r="B61" s="1633"/>
      <c r="C61" s="1635"/>
      <c r="D61" s="1637"/>
      <c r="E61" s="1637"/>
      <c r="F61" s="1635"/>
      <c r="G61" s="1646"/>
      <c r="H61" s="1647"/>
      <c r="I61" s="1648"/>
      <c r="J61" s="1646"/>
      <c r="K61" s="1648"/>
      <c r="L61" s="1633"/>
      <c r="M61" s="1651" t="s">
        <v>674</v>
      </c>
      <c r="N61" s="1652"/>
      <c r="O61" s="1653"/>
      <c r="P61" s="1651" t="s">
        <v>675</v>
      </c>
      <c r="Q61" s="1654"/>
      <c r="R61" s="1654"/>
      <c r="S61" s="1641" t="s">
        <v>452</v>
      </c>
    </row>
    <row r="62" spans="1:19" s="699" customFormat="1" ht="25.5" x14ac:dyDescent="0.25">
      <c r="A62" s="1631"/>
      <c r="B62" s="1634"/>
      <c r="C62" s="1635"/>
      <c r="D62" s="1637"/>
      <c r="E62" s="1637"/>
      <c r="F62" s="1635"/>
      <c r="G62" s="700" t="s">
        <v>447</v>
      </c>
      <c r="H62" s="701" t="s">
        <v>448</v>
      </c>
      <c r="I62" s="701" t="s">
        <v>449</v>
      </c>
      <c r="J62" s="701" t="s">
        <v>441</v>
      </c>
      <c r="K62" s="701" t="s">
        <v>442</v>
      </c>
      <c r="L62" s="1634"/>
      <c r="M62" s="1525" t="s">
        <v>450</v>
      </c>
      <c r="N62" s="1525" t="s">
        <v>451</v>
      </c>
      <c r="O62" s="1525" t="s">
        <v>452</v>
      </c>
      <c r="P62" s="1525" t="s">
        <v>450</v>
      </c>
      <c r="Q62" s="1525" t="s">
        <v>453</v>
      </c>
      <c r="R62" s="702" t="s">
        <v>452</v>
      </c>
      <c r="S62" s="1642"/>
    </row>
    <row r="63" spans="1:19" x14ac:dyDescent="0.25">
      <c r="A63" s="703"/>
      <c r="B63" s="704"/>
      <c r="C63" s="705"/>
      <c r="D63" s="423"/>
      <c r="E63" s="423"/>
      <c r="F63" s="705"/>
      <c r="G63" s="422"/>
      <c r="H63" s="422"/>
      <c r="I63" s="422"/>
      <c r="J63" s="697"/>
      <c r="K63" s="422"/>
      <c r="L63" s="422"/>
      <c r="M63" s="422"/>
      <c r="N63" s="422"/>
      <c r="O63" s="422"/>
      <c r="P63" s="695"/>
      <c r="Q63" s="691"/>
      <c r="R63" s="706"/>
      <c r="S63" s="400"/>
    </row>
    <row r="64" spans="1:19" x14ac:dyDescent="0.25">
      <c r="A64" s="707"/>
      <c r="B64" s="708"/>
      <c r="C64" s="709" t="s">
        <v>676</v>
      </c>
      <c r="D64" s="710"/>
      <c r="E64" s="710"/>
      <c r="F64" s="709"/>
      <c r="G64" s="691">
        <f>SUM(G65:G74)</f>
        <v>43</v>
      </c>
      <c r="H64" s="691">
        <f>SUM(H65:H74)</f>
        <v>23</v>
      </c>
      <c r="I64" s="691">
        <f>SUM(I65:I74)</f>
        <v>20</v>
      </c>
      <c r="J64" s="695"/>
      <c r="K64" s="691"/>
      <c r="L64" s="691"/>
      <c r="M64" s="691"/>
      <c r="N64" s="691">
        <f>SUM(N65:N74)</f>
        <v>205600</v>
      </c>
      <c r="O64" s="691">
        <f>O65+O66+O67+O75</f>
        <v>205000</v>
      </c>
      <c r="P64" s="695"/>
      <c r="Q64" s="691"/>
      <c r="R64" s="706"/>
      <c r="S64" s="691">
        <f>SUM(S65:S74)</f>
        <v>1355200</v>
      </c>
    </row>
    <row r="65" spans="1:19" x14ac:dyDescent="0.25">
      <c r="A65" s="711">
        <v>2</v>
      </c>
      <c r="B65" s="704" t="s">
        <v>677</v>
      </c>
      <c r="C65" s="705" t="s">
        <v>678</v>
      </c>
      <c r="D65" s="423"/>
      <c r="E65" s="422">
        <v>2</v>
      </c>
      <c r="F65" s="705" t="s">
        <v>539</v>
      </c>
      <c r="G65" s="422">
        <v>2</v>
      </c>
      <c r="H65" s="422">
        <v>2</v>
      </c>
      <c r="I65" s="422"/>
      <c r="J65" s="697">
        <v>20</v>
      </c>
      <c r="K65" s="422"/>
      <c r="L65" s="422">
        <v>1</v>
      </c>
      <c r="M65" s="422">
        <v>40</v>
      </c>
      <c r="N65" s="422">
        <v>36000</v>
      </c>
      <c r="O65" s="422">
        <v>72000</v>
      </c>
      <c r="P65" s="400"/>
      <c r="Q65" s="422"/>
      <c r="R65" s="712"/>
      <c r="S65" s="713">
        <v>72000</v>
      </c>
    </row>
    <row r="66" spans="1:19" x14ac:dyDescent="0.25">
      <c r="A66" s="711"/>
      <c r="C66" s="705" t="s">
        <v>679</v>
      </c>
      <c r="D66" s="423"/>
      <c r="E66" s="422">
        <v>3</v>
      </c>
      <c r="F66" s="705" t="s">
        <v>680</v>
      </c>
      <c r="G66" s="422">
        <v>3</v>
      </c>
      <c r="H66" s="422">
        <v>3</v>
      </c>
      <c r="I66" s="422"/>
      <c r="J66" s="697">
        <v>20</v>
      </c>
      <c r="K66" s="422"/>
      <c r="L66" s="422">
        <v>1</v>
      </c>
      <c r="M66" s="422">
        <v>60</v>
      </c>
      <c r="N66" s="422">
        <v>38000</v>
      </c>
      <c r="O66" s="422">
        <v>114000</v>
      </c>
      <c r="P66" s="400"/>
      <c r="Q66" s="422"/>
      <c r="R66" s="712"/>
      <c r="S66" s="713">
        <v>114000</v>
      </c>
    </row>
    <row r="67" spans="1:19" x14ac:dyDescent="0.25">
      <c r="A67" s="711"/>
      <c r="B67" s="704"/>
      <c r="C67" s="705" t="s">
        <v>681</v>
      </c>
      <c r="D67" s="423"/>
      <c r="E67" s="422">
        <v>2</v>
      </c>
      <c r="F67" s="705" t="s">
        <v>682</v>
      </c>
      <c r="G67" s="422">
        <v>2</v>
      </c>
      <c r="H67" s="422"/>
      <c r="I67" s="422">
        <v>2</v>
      </c>
      <c r="J67" s="697">
        <v>20</v>
      </c>
      <c r="K67" s="422">
        <v>15</v>
      </c>
      <c r="L67" s="422">
        <v>0.25</v>
      </c>
      <c r="M67" s="422">
        <v>10</v>
      </c>
      <c r="N67" s="422">
        <v>38000</v>
      </c>
      <c r="O67" s="422">
        <v>19000</v>
      </c>
      <c r="P67" s="400"/>
      <c r="Q67" s="422"/>
      <c r="R67" s="712"/>
      <c r="S67" s="713">
        <v>19000</v>
      </c>
    </row>
    <row r="68" spans="1:19" x14ac:dyDescent="0.25">
      <c r="A68" s="711"/>
      <c r="B68" s="704"/>
      <c r="C68" s="705"/>
      <c r="D68" s="423"/>
      <c r="E68" s="422">
        <v>3</v>
      </c>
      <c r="F68" s="705" t="s">
        <v>683</v>
      </c>
      <c r="G68" s="422">
        <v>3</v>
      </c>
      <c r="H68" s="422"/>
      <c r="I68" s="422">
        <v>3</v>
      </c>
      <c r="J68" s="697">
        <v>20</v>
      </c>
      <c r="K68" s="422">
        <v>17</v>
      </c>
      <c r="L68" s="422">
        <v>0.15</v>
      </c>
      <c r="M68" s="422"/>
      <c r="N68" s="422"/>
      <c r="O68" s="422"/>
      <c r="P68" s="400">
        <v>9</v>
      </c>
      <c r="Q68" s="422">
        <v>30</v>
      </c>
      <c r="R68" s="712">
        <v>270000</v>
      </c>
      <c r="S68" s="713">
        <v>270000</v>
      </c>
    </row>
    <row r="69" spans="1:19" x14ac:dyDescent="0.25">
      <c r="A69" s="711"/>
      <c r="B69" s="704"/>
      <c r="C69" s="705" t="s">
        <v>684</v>
      </c>
      <c r="D69" s="423"/>
      <c r="E69" s="422">
        <v>3</v>
      </c>
      <c r="F69" s="705" t="s">
        <v>685</v>
      </c>
      <c r="G69" s="422">
        <v>3</v>
      </c>
      <c r="H69" s="422"/>
      <c r="I69" s="422">
        <v>3</v>
      </c>
      <c r="J69" s="697">
        <v>10</v>
      </c>
      <c r="K69" s="422">
        <v>7.5</v>
      </c>
      <c r="L69" s="422">
        <v>0.25</v>
      </c>
      <c r="M69" s="422">
        <v>7.5</v>
      </c>
      <c r="N69" s="422">
        <v>12000</v>
      </c>
      <c r="O69" s="422">
        <v>9000</v>
      </c>
      <c r="P69" s="400"/>
      <c r="Q69" s="422"/>
      <c r="R69" s="712"/>
      <c r="S69" s="713">
        <v>9000</v>
      </c>
    </row>
    <row r="70" spans="1:19" x14ac:dyDescent="0.25">
      <c r="A70" s="711"/>
      <c r="B70" s="704"/>
      <c r="C70" s="705" t="s">
        <v>686</v>
      </c>
      <c r="D70" s="423"/>
      <c r="E70" s="422">
        <v>2</v>
      </c>
      <c r="F70" s="705" t="s">
        <v>683</v>
      </c>
      <c r="G70" s="422">
        <v>2</v>
      </c>
      <c r="H70" s="422"/>
      <c r="I70" s="422">
        <v>2</v>
      </c>
      <c r="J70" s="697">
        <v>12</v>
      </c>
      <c r="K70" s="422">
        <v>9</v>
      </c>
      <c r="L70" s="422">
        <v>0.25</v>
      </c>
      <c r="M70" s="422"/>
      <c r="N70" s="422"/>
      <c r="O70" s="422"/>
      <c r="P70" s="400">
        <v>6</v>
      </c>
      <c r="Q70" s="422">
        <v>30</v>
      </c>
      <c r="R70" s="712">
        <v>180000</v>
      </c>
      <c r="S70" s="713">
        <v>180000</v>
      </c>
    </row>
    <row r="71" spans="1:19" x14ac:dyDescent="0.25">
      <c r="A71" s="711"/>
      <c r="B71" s="704"/>
      <c r="C71" s="705"/>
      <c r="D71" s="423"/>
      <c r="E71" s="422">
        <v>4</v>
      </c>
      <c r="F71" s="705" t="s">
        <v>625</v>
      </c>
      <c r="G71" s="422">
        <v>4</v>
      </c>
      <c r="H71" s="422">
        <v>4</v>
      </c>
      <c r="I71" s="422"/>
      <c r="J71" s="697">
        <v>12</v>
      </c>
      <c r="K71" s="422"/>
      <c r="L71" s="422">
        <v>1</v>
      </c>
      <c r="M71" s="422"/>
      <c r="N71" s="422">
        <v>12000</v>
      </c>
      <c r="O71" s="422">
        <v>48000</v>
      </c>
      <c r="P71" s="400"/>
      <c r="Q71" s="422"/>
      <c r="R71" s="712"/>
      <c r="S71" s="713">
        <v>48000</v>
      </c>
    </row>
    <row r="72" spans="1:19" x14ac:dyDescent="0.25">
      <c r="A72" s="711"/>
      <c r="B72" s="704"/>
      <c r="C72" s="705" t="s">
        <v>687</v>
      </c>
      <c r="D72" s="423"/>
      <c r="E72" s="422">
        <v>10</v>
      </c>
      <c r="F72" s="705" t="s">
        <v>685</v>
      </c>
      <c r="G72" s="422">
        <v>10</v>
      </c>
      <c r="H72" s="422"/>
      <c r="I72" s="422">
        <v>10</v>
      </c>
      <c r="J72" s="697">
        <v>1.3</v>
      </c>
      <c r="K72" s="422">
        <v>6.5000000000000002E-2</v>
      </c>
      <c r="L72" s="422">
        <v>0.5</v>
      </c>
      <c r="M72" s="422">
        <v>6.5</v>
      </c>
      <c r="N72" s="422">
        <v>4800</v>
      </c>
      <c r="O72" s="422">
        <v>24000</v>
      </c>
      <c r="P72" s="400">
        <v>6.5</v>
      </c>
      <c r="Q72" s="422"/>
      <c r="R72" s="712"/>
      <c r="S72" s="713">
        <v>24000</v>
      </c>
    </row>
    <row r="73" spans="1:19" x14ac:dyDescent="0.25">
      <c r="A73" s="711"/>
      <c r="B73" s="704"/>
      <c r="C73" s="705"/>
      <c r="D73" s="423"/>
      <c r="E73" s="422">
        <v>4</v>
      </c>
      <c r="F73" s="705" t="s">
        <v>625</v>
      </c>
      <c r="G73" s="422">
        <v>4</v>
      </c>
      <c r="H73" s="422">
        <v>4</v>
      </c>
      <c r="I73" s="422"/>
      <c r="J73" s="697">
        <v>1.3</v>
      </c>
      <c r="K73" s="422"/>
      <c r="L73" s="422">
        <v>1</v>
      </c>
      <c r="M73" s="422"/>
      <c r="N73" s="422">
        <v>4800</v>
      </c>
      <c r="O73" s="422">
        <v>19200</v>
      </c>
      <c r="P73" s="400"/>
      <c r="Q73" s="422"/>
      <c r="R73" s="712"/>
      <c r="S73" s="713">
        <v>19200</v>
      </c>
    </row>
    <row r="74" spans="1:19" x14ac:dyDescent="0.25">
      <c r="A74" s="711"/>
      <c r="B74" s="704"/>
      <c r="C74" s="705" t="s">
        <v>688</v>
      </c>
      <c r="D74" s="423">
        <v>30</v>
      </c>
      <c r="E74" s="422">
        <v>10</v>
      </c>
      <c r="F74" s="705" t="s">
        <v>689</v>
      </c>
      <c r="G74" s="422">
        <v>10</v>
      </c>
      <c r="H74" s="422">
        <v>10</v>
      </c>
      <c r="I74" s="422"/>
      <c r="J74" s="697">
        <v>13</v>
      </c>
      <c r="K74" s="422"/>
      <c r="L74" s="422">
        <v>1</v>
      </c>
      <c r="M74" s="422">
        <v>130</v>
      </c>
      <c r="N74" s="422">
        <v>60000</v>
      </c>
      <c r="O74" s="422">
        <v>60000</v>
      </c>
      <c r="P74" s="400"/>
      <c r="Q74" s="422"/>
      <c r="R74" s="712"/>
      <c r="S74" s="713">
        <v>600000</v>
      </c>
    </row>
    <row r="75" spans="1:19" x14ac:dyDescent="0.25">
      <c r="A75" s="711"/>
      <c r="B75" s="704"/>
      <c r="C75" s="705"/>
      <c r="D75" s="423"/>
      <c r="E75" s="691"/>
      <c r="F75" s="705"/>
      <c r="G75" s="422"/>
      <c r="H75" s="422"/>
      <c r="I75" s="422"/>
      <c r="J75" s="697"/>
      <c r="K75" s="691"/>
      <c r="L75" s="422"/>
      <c r="M75" s="691"/>
      <c r="N75" s="422"/>
      <c r="O75" s="422"/>
      <c r="P75" s="400"/>
      <c r="Q75" s="422"/>
      <c r="R75" s="712"/>
      <c r="S75" s="713"/>
    </row>
    <row r="76" spans="1:19" x14ac:dyDescent="0.25">
      <c r="A76" s="714"/>
      <c r="B76" s="493"/>
      <c r="C76" s="493"/>
      <c r="D76" s="494"/>
      <c r="E76" s="494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03"/>
      <c r="S76" s="403"/>
    </row>
    <row r="77" spans="1:19" x14ac:dyDescent="0.25">
      <c r="A77" s="1530" t="s">
        <v>522</v>
      </c>
      <c r="B77" s="493"/>
      <c r="C77" s="493"/>
      <c r="D77" s="494"/>
      <c r="E77" s="494"/>
      <c r="F77" s="493"/>
      <c r="G77" s="493"/>
      <c r="H77" s="715" t="s">
        <v>690</v>
      </c>
      <c r="I77" s="493"/>
      <c r="J77" s="493"/>
      <c r="K77" s="493"/>
      <c r="L77" s="493"/>
      <c r="M77" s="493"/>
      <c r="N77" s="493"/>
      <c r="O77" s="493"/>
      <c r="P77" s="495" t="s">
        <v>691</v>
      </c>
      <c r="Q77" s="495"/>
      <c r="R77" s="403"/>
      <c r="S77" s="403"/>
    </row>
    <row r="78" spans="1:19" x14ac:dyDescent="0.25">
      <c r="A78" s="1530"/>
      <c r="B78" s="493"/>
      <c r="C78" s="493"/>
      <c r="D78" s="494"/>
      <c r="E78" s="494"/>
      <c r="F78" s="493"/>
      <c r="G78" s="493"/>
      <c r="H78" s="715"/>
      <c r="I78" s="493"/>
      <c r="J78" s="493"/>
      <c r="K78" s="493"/>
      <c r="L78" s="493"/>
      <c r="M78" s="493"/>
      <c r="N78" s="493"/>
      <c r="O78" s="493"/>
      <c r="P78" s="493"/>
      <c r="Q78" s="495"/>
      <c r="R78" s="403"/>
      <c r="S78" s="403"/>
    </row>
    <row r="79" spans="1:19" x14ac:dyDescent="0.25">
      <c r="A79" s="495"/>
      <c r="B79" s="495"/>
      <c r="C79" s="495"/>
      <c r="D79" s="496"/>
      <c r="E79" s="496"/>
      <c r="F79" s="495"/>
      <c r="G79" s="495"/>
      <c r="H79" s="715"/>
      <c r="I79" s="495"/>
      <c r="J79" s="495"/>
      <c r="K79" s="495"/>
      <c r="L79" s="495"/>
      <c r="M79" s="495"/>
      <c r="N79" s="495"/>
      <c r="O79" s="495"/>
      <c r="P79" s="495"/>
      <c r="Q79" s="495"/>
      <c r="R79" s="495"/>
      <c r="S79" s="495"/>
    </row>
    <row r="80" spans="1:19" x14ac:dyDescent="0.25">
      <c r="A80" s="1580" t="s">
        <v>692</v>
      </c>
      <c r="B80" s="1580"/>
      <c r="C80" s="1580"/>
      <c r="D80" s="1580"/>
      <c r="E80" s="497"/>
      <c r="F80" s="1638" t="s">
        <v>693</v>
      </c>
      <c r="G80" s="1638"/>
      <c r="H80" s="1638"/>
      <c r="I80" s="1638"/>
      <c r="J80" s="1638"/>
      <c r="K80" s="1638"/>
      <c r="L80" s="1638"/>
      <c r="M80" s="1638"/>
      <c r="N80" s="495"/>
      <c r="O80" s="495"/>
      <c r="P80" s="1639" t="s">
        <v>694</v>
      </c>
      <c r="Q80" s="1639"/>
      <c r="R80" s="1639"/>
      <c r="S80" s="495"/>
    </row>
    <row r="81" spans="1:19" x14ac:dyDescent="0.25">
      <c r="A81" s="1640" t="s">
        <v>695</v>
      </c>
      <c r="B81" s="1640"/>
      <c r="C81" s="1640"/>
      <c r="D81" s="1640"/>
      <c r="E81" s="499"/>
      <c r="F81" s="716"/>
      <c r="G81" s="717" t="s">
        <v>696</v>
      </c>
      <c r="H81" s="500"/>
      <c r="I81" s="500"/>
      <c r="J81" s="500"/>
      <c r="K81" s="500"/>
      <c r="L81" s="500"/>
      <c r="M81" s="500"/>
      <c r="N81" s="495"/>
      <c r="O81" s="495"/>
      <c r="P81" s="1580" t="s">
        <v>530</v>
      </c>
      <c r="Q81" s="1580"/>
      <c r="R81" s="1580"/>
      <c r="S81" s="495"/>
    </row>
    <row r="82" spans="1:19" x14ac:dyDescent="0.25">
      <c r="E82" s="719"/>
      <c r="F82" s="1518"/>
      <c r="K82" s="1518"/>
      <c r="N82" s="1518"/>
      <c r="O82" s="1518"/>
      <c r="P82" s="1518"/>
    </row>
  </sheetData>
  <mergeCells count="41">
    <mergeCell ref="A6:S6"/>
    <mergeCell ref="A1:S1"/>
    <mergeCell ref="A2:S2"/>
    <mergeCell ref="A3:S3"/>
    <mergeCell ref="A4:S4"/>
    <mergeCell ref="A5:S5"/>
    <mergeCell ref="A7:R7"/>
    <mergeCell ref="A8:R8"/>
    <mergeCell ref="A15:A17"/>
    <mergeCell ref="B15:B17"/>
    <mergeCell ref="C15:C17"/>
    <mergeCell ref="D15:D17"/>
    <mergeCell ref="E15:E17"/>
    <mergeCell ref="F15:F17"/>
    <mergeCell ref="G15:I16"/>
    <mergeCell ref="J15:K15"/>
    <mergeCell ref="S61:S62"/>
    <mergeCell ref="G60:I61"/>
    <mergeCell ref="J60:K61"/>
    <mergeCell ref="L60:L62"/>
    <mergeCell ref="M60:R60"/>
    <mergeCell ref="M61:O61"/>
    <mergeCell ref="P61:R61"/>
    <mergeCell ref="L15:L17"/>
    <mergeCell ref="M15:S15"/>
    <mergeCell ref="J16:J17"/>
    <mergeCell ref="K16:K17"/>
    <mergeCell ref="M16:O16"/>
    <mergeCell ref="P16:R16"/>
    <mergeCell ref="S16:S17"/>
    <mergeCell ref="F80:M80"/>
    <mergeCell ref="P80:R80"/>
    <mergeCell ref="A81:D81"/>
    <mergeCell ref="P81:R81"/>
    <mergeCell ref="E60:E62"/>
    <mergeCell ref="F60:F62"/>
    <mergeCell ref="A60:A62"/>
    <mergeCell ref="B60:B62"/>
    <mergeCell ref="C60:C62"/>
    <mergeCell ref="D60:D62"/>
    <mergeCell ref="A80:D80"/>
  </mergeCells>
  <printOptions horizontalCentered="1"/>
  <pageMargins left="0.25" right="0.25" top="0.25" bottom="0" header="0.3" footer="0.3"/>
  <pageSetup paperSize="5" scale="65" orientation="landscape" errors="blank" horizontalDpi="4294967294" verticalDpi="300" r:id="rId1"/>
  <rowBreaks count="1" manualBreakCount="1">
    <brk id="81" max="1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E585-3D27-4A4E-9F38-EFA3B9D57DC0}">
  <sheetPr>
    <tabColor rgb="FFC00000"/>
  </sheetPr>
  <dimension ref="A1:S300"/>
  <sheetViews>
    <sheetView view="pageBreakPreview" topLeftCell="A14" zoomScale="148" zoomScaleNormal="85" zoomScaleSheetLayoutView="148" workbookViewId="0">
      <pane xSplit="2" ySplit="4" topLeftCell="C279" activePane="bottomRight" state="frozen"/>
      <selection pane="topRight" activeCell="C14" sqref="C14"/>
      <selection pane="bottomLeft" activeCell="A18" sqref="A18"/>
      <selection pane="bottomRight" activeCell="B64" sqref="B64"/>
    </sheetView>
  </sheetViews>
  <sheetFormatPr defaultColWidth="9.125" defaultRowHeight="15.75" x14ac:dyDescent="0.25"/>
  <cols>
    <col min="1" max="1" width="5.875" style="393" customWidth="1"/>
    <col min="2" max="2" width="16" style="393" customWidth="1"/>
    <col min="3" max="3" width="14.5" style="393" customWidth="1"/>
    <col min="4" max="4" width="12" style="718" customWidth="1"/>
    <col min="5" max="5" width="16.5" style="718" customWidth="1"/>
    <col min="6" max="6" width="18.5" style="393" customWidth="1"/>
    <col min="7" max="7" width="12.5" style="393" customWidth="1"/>
    <col min="8" max="8" width="11.5" style="721" customWidth="1"/>
    <col min="9" max="9" width="10.5" style="393" customWidth="1"/>
    <col min="10" max="10" width="9.5" style="393" customWidth="1"/>
    <col min="11" max="11" width="11.5" style="393" customWidth="1"/>
    <col min="12" max="12" width="10.5" style="393" customWidth="1"/>
    <col min="13" max="13" width="12.5" style="393" customWidth="1"/>
    <col min="14" max="14" width="14.125" style="393" customWidth="1"/>
    <col min="15" max="15" width="16.5" style="393" customWidth="1"/>
    <col min="16" max="16" width="12.5" style="393" customWidth="1"/>
    <col min="17" max="17" width="8.5" style="393" customWidth="1"/>
    <col min="18" max="18" width="17.5" style="393" customWidth="1"/>
    <col min="19" max="19" width="16.5" style="393" customWidth="1"/>
    <col min="20" max="20" width="17.5" style="393" customWidth="1"/>
    <col min="21" max="16384" width="9.125" style="393"/>
  </cols>
  <sheetData>
    <row r="1" spans="1:19" hidden="1" x14ac:dyDescent="0.25">
      <c r="A1" s="1598" t="s">
        <v>411</v>
      </c>
      <c r="B1" s="1598"/>
      <c r="C1" s="1598"/>
      <c r="D1" s="1598"/>
      <c r="E1" s="1598"/>
      <c r="F1" s="1598"/>
      <c r="G1" s="1598"/>
      <c r="H1" s="1598"/>
      <c r="I1" s="1598"/>
      <c r="J1" s="1598"/>
      <c r="K1" s="1598"/>
      <c r="L1" s="1598"/>
      <c r="M1" s="1598"/>
      <c r="N1" s="1598"/>
      <c r="O1" s="1598"/>
      <c r="P1" s="1598"/>
      <c r="Q1" s="1598"/>
      <c r="R1" s="1598"/>
      <c r="S1" s="1598"/>
    </row>
    <row r="2" spans="1:19" hidden="1" x14ac:dyDescent="0.25">
      <c r="A2" s="1598" t="s">
        <v>412</v>
      </c>
      <c r="B2" s="1598"/>
      <c r="C2" s="1598"/>
      <c r="D2" s="1598"/>
      <c r="E2" s="1598"/>
      <c r="F2" s="1598"/>
      <c r="G2" s="1598"/>
      <c r="H2" s="1598"/>
      <c r="I2" s="1598"/>
      <c r="J2" s="1598"/>
      <c r="K2" s="1598"/>
      <c r="L2" s="1598"/>
      <c r="M2" s="1598"/>
      <c r="N2" s="1598"/>
      <c r="O2" s="1598"/>
      <c r="P2" s="1598"/>
      <c r="Q2" s="1598"/>
      <c r="R2" s="1598"/>
      <c r="S2" s="1598"/>
    </row>
    <row r="3" spans="1:19" hidden="1" x14ac:dyDescent="0.25">
      <c r="A3" s="1604" t="s">
        <v>413</v>
      </c>
      <c r="B3" s="1604"/>
      <c r="C3" s="1604"/>
      <c r="D3" s="1604"/>
      <c r="E3" s="1604"/>
      <c r="F3" s="1604"/>
      <c r="G3" s="1604"/>
      <c r="H3" s="1604"/>
      <c r="I3" s="1604"/>
      <c r="J3" s="1604"/>
      <c r="K3" s="1604"/>
      <c r="L3" s="1604"/>
      <c r="M3" s="1604"/>
      <c r="N3" s="1604"/>
      <c r="O3" s="1604"/>
      <c r="P3" s="1604"/>
      <c r="Q3" s="1604"/>
      <c r="R3" s="1604"/>
      <c r="S3" s="1604"/>
    </row>
    <row r="4" spans="1:19" hidden="1" x14ac:dyDescent="0.25">
      <c r="A4" s="1598" t="s">
        <v>697</v>
      </c>
      <c r="B4" s="1598"/>
      <c r="C4" s="1598"/>
      <c r="D4" s="1598"/>
      <c r="E4" s="1598"/>
      <c r="F4" s="1598"/>
      <c r="G4" s="1598"/>
      <c r="H4" s="1598"/>
      <c r="I4" s="1598"/>
      <c r="J4" s="1598"/>
      <c r="K4" s="1598"/>
      <c r="L4" s="1598"/>
      <c r="M4" s="1598"/>
      <c r="N4" s="1598"/>
      <c r="O4" s="1598"/>
      <c r="P4" s="1598"/>
      <c r="Q4" s="1598"/>
      <c r="R4" s="1598"/>
      <c r="S4" s="1598"/>
    </row>
    <row r="5" spans="1:19" hidden="1" x14ac:dyDescent="0.25">
      <c r="A5" s="1598" t="s">
        <v>698</v>
      </c>
      <c r="B5" s="1598"/>
      <c r="C5" s="1598"/>
      <c r="D5" s="1598"/>
      <c r="E5" s="1598"/>
      <c r="F5" s="1598"/>
      <c r="G5" s="1598"/>
      <c r="H5" s="1598"/>
      <c r="I5" s="1598"/>
      <c r="J5" s="1598"/>
      <c r="K5" s="1598"/>
      <c r="L5" s="1598"/>
      <c r="M5" s="1598"/>
      <c r="N5" s="1598"/>
      <c r="O5" s="1598"/>
      <c r="P5" s="1598"/>
      <c r="Q5" s="1598"/>
      <c r="R5" s="1598"/>
      <c r="S5" s="1598"/>
    </row>
    <row r="6" spans="1:19" hidden="1" x14ac:dyDescent="0.25">
      <c r="A6" s="1598" t="s">
        <v>667</v>
      </c>
      <c r="B6" s="1598"/>
      <c r="C6" s="1598"/>
      <c r="D6" s="1598"/>
      <c r="E6" s="1598"/>
      <c r="F6" s="1598"/>
      <c r="G6" s="1598"/>
      <c r="H6" s="1598"/>
      <c r="I6" s="1598"/>
      <c r="J6" s="1598"/>
      <c r="K6" s="1598"/>
      <c r="L6" s="1598"/>
      <c r="M6" s="1598"/>
      <c r="N6" s="1598"/>
      <c r="O6" s="1598"/>
      <c r="P6" s="1598"/>
      <c r="Q6" s="1598"/>
      <c r="R6" s="1598"/>
      <c r="S6" s="1598"/>
    </row>
    <row r="7" spans="1:19" ht="15.75" hidden="1" customHeight="1" x14ac:dyDescent="0.25">
      <c r="A7" s="1598"/>
      <c r="B7" s="1598"/>
      <c r="C7" s="1598"/>
      <c r="D7" s="1598"/>
      <c r="E7" s="1598"/>
      <c r="F7" s="1598"/>
      <c r="G7" s="1598"/>
      <c r="H7" s="1598"/>
      <c r="I7" s="1598"/>
      <c r="J7" s="1598"/>
      <c r="K7" s="1598"/>
      <c r="L7" s="1598"/>
      <c r="M7" s="1598"/>
      <c r="N7" s="1598"/>
      <c r="O7" s="1598"/>
      <c r="P7" s="1598"/>
      <c r="Q7" s="1598"/>
      <c r="R7" s="1598"/>
      <c r="S7" s="392"/>
    </row>
    <row r="8" spans="1:19" hidden="1" x14ac:dyDescent="0.25">
      <c r="A8" s="1598"/>
      <c r="B8" s="1598"/>
      <c r="C8" s="1598"/>
      <c r="D8" s="1598"/>
      <c r="E8" s="1598"/>
      <c r="F8" s="1598"/>
      <c r="G8" s="1598"/>
      <c r="H8" s="1598"/>
      <c r="I8" s="1598"/>
      <c r="J8" s="1598"/>
      <c r="K8" s="1598"/>
      <c r="L8" s="1598"/>
      <c r="M8" s="1598"/>
      <c r="N8" s="1598"/>
      <c r="O8" s="1598"/>
      <c r="P8" s="1598"/>
      <c r="Q8" s="1598"/>
      <c r="R8" s="1598"/>
    </row>
    <row r="9" spans="1:19" ht="14.25" hidden="1" customHeight="1" x14ac:dyDescent="0.25">
      <c r="A9" s="394" t="s">
        <v>417</v>
      </c>
      <c r="B9" s="395"/>
      <c r="C9" s="395"/>
      <c r="D9" s="396"/>
      <c r="E9" s="395"/>
      <c r="F9" s="395"/>
      <c r="G9" s="395"/>
      <c r="H9" s="684"/>
      <c r="I9" s="395"/>
      <c r="J9" s="395"/>
      <c r="K9" s="397"/>
      <c r="L9" s="398" t="s">
        <v>418</v>
      </c>
      <c r="M9" s="399"/>
      <c r="N9" s="399"/>
      <c r="O9" s="405"/>
      <c r="P9" s="722"/>
      <c r="Q9" s="723"/>
      <c r="R9" s="723"/>
      <c r="S9" s="724"/>
    </row>
    <row r="10" spans="1:19" ht="14.25" hidden="1" customHeight="1" x14ac:dyDescent="0.25">
      <c r="A10" s="402" t="s">
        <v>420</v>
      </c>
      <c r="B10" s="403"/>
      <c r="C10" s="403"/>
      <c r="D10" s="404"/>
      <c r="E10" s="403"/>
      <c r="F10" s="403"/>
      <c r="G10" s="403"/>
      <c r="H10" s="685"/>
      <c r="I10" s="403"/>
      <c r="J10" s="403"/>
      <c r="K10" s="403"/>
      <c r="L10" s="405" t="s">
        <v>421</v>
      </c>
      <c r="M10" s="395"/>
      <c r="N10" s="395" t="s">
        <v>422</v>
      </c>
      <c r="O10" s="395"/>
      <c r="P10" s="722"/>
      <c r="Q10" s="723"/>
      <c r="R10" s="723"/>
      <c r="S10" s="725"/>
    </row>
    <row r="11" spans="1:19" ht="14.25" hidden="1" customHeight="1" x14ac:dyDescent="0.25">
      <c r="A11" s="402"/>
      <c r="B11" s="403"/>
      <c r="C11" s="403"/>
      <c r="D11" s="404"/>
      <c r="E11" s="403"/>
      <c r="F11" s="403"/>
      <c r="G11" s="403"/>
      <c r="H11" s="685"/>
      <c r="I11" s="403"/>
      <c r="J11" s="403"/>
      <c r="K11" s="403"/>
      <c r="L11" s="407" t="s">
        <v>425</v>
      </c>
      <c r="M11" s="408" t="s">
        <v>423</v>
      </c>
      <c r="N11" s="403" t="s">
        <v>535</v>
      </c>
      <c r="O11" s="408" t="s">
        <v>424</v>
      </c>
      <c r="P11" s="726"/>
      <c r="Q11" s="727"/>
      <c r="R11" s="727"/>
      <c r="S11" s="728"/>
    </row>
    <row r="12" spans="1:19" ht="14.25" hidden="1" customHeight="1" x14ac:dyDescent="0.25">
      <c r="A12" s="402"/>
      <c r="B12" s="403"/>
      <c r="C12" s="403"/>
      <c r="D12" s="404"/>
      <c r="E12" s="403"/>
      <c r="F12" s="403"/>
      <c r="G12" s="403"/>
      <c r="H12" s="685"/>
      <c r="I12" s="403"/>
      <c r="J12" s="403"/>
      <c r="K12" s="403"/>
      <c r="L12" s="407"/>
      <c r="M12" s="408" t="s">
        <v>426</v>
      </c>
      <c r="N12" s="408"/>
      <c r="O12" s="408" t="s">
        <v>427</v>
      </c>
      <c r="P12" s="726"/>
      <c r="Q12" s="727"/>
      <c r="R12" s="727"/>
      <c r="S12" s="728"/>
    </row>
    <row r="13" spans="1:19" ht="14.25" hidden="1" customHeight="1" x14ac:dyDescent="0.25">
      <c r="A13" s="411"/>
      <c r="B13" s="412"/>
      <c r="C13" s="412"/>
      <c r="D13" s="413"/>
      <c r="E13" s="412"/>
      <c r="F13" s="412"/>
      <c r="G13" s="412"/>
      <c r="H13" s="686"/>
      <c r="I13" s="412"/>
      <c r="J13" s="412"/>
      <c r="K13" s="412"/>
      <c r="L13" s="687"/>
      <c r="M13" s="415" t="s">
        <v>428</v>
      </c>
      <c r="N13" s="416" t="s">
        <v>425</v>
      </c>
      <c r="O13" s="415" t="s">
        <v>429</v>
      </c>
      <c r="P13" s="729"/>
      <c r="Q13" s="730"/>
      <c r="R13" s="730"/>
      <c r="S13" s="731"/>
    </row>
    <row r="14" spans="1:19" ht="15.75" customHeight="1" x14ac:dyDescent="0.25">
      <c r="A14" s="419" t="s">
        <v>430</v>
      </c>
      <c r="B14" s="400"/>
      <c r="C14" s="400"/>
      <c r="D14" s="420"/>
      <c r="E14" s="400"/>
      <c r="F14" s="400"/>
      <c r="G14" s="400"/>
      <c r="H14" s="688"/>
      <c r="I14" s="400"/>
      <c r="J14" s="400"/>
      <c r="K14" s="400"/>
      <c r="L14" s="421"/>
      <c r="M14" s="421"/>
      <c r="N14" s="421"/>
      <c r="O14" s="411"/>
      <c r="P14" s="729"/>
      <c r="Q14" s="730"/>
      <c r="R14" s="730"/>
      <c r="S14" s="724"/>
    </row>
    <row r="15" spans="1:19" ht="15.75" customHeight="1" x14ac:dyDescent="0.25">
      <c r="A15" s="1591" t="s">
        <v>431</v>
      </c>
      <c r="B15" s="1597" t="s">
        <v>432</v>
      </c>
      <c r="C15" s="1591" t="s">
        <v>699</v>
      </c>
      <c r="D15" s="1599" t="s">
        <v>434</v>
      </c>
      <c r="E15" s="1591" t="s">
        <v>435</v>
      </c>
      <c r="F15" s="1591" t="s">
        <v>436</v>
      </c>
      <c r="G15" s="1585" t="s">
        <v>437</v>
      </c>
      <c r="H15" s="1600"/>
      <c r="I15" s="1601"/>
      <c r="J15" s="1588" t="s">
        <v>438</v>
      </c>
      <c r="K15" s="1590"/>
      <c r="L15" s="1585" t="s">
        <v>439</v>
      </c>
      <c r="M15" s="1588" t="s">
        <v>440</v>
      </c>
      <c r="N15" s="1589"/>
      <c r="O15" s="1589"/>
      <c r="P15" s="1589"/>
      <c r="Q15" s="1589"/>
      <c r="R15" s="1589"/>
      <c r="S15" s="1590"/>
    </row>
    <row r="16" spans="1:19" ht="14.25" customHeight="1" x14ac:dyDescent="0.25">
      <c r="A16" s="1591"/>
      <c r="B16" s="1597"/>
      <c r="C16" s="1591"/>
      <c r="D16" s="1599"/>
      <c r="E16" s="1591"/>
      <c r="F16" s="1591"/>
      <c r="G16" s="1587"/>
      <c r="H16" s="1602"/>
      <c r="I16" s="1603"/>
      <c r="J16" s="1591" t="s">
        <v>441</v>
      </c>
      <c r="K16" s="1591" t="s">
        <v>442</v>
      </c>
      <c r="L16" s="1586"/>
      <c r="M16" s="1592" t="s">
        <v>443</v>
      </c>
      <c r="N16" s="1593"/>
      <c r="O16" s="1594"/>
      <c r="P16" s="1592" t="s">
        <v>444</v>
      </c>
      <c r="Q16" s="1595"/>
      <c r="R16" s="1596"/>
      <c r="S16" s="1597" t="s">
        <v>445</v>
      </c>
    </row>
    <row r="17" spans="1:19" ht="47.25" customHeight="1" x14ac:dyDescent="0.25">
      <c r="A17" s="1591"/>
      <c r="B17" s="1597"/>
      <c r="C17" s="1591"/>
      <c r="D17" s="1599"/>
      <c r="E17" s="1591"/>
      <c r="F17" s="1591"/>
      <c r="G17" s="1532" t="s">
        <v>447</v>
      </c>
      <c r="H17" s="689" t="s">
        <v>448</v>
      </c>
      <c r="I17" s="1531" t="s">
        <v>449</v>
      </c>
      <c r="J17" s="1591"/>
      <c r="K17" s="1591"/>
      <c r="L17" s="1587"/>
      <c r="M17" s="1517" t="s">
        <v>450</v>
      </c>
      <c r="N17" s="1517" t="s">
        <v>451</v>
      </c>
      <c r="O17" s="1517" t="s">
        <v>452</v>
      </c>
      <c r="P17" s="1517" t="s">
        <v>450</v>
      </c>
      <c r="Q17" s="1517" t="s">
        <v>453</v>
      </c>
      <c r="R17" s="1517" t="s">
        <v>452</v>
      </c>
      <c r="S17" s="1597"/>
    </row>
    <row r="18" spans="1:19" x14ac:dyDescent="0.25">
      <c r="A18" s="422" t="s">
        <v>454</v>
      </c>
      <c r="B18" s="422" t="s">
        <v>455</v>
      </c>
      <c r="C18" s="422" t="s">
        <v>456</v>
      </c>
      <c r="D18" s="423" t="s">
        <v>457</v>
      </c>
      <c r="E18" s="422" t="s">
        <v>458</v>
      </c>
      <c r="F18" s="422" t="s">
        <v>459</v>
      </c>
      <c r="G18" s="422" t="s">
        <v>460</v>
      </c>
      <c r="H18" s="690" t="s">
        <v>461</v>
      </c>
      <c r="I18" s="422" t="s">
        <v>462</v>
      </c>
      <c r="J18" s="422" t="s">
        <v>463</v>
      </c>
      <c r="K18" s="422" t="s">
        <v>464</v>
      </c>
      <c r="L18" s="422" t="s">
        <v>465</v>
      </c>
      <c r="M18" s="422" t="s">
        <v>466</v>
      </c>
      <c r="N18" s="422" t="s">
        <v>467</v>
      </c>
      <c r="O18" s="422"/>
      <c r="P18" s="422"/>
      <c r="Q18" s="422" t="s">
        <v>468</v>
      </c>
      <c r="R18" s="422" t="s">
        <v>469</v>
      </c>
      <c r="S18" s="400"/>
    </row>
    <row r="19" spans="1:19" ht="16.5" customHeight="1" x14ac:dyDescent="0.25">
      <c r="A19" s="424"/>
      <c r="B19" s="425" t="s">
        <v>470</v>
      </c>
      <c r="C19" s="424"/>
      <c r="D19" s="426">
        <v>0</v>
      </c>
      <c r="E19" s="427">
        <v>0</v>
      </c>
      <c r="F19" s="427"/>
      <c r="G19" s="427">
        <f>G20+G164</f>
        <v>5820.9</v>
      </c>
      <c r="H19" s="427">
        <f>H20+H164</f>
        <v>124.95</v>
      </c>
      <c r="I19" s="427">
        <f>I20+I164</f>
        <v>5695.95</v>
      </c>
      <c r="J19" s="427"/>
      <c r="K19" s="427"/>
      <c r="L19" s="427"/>
      <c r="M19" s="427">
        <f t="shared" ref="M19:S19" si="0">M20+M164</f>
        <v>0</v>
      </c>
      <c r="N19" s="427">
        <f t="shared" si="0"/>
        <v>0</v>
      </c>
      <c r="O19" s="427">
        <f t="shared" si="0"/>
        <v>0</v>
      </c>
      <c r="P19" s="427">
        <f t="shared" si="0"/>
        <v>2741.7211750000001</v>
      </c>
      <c r="Q19" s="427">
        <f t="shared" si="0"/>
        <v>17</v>
      </c>
      <c r="R19" s="427">
        <f t="shared" si="0"/>
        <v>46609259.975000001</v>
      </c>
      <c r="S19" s="427">
        <f t="shared" si="0"/>
        <v>46609259.975000001</v>
      </c>
    </row>
    <row r="20" spans="1:19" ht="16.5" hidden="1" customHeight="1" x14ac:dyDescent="0.25">
      <c r="A20" s="428"/>
      <c r="B20" s="429" t="s">
        <v>210</v>
      </c>
      <c r="C20" s="429"/>
      <c r="D20" s="430">
        <f t="shared" ref="D20:I20" si="1">SUM(D21+D33)</f>
        <v>7788</v>
      </c>
      <c r="E20" s="430">
        <f t="shared" si="1"/>
        <v>14954</v>
      </c>
      <c r="F20" s="430">
        <f t="shared" si="1"/>
        <v>0</v>
      </c>
      <c r="G20" s="432">
        <f t="shared" si="1"/>
        <v>5369.9</v>
      </c>
      <c r="H20" s="432">
        <f t="shared" si="1"/>
        <v>124.95</v>
      </c>
      <c r="I20" s="432">
        <f t="shared" si="1"/>
        <v>5244.95</v>
      </c>
      <c r="J20" s="432"/>
      <c r="K20" s="432"/>
      <c r="L20" s="432"/>
      <c r="M20" s="432">
        <f>SUM(M21+M33)</f>
        <v>0</v>
      </c>
      <c r="N20" s="432">
        <f>SUM(N21+N33)</f>
        <v>0</v>
      </c>
      <c r="O20" s="432">
        <f>SUM(O21+O33)</f>
        <v>0</v>
      </c>
      <c r="P20" s="432">
        <f>SUM(P21+P33)</f>
        <v>2062.515175</v>
      </c>
      <c r="Q20" s="432"/>
      <c r="R20" s="432">
        <f>SUM(R21+R33)</f>
        <v>35062757.975000001</v>
      </c>
      <c r="S20" s="432">
        <f>SUM(S21+S33)</f>
        <v>35062757.975000001</v>
      </c>
    </row>
    <row r="21" spans="1:19" ht="16.5" hidden="1" customHeight="1" x14ac:dyDescent="0.25">
      <c r="A21" s="732"/>
      <c r="B21" s="733" t="s">
        <v>471</v>
      </c>
      <c r="C21" s="733"/>
      <c r="D21" s="734">
        <f t="shared" ref="D21:I21" si="2">SUM(D24:D29)</f>
        <v>3283</v>
      </c>
      <c r="E21" s="735">
        <f t="shared" si="2"/>
        <v>6551</v>
      </c>
      <c r="F21" s="734">
        <f t="shared" si="2"/>
        <v>0</v>
      </c>
      <c r="G21" s="734">
        <f t="shared" si="2"/>
        <v>2506.1999999999998</v>
      </c>
      <c r="H21" s="734">
        <f t="shared" si="2"/>
        <v>26.95</v>
      </c>
      <c r="I21" s="734">
        <f t="shared" si="2"/>
        <v>2479.25</v>
      </c>
      <c r="J21" s="734"/>
      <c r="K21" s="734"/>
      <c r="L21" s="734"/>
      <c r="M21" s="734">
        <f>SUM(M24:M29)</f>
        <v>0</v>
      </c>
      <c r="N21" s="734">
        <f>SUM(N24:N29)</f>
        <v>0</v>
      </c>
      <c r="O21" s="734">
        <f>SUM(O24:O29)</f>
        <v>0</v>
      </c>
      <c r="P21" s="734">
        <f>SUM(P24:P29)</f>
        <v>684.5005000000001</v>
      </c>
      <c r="Q21" s="734"/>
      <c r="R21" s="734">
        <f>SUM(R24:R29)</f>
        <v>11636508.500000002</v>
      </c>
      <c r="S21" s="734">
        <f>SUM(S24:S29)</f>
        <v>11636508.500000002</v>
      </c>
    </row>
    <row r="22" spans="1:19" ht="16.5" hidden="1" customHeight="1" x14ac:dyDescent="0.25">
      <c r="A22" s="422"/>
      <c r="B22" s="510" t="s">
        <v>590</v>
      </c>
      <c r="C22" s="736" t="s">
        <v>473</v>
      </c>
      <c r="D22" s="511">
        <v>1532</v>
      </c>
      <c r="E22" s="420">
        <v>1533</v>
      </c>
      <c r="F22" s="510" t="s">
        <v>474</v>
      </c>
      <c r="G22" s="400">
        <v>540</v>
      </c>
      <c r="H22" s="400"/>
      <c r="I22" s="400">
        <v>540</v>
      </c>
      <c r="J22" s="400">
        <v>4.49</v>
      </c>
      <c r="K22" s="400">
        <f t="shared" ref="K22:K23" si="3">J22-(J22*L22)</f>
        <v>4.2655000000000003</v>
      </c>
      <c r="L22" s="400">
        <v>0.05</v>
      </c>
      <c r="M22" s="400"/>
      <c r="N22" s="400"/>
      <c r="O22" s="400"/>
      <c r="P22" s="400">
        <f t="shared" ref="P22:P23" si="4">G22*J22*L22</f>
        <v>121.23</v>
      </c>
      <c r="Q22" s="400">
        <v>17</v>
      </c>
      <c r="R22" s="400">
        <f t="shared" ref="R22:R32" si="5">P22*Q22*1000</f>
        <v>2060909.9999999998</v>
      </c>
      <c r="S22" s="400">
        <f t="shared" ref="S22:S32" si="6">R22</f>
        <v>2060909.9999999998</v>
      </c>
    </row>
    <row r="23" spans="1:19" ht="16.5" hidden="1" customHeight="1" x14ac:dyDescent="0.25">
      <c r="A23" s="422"/>
      <c r="B23" s="510" t="s">
        <v>596</v>
      </c>
      <c r="C23" s="736" t="s">
        <v>473</v>
      </c>
      <c r="D23" s="511">
        <v>1193</v>
      </c>
      <c r="E23" s="420">
        <v>1907</v>
      </c>
      <c r="F23" s="510" t="s">
        <v>474</v>
      </c>
      <c r="G23" s="400">
        <v>450</v>
      </c>
      <c r="H23" s="400"/>
      <c r="I23" s="400">
        <v>450</v>
      </c>
      <c r="J23" s="400">
        <v>4.49</v>
      </c>
      <c r="K23" s="400">
        <f t="shared" si="3"/>
        <v>4.2655000000000003</v>
      </c>
      <c r="L23" s="400">
        <v>0.05</v>
      </c>
      <c r="M23" s="400"/>
      <c r="N23" s="400"/>
      <c r="O23" s="400"/>
      <c r="P23" s="400">
        <f t="shared" si="4"/>
        <v>101.02500000000001</v>
      </c>
      <c r="Q23" s="400">
        <v>17</v>
      </c>
      <c r="R23" s="400">
        <f t="shared" si="5"/>
        <v>1717425.0000000002</v>
      </c>
      <c r="S23" s="400">
        <f t="shared" si="6"/>
        <v>1717425.0000000002</v>
      </c>
    </row>
    <row r="24" spans="1:19" ht="16.5" hidden="1" customHeight="1" x14ac:dyDescent="0.25">
      <c r="A24" s="422"/>
      <c r="B24" s="510" t="s">
        <v>597</v>
      </c>
      <c r="C24" s="736" t="s">
        <v>473</v>
      </c>
      <c r="D24" s="511">
        <v>930</v>
      </c>
      <c r="E24" s="420">
        <v>1521</v>
      </c>
      <c r="F24" s="510" t="s">
        <v>474</v>
      </c>
      <c r="G24" s="400">
        <v>716</v>
      </c>
      <c r="H24" s="400"/>
      <c r="I24" s="400">
        <v>716</v>
      </c>
      <c r="J24" s="400">
        <v>4.49</v>
      </c>
      <c r="K24" s="400">
        <f>J24-(J24*L24)</f>
        <v>4.2655000000000003</v>
      </c>
      <c r="L24" s="400">
        <v>0.05</v>
      </c>
      <c r="M24" s="400"/>
      <c r="N24" s="400"/>
      <c r="O24" s="400"/>
      <c r="P24" s="400">
        <f>G24*J24*L24</f>
        <v>160.74200000000002</v>
      </c>
      <c r="Q24" s="400">
        <v>17</v>
      </c>
      <c r="R24" s="400">
        <f t="shared" si="5"/>
        <v>2732614.0000000005</v>
      </c>
      <c r="S24" s="400">
        <f t="shared" si="6"/>
        <v>2732614.0000000005</v>
      </c>
    </row>
    <row r="25" spans="1:19" ht="16.5" hidden="1" customHeight="1" x14ac:dyDescent="0.25">
      <c r="A25" s="422"/>
      <c r="B25" s="510" t="s">
        <v>598</v>
      </c>
      <c r="C25" s="736" t="s">
        <v>473</v>
      </c>
      <c r="D25" s="511">
        <v>500</v>
      </c>
      <c r="E25" s="420">
        <v>1352</v>
      </c>
      <c r="F25" s="510" t="s">
        <v>474</v>
      </c>
      <c r="G25" s="400">
        <f t="shared" ref="G25:G45" si="7">SUM(H25:I25)</f>
        <v>300</v>
      </c>
      <c r="H25" s="400"/>
      <c r="I25" s="400">
        <v>300</v>
      </c>
      <c r="J25" s="400">
        <v>4.49</v>
      </c>
      <c r="K25" s="400">
        <f t="shared" ref="K25:K32" si="8">J25-(J25*L25)</f>
        <v>4.2655000000000003</v>
      </c>
      <c r="L25" s="400">
        <v>0.05</v>
      </c>
      <c r="M25" s="400"/>
      <c r="N25" s="400"/>
      <c r="O25" s="400"/>
      <c r="P25" s="400">
        <f t="shared" ref="P25:P32" si="9">G25*J25*L25</f>
        <v>67.350000000000009</v>
      </c>
      <c r="Q25" s="400">
        <v>17</v>
      </c>
      <c r="R25" s="400">
        <f t="shared" si="5"/>
        <v>1144950</v>
      </c>
      <c r="S25" s="400">
        <f t="shared" si="6"/>
        <v>1144950</v>
      </c>
    </row>
    <row r="26" spans="1:19" ht="16.5" hidden="1" customHeight="1" x14ac:dyDescent="0.25">
      <c r="A26" s="422"/>
      <c r="B26" s="510" t="s">
        <v>700</v>
      </c>
      <c r="C26" s="736" t="s">
        <v>473</v>
      </c>
      <c r="D26" s="511">
        <v>875</v>
      </c>
      <c r="E26" s="420">
        <v>1521</v>
      </c>
      <c r="F26" s="510" t="s">
        <v>474</v>
      </c>
      <c r="G26" s="400">
        <f t="shared" si="7"/>
        <v>500</v>
      </c>
      <c r="H26" s="400"/>
      <c r="I26" s="400">
        <v>500</v>
      </c>
      <c r="J26" s="400">
        <v>4.49</v>
      </c>
      <c r="K26" s="400">
        <f t="shared" si="8"/>
        <v>4.2655000000000003</v>
      </c>
      <c r="L26" s="400">
        <v>0.05</v>
      </c>
      <c r="M26" s="400"/>
      <c r="N26" s="400"/>
      <c r="O26" s="400"/>
      <c r="P26" s="400">
        <f t="shared" si="9"/>
        <v>112.25</v>
      </c>
      <c r="Q26" s="400">
        <v>17</v>
      </c>
      <c r="R26" s="400">
        <f t="shared" si="5"/>
        <v>1908250</v>
      </c>
      <c r="S26" s="400">
        <f t="shared" si="6"/>
        <v>1908250</v>
      </c>
    </row>
    <row r="27" spans="1:19" ht="16.5" hidden="1" customHeight="1" x14ac:dyDescent="0.25">
      <c r="A27" s="422"/>
      <c r="B27" s="510" t="s">
        <v>701</v>
      </c>
      <c r="C27" s="736" t="s">
        <v>473</v>
      </c>
      <c r="D27" s="511">
        <v>388</v>
      </c>
      <c r="E27" s="420">
        <v>531</v>
      </c>
      <c r="F27" s="510" t="s">
        <v>474</v>
      </c>
      <c r="G27" s="400">
        <v>452.25</v>
      </c>
      <c r="H27" s="400"/>
      <c r="I27" s="400">
        <v>452.25</v>
      </c>
      <c r="J27" s="400">
        <v>4.49</v>
      </c>
      <c r="K27" s="400">
        <f t="shared" si="8"/>
        <v>4.0410000000000004</v>
      </c>
      <c r="L27" s="400">
        <v>0.1</v>
      </c>
      <c r="M27" s="400"/>
      <c r="N27" s="400"/>
      <c r="O27" s="400"/>
      <c r="P27" s="400"/>
      <c r="Q27" s="400"/>
      <c r="R27" s="400"/>
      <c r="S27" s="400"/>
    </row>
    <row r="28" spans="1:19" ht="16.5" hidden="1" customHeight="1" x14ac:dyDescent="0.25">
      <c r="A28" s="422"/>
      <c r="B28" s="510"/>
      <c r="C28" s="736"/>
      <c r="D28" s="511"/>
      <c r="E28" s="420"/>
      <c r="F28" s="510" t="s">
        <v>474</v>
      </c>
      <c r="G28" s="400">
        <v>26.95</v>
      </c>
      <c r="H28" s="400">
        <v>26.95</v>
      </c>
      <c r="I28" s="400"/>
      <c r="J28" s="400">
        <v>4.49</v>
      </c>
      <c r="K28" s="400">
        <f t="shared" si="8"/>
        <v>0</v>
      </c>
      <c r="L28" s="400">
        <v>1</v>
      </c>
      <c r="M28" s="400"/>
      <c r="N28" s="400"/>
      <c r="O28" s="400"/>
      <c r="P28" s="400"/>
      <c r="Q28" s="400"/>
      <c r="R28" s="400"/>
      <c r="S28" s="400"/>
    </row>
    <row r="29" spans="1:19" ht="16.5" hidden="1" customHeight="1" x14ac:dyDescent="0.25">
      <c r="A29" s="422"/>
      <c r="B29" s="510" t="s">
        <v>472</v>
      </c>
      <c r="C29" s="736" t="s">
        <v>473</v>
      </c>
      <c r="D29" s="511">
        <v>590</v>
      </c>
      <c r="E29" s="420">
        <v>1626</v>
      </c>
      <c r="F29" s="510" t="s">
        <v>474</v>
      </c>
      <c r="G29" s="400">
        <v>511</v>
      </c>
      <c r="H29" s="400"/>
      <c r="I29" s="400">
        <v>511</v>
      </c>
      <c r="J29" s="400">
        <v>4.49</v>
      </c>
      <c r="K29" s="400">
        <f t="shared" si="8"/>
        <v>3.8165000000000004</v>
      </c>
      <c r="L29" s="400">
        <v>0.15</v>
      </c>
      <c r="M29" s="400"/>
      <c r="N29" s="400"/>
      <c r="O29" s="400"/>
      <c r="P29" s="400">
        <f t="shared" si="9"/>
        <v>344.15850000000006</v>
      </c>
      <c r="Q29" s="400">
        <v>17</v>
      </c>
      <c r="R29" s="400">
        <f t="shared" si="5"/>
        <v>5850694.5000000019</v>
      </c>
      <c r="S29" s="400">
        <f t="shared" si="6"/>
        <v>5850694.5000000019</v>
      </c>
    </row>
    <row r="30" spans="1:19" ht="16.5" hidden="1" customHeight="1" x14ac:dyDescent="0.25">
      <c r="A30" s="422"/>
      <c r="B30" s="510" t="s">
        <v>593</v>
      </c>
      <c r="C30" s="736" t="s">
        <v>473</v>
      </c>
      <c r="D30" s="511">
        <v>951</v>
      </c>
      <c r="E30" s="420">
        <v>30</v>
      </c>
      <c r="F30" s="510" t="s">
        <v>586</v>
      </c>
      <c r="G30" s="400">
        <v>30</v>
      </c>
      <c r="H30" s="400"/>
      <c r="I30" s="400">
        <v>30</v>
      </c>
      <c r="J30" s="400">
        <v>4.5</v>
      </c>
      <c r="K30" s="400">
        <f t="shared" si="8"/>
        <v>4.05</v>
      </c>
      <c r="L30" s="400">
        <v>0.1</v>
      </c>
      <c r="M30" s="400"/>
      <c r="N30" s="400"/>
      <c r="O30" s="400"/>
      <c r="P30" s="400"/>
      <c r="Q30" s="400"/>
      <c r="R30" s="400"/>
      <c r="S30" s="400"/>
    </row>
    <row r="31" spans="1:19" ht="16.5" hidden="1" customHeight="1" x14ac:dyDescent="0.25">
      <c r="A31" s="422"/>
      <c r="B31" s="510"/>
      <c r="C31" s="736"/>
      <c r="D31" s="511"/>
      <c r="E31" s="420">
        <v>876</v>
      </c>
      <c r="F31" s="510" t="s">
        <v>474</v>
      </c>
      <c r="G31" s="400">
        <v>416</v>
      </c>
      <c r="H31" s="400"/>
      <c r="I31" s="400">
        <v>416</v>
      </c>
      <c r="J31" s="400">
        <v>4.3</v>
      </c>
      <c r="K31" s="400">
        <f t="shared" si="8"/>
        <v>3.8699999999999997</v>
      </c>
      <c r="L31" s="400">
        <v>0.1</v>
      </c>
      <c r="M31" s="400"/>
      <c r="N31" s="400"/>
      <c r="O31" s="400"/>
      <c r="P31" s="400"/>
      <c r="Q31" s="400"/>
      <c r="R31" s="400"/>
      <c r="S31" s="400"/>
    </row>
    <row r="32" spans="1:19" ht="16.5" hidden="1" customHeight="1" x14ac:dyDescent="0.25">
      <c r="A32" s="422"/>
      <c r="B32" s="510"/>
      <c r="C32" s="510"/>
      <c r="D32" s="511"/>
      <c r="E32" s="400"/>
      <c r="F32" s="510"/>
      <c r="G32" s="400"/>
      <c r="H32" s="400"/>
      <c r="I32" s="400"/>
      <c r="J32" s="400"/>
      <c r="K32" s="400">
        <f t="shared" si="8"/>
        <v>0</v>
      </c>
      <c r="L32" s="400"/>
      <c r="M32" s="400"/>
      <c r="N32" s="400"/>
      <c r="O32" s="400"/>
      <c r="P32" s="400">
        <f t="shared" si="9"/>
        <v>0</v>
      </c>
      <c r="Q32" s="400"/>
      <c r="R32" s="400">
        <f t="shared" si="5"/>
        <v>0</v>
      </c>
      <c r="S32" s="400">
        <f t="shared" si="6"/>
        <v>0</v>
      </c>
    </row>
    <row r="33" spans="1:19" ht="16.5" hidden="1" customHeight="1" x14ac:dyDescent="0.25">
      <c r="A33" s="737"/>
      <c r="B33" s="738" t="s">
        <v>475</v>
      </c>
      <c r="C33" s="739"/>
      <c r="D33" s="734">
        <f>SUM(D34:D47)</f>
        <v>4505</v>
      </c>
      <c r="E33" s="740">
        <f>SUM(E34:E47)</f>
        <v>8403</v>
      </c>
      <c r="F33" s="734">
        <f>SUM(F40:F47)</f>
        <v>0</v>
      </c>
      <c r="G33" s="734">
        <f>SUM(G34:G47)</f>
        <v>2863.7</v>
      </c>
      <c r="H33" s="734">
        <f>SUM(H34:H47)</f>
        <v>98</v>
      </c>
      <c r="I33" s="734">
        <f>SUM(I34:I47)</f>
        <v>2765.7</v>
      </c>
      <c r="J33" s="734"/>
      <c r="K33" s="734"/>
      <c r="L33" s="734"/>
      <c r="M33" s="734">
        <f>SUM(M40:M47)</f>
        <v>0</v>
      </c>
      <c r="N33" s="734">
        <f>SUM(N40:N47)</f>
        <v>0</v>
      </c>
      <c r="O33" s="734">
        <f>SUM(O40:O47)</f>
        <v>0</v>
      </c>
      <c r="P33" s="734">
        <f>SUM(P34:P47)</f>
        <v>1378.0146749999999</v>
      </c>
      <c r="Q33" s="734">
        <f>SUM(Q34:Q47)</f>
        <v>238</v>
      </c>
      <c r="R33" s="734">
        <f>SUM(R34:R47)</f>
        <v>23426249.475000001</v>
      </c>
      <c r="S33" s="734">
        <f>SUM(S34:S47)</f>
        <v>23426249.475000001</v>
      </c>
    </row>
    <row r="34" spans="1:19" ht="16.5" hidden="1" customHeight="1" x14ac:dyDescent="0.25">
      <c r="A34" s="422"/>
      <c r="B34" s="510" t="s">
        <v>599</v>
      </c>
      <c r="C34" s="510" t="s">
        <v>473</v>
      </c>
      <c r="D34" s="511">
        <v>352</v>
      </c>
      <c r="E34" s="420">
        <v>935</v>
      </c>
      <c r="F34" s="741" t="s">
        <v>474</v>
      </c>
      <c r="G34" s="400">
        <v>79</v>
      </c>
      <c r="H34" s="400"/>
      <c r="I34" s="400">
        <v>79</v>
      </c>
      <c r="J34" s="400">
        <v>4.49</v>
      </c>
      <c r="K34" s="400">
        <f t="shared" ref="K34:K47" si="10">J34-(J34*L34)</f>
        <v>4.2655000000000003</v>
      </c>
      <c r="L34" s="400">
        <v>0.05</v>
      </c>
      <c r="M34" s="400"/>
      <c r="N34" s="400"/>
      <c r="O34" s="400"/>
      <c r="P34" s="400">
        <f t="shared" ref="P34:P47" si="11">G34*J34*L34</f>
        <v>17.735500000000002</v>
      </c>
      <c r="Q34" s="400">
        <v>17</v>
      </c>
      <c r="R34" s="400">
        <f>P34*Q34*1000</f>
        <v>301503.50000000006</v>
      </c>
      <c r="S34" s="400">
        <f>R34</f>
        <v>301503.50000000006</v>
      </c>
    </row>
    <row r="35" spans="1:19" ht="16.5" hidden="1" customHeight="1" x14ac:dyDescent="0.25">
      <c r="A35" s="422"/>
      <c r="B35" s="512"/>
      <c r="C35" s="510"/>
      <c r="D35" s="419"/>
      <c r="E35" s="419"/>
      <c r="F35" s="742" t="s">
        <v>474</v>
      </c>
      <c r="G35" s="400">
        <v>88</v>
      </c>
      <c r="H35" s="400">
        <v>88</v>
      </c>
      <c r="I35" s="419"/>
      <c r="J35" s="400">
        <v>4.49</v>
      </c>
      <c r="K35" s="400">
        <f t="shared" si="10"/>
        <v>0</v>
      </c>
      <c r="L35" s="400">
        <v>1</v>
      </c>
      <c r="M35" s="419"/>
      <c r="N35" s="419"/>
      <c r="O35" s="419"/>
      <c r="P35" s="400">
        <f t="shared" si="11"/>
        <v>395.12</v>
      </c>
      <c r="Q35" s="400">
        <v>17</v>
      </c>
      <c r="R35" s="400">
        <f t="shared" ref="R35:R39" si="12">P35*Q35*1000</f>
        <v>6717040</v>
      </c>
      <c r="S35" s="400">
        <f t="shared" ref="S35:S47" si="13">R35</f>
        <v>6717040</v>
      </c>
    </row>
    <row r="36" spans="1:19" ht="16.5" hidden="1" customHeight="1" x14ac:dyDescent="0.25">
      <c r="A36" s="422"/>
      <c r="B36" s="510" t="s">
        <v>603</v>
      </c>
      <c r="C36" s="510" t="s">
        <v>473</v>
      </c>
      <c r="D36" s="400">
        <v>1000</v>
      </c>
      <c r="E36" s="420">
        <v>1264</v>
      </c>
      <c r="F36" s="742" t="s">
        <v>474</v>
      </c>
      <c r="G36" s="400">
        <v>10</v>
      </c>
      <c r="H36" s="400">
        <v>10</v>
      </c>
      <c r="I36" s="419"/>
      <c r="J36" s="400">
        <v>4.49</v>
      </c>
      <c r="K36" s="400">
        <f t="shared" si="10"/>
        <v>0</v>
      </c>
      <c r="L36" s="400">
        <v>1</v>
      </c>
      <c r="M36" s="419"/>
      <c r="N36" s="419"/>
      <c r="O36" s="419"/>
      <c r="P36" s="400">
        <f t="shared" si="11"/>
        <v>44.900000000000006</v>
      </c>
      <c r="Q36" s="400">
        <v>17</v>
      </c>
      <c r="R36" s="400">
        <f t="shared" si="12"/>
        <v>763300.00000000012</v>
      </c>
      <c r="S36" s="400">
        <f t="shared" si="13"/>
        <v>763300.00000000012</v>
      </c>
    </row>
    <row r="37" spans="1:19" ht="16.5" hidden="1" customHeight="1" x14ac:dyDescent="0.25">
      <c r="A37" s="422"/>
      <c r="B37" s="512"/>
      <c r="C37" s="510"/>
      <c r="D37" s="419"/>
      <c r="E37" s="467"/>
      <c r="F37" s="742" t="s">
        <v>474</v>
      </c>
      <c r="G37" s="400">
        <v>536</v>
      </c>
      <c r="H37" s="400"/>
      <c r="I37" s="400">
        <v>536</v>
      </c>
      <c r="J37" s="400">
        <v>4.49</v>
      </c>
      <c r="K37" s="400">
        <f t="shared" si="10"/>
        <v>4.2655000000000003</v>
      </c>
      <c r="L37" s="400">
        <v>0.05</v>
      </c>
      <c r="M37" s="419"/>
      <c r="N37" s="419"/>
      <c r="O37" s="419"/>
      <c r="P37" s="400">
        <f t="shared" si="11"/>
        <v>120.33200000000002</v>
      </c>
      <c r="Q37" s="400">
        <v>17</v>
      </c>
      <c r="R37" s="400">
        <f t="shared" si="12"/>
        <v>2045644.0000000005</v>
      </c>
      <c r="S37" s="400">
        <f t="shared" si="13"/>
        <v>2045644.0000000005</v>
      </c>
    </row>
    <row r="38" spans="1:19" ht="16.5" hidden="1" customHeight="1" x14ac:dyDescent="0.25">
      <c r="A38" s="422"/>
      <c r="B38" s="512"/>
      <c r="C38" s="510"/>
      <c r="D38" s="419"/>
      <c r="E38" s="467"/>
      <c r="F38" s="742" t="s">
        <v>504</v>
      </c>
      <c r="G38" s="400">
        <v>148</v>
      </c>
      <c r="H38" s="419"/>
      <c r="I38" s="400">
        <v>148</v>
      </c>
      <c r="J38" s="400">
        <v>4.49</v>
      </c>
      <c r="K38" s="400">
        <f t="shared" si="10"/>
        <v>4.0410000000000004</v>
      </c>
      <c r="L38" s="400">
        <v>0.1</v>
      </c>
      <c r="M38" s="419"/>
      <c r="N38" s="419"/>
      <c r="O38" s="419"/>
      <c r="P38" s="400">
        <f t="shared" si="11"/>
        <v>66.451999999999998</v>
      </c>
      <c r="Q38" s="400">
        <v>17</v>
      </c>
      <c r="R38" s="400">
        <f t="shared" si="12"/>
        <v>1129684</v>
      </c>
      <c r="S38" s="400">
        <f t="shared" si="13"/>
        <v>1129684</v>
      </c>
    </row>
    <row r="39" spans="1:19" ht="16.5" hidden="1" customHeight="1" x14ac:dyDescent="0.25">
      <c r="A39" s="422"/>
      <c r="B39" s="510" t="s">
        <v>605</v>
      </c>
      <c r="C39" s="510" t="s">
        <v>473</v>
      </c>
      <c r="D39" s="511">
        <v>632</v>
      </c>
      <c r="E39" s="420">
        <v>632</v>
      </c>
      <c r="F39" s="741" t="s">
        <v>474</v>
      </c>
      <c r="G39" s="400">
        <v>420</v>
      </c>
      <c r="H39" s="400"/>
      <c r="I39" s="400">
        <v>420</v>
      </c>
      <c r="J39" s="400">
        <v>4.49</v>
      </c>
      <c r="K39" s="400">
        <f t="shared" si="10"/>
        <v>4.2655000000000003</v>
      </c>
      <c r="L39" s="400">
        <v>0.05</v>
      </c>
      <c r="M39" s="400"/>
      <c r="N39" s="400"/>
      <c r="O39" s="400"/>
      <c r="P39" s="400">
        <f t="shared" si="11"/>
        <v>94.29000000000002</v>
      </c>
      <c r="Q39" s="400">
        <v>17</v>
      </c>
      <c r="R39" s="400">
        <f t="shared" si="12"/>
        <v>1602930.0000000002</v>
      </c>
      <c r="S39" s="400">
        <f t="shared" si="13"/>
        <v>1602930.0000000002</v>
      </c>
    </row>
    <row r="40" spans="1:19" ht="16.5" hidden="1" customHeight="1" x14ac:dyDescent="0.25">
      <c r="A40" s="422"/>
      <c r="B40" s="510" t="s">
        <v>570</v>
      </c>
      <c r="C40" s="510" t="s">
        <v>473</v>
      </c>
      <c r="D40" s="511">
        <v>191</v>
      </c>
      <c r="E40" s="420">
        <v>138</v>
      </c>
      <c r="F40" s="741" t="s">
        <v>474</v>
      </c>
      <c r="G40" s="400">
        <v>105</v>
      </c>
      <c r="H40" s="400"/>
      <c r="I40" s="400">
        <v>105</v>
      </c>
      <c r="J40" s="400">
        <v>4.49</v>
      </c>
      <c r="K40" s="400">
        <f t="shared" si="10"/>
        <v>4.2655000000000003</v>
      </c>
      <c r="L40" s="400">
        <v>0.05</v>
      </c>
      <c r="M40" s="400"/>
      <c r="N40" s="400"/>
      <c r="O40" s="400"/>
      <c r="P40" s="400">
        <f t="shared" si="11"/>
        <v>23.572500000000005</v>
      </c>
      <c r="Q40" s="400">
        <v>17</v>
      </c>
      <c r="R40" s="400">
        <f>P40*Q40*1000</f>
        <v>400732.50000000006</v>
      </c>
      <c r="S40" s="400">
        <f t="shared" si="13"/>
        <v>400732.50000000006</v>
      </c>
    </row>
    <row r="41" spans="1:19" ht="16.5" hidden="1" customHeight="1" x14ac:dyDescent="0.25">
      <c r="A41" s="422"/>
      <c r="B41" s="510" t="s">
        <v>607</v>
      </c>
      <c r="C41" s="510"/>
      <c r="D41" s="511">
        <v>721</v>
      </c>
      <c r="E41" s="420">
        <v>1201</v>
      </c>
      <c r="F41" s="741" t="s">
        <v>474</v>
      </c>
      <c r="G41" s="400">
        <v>373</v>
      </c>
      <c r="H41" s="400"/>
      <c r="I41" s="400">
        <v>373</v>
      </c>
      <c r="J41" s="400">
        <v>4.49</v>
      </c>
      <c r="K41" s="400">
        <f t="shared" si="10"/>
        <v>4.0410000000000004</v>
      </c>
      <c r="L41" s="400">
        <v>0.1</v>
      </c>
      <c r="M41" s="400"/>
      <c r="N41" s="400"/>
      <c r="O41" s="400"/>
      <c r="P41" s="400">
        <f t="shared" si="11"/>
        <v>167.477</v>
      </c>
      <c r="Q41" s="400">
        <v>17</v>
      </c>
      <c r="R41" s="400">
        <f t="shared" ref="R41:R47" si="14">P41*Q41*1000</f>
        <v>2847109</v>
      </c>
      <c r="S41" s="400">
        <f t="shared" si="13"/>
        <v>2847109</v>
      </c>
    </row>
    <row r="42" spans="1:19" ht="16.5" hidden="1" customHeight="1" x14ac:dyDescent="0.25">
      <c r="A42" s="422"/>
      <c r="B42" s="510"/>
      <c r="C42" s="510"/>
      <c r="D42" s="511"/>
      <c r="E42" s="400">
        <v>165</v>
      </c>
      <c r="F42" s="741" t="s">
        <v>586</v>
      </c>
      <c r="G42" s="400">
        <v>133</v>
      </c>
      <c r="H42" s="400"/>
      <c r="I42" s="400">
        <v>133</v>
      </c>
      <c r="J42" s="400">
        <v>4.49</v>
      </c>
      <c r="K42" s="400">
        <f t="shared" si="10"/>
        <v>4.0410000000000004</v>
      </c>
      <c r="L42" s="400">
        <v>0.1</v>
      </c>
      <c r="M42" s="400"/>
      <c r="N42" s="400"/>
      <c r="O42" s="400"/>
      <c r="P42" s="400">
        <f t="shared" si="11"/>
        <v>59.717000000000013</v>
      </c>
      <c r="Q42" s="400">
        <v>17</v>
      </c>
      <c r="R42" s="400">
        <f t="shared" si="14"/>
        <v>1015189.0000000002</v>
      </c>
      <c r="S42" s="400">
        <f t="shared" si="13"/>
        <v>1015189.0000000002</v>
      </c>
    </row>
    <row r="43" spans="1:19" ht="16.5" hidden="1" customHeight="1" x14ac:dyDescent="0.25">
      <c r="A43" s="422"/>
      <c r="B43" s="510" t="s">
        <v>601</v>
      </c>
      <c r="C43" s="510" t="s">
        <v>473</v>
      </c>
      <c r="D43" s="511">
        <v>649</v>
      </c>
      <c r="E43" s="400">
        <v>1688</v>
      </c>
      <c r="F43" s="741" t="s">
        <v>474</v>
      </c>
      <c r="G43" s="400">
        <v>52.95</v>
      </c>
      <c r="H43" s="400"/>
      <c r="I43" s="400">
        <v>52.95</v>
      </c>
      <c r="J43" s="400">
        <v>4.49</v>
      </c>
      <c r="K43" s="400">
        <f t="shared" si="10"/>
        <v>4.0410000000000004</v>
      </c>
      <c r="L43" s="400">
        <v>0.1</v>
      </c>
      <c r="M43" s="400"/>
      <c r="N43" s="400"/>
      <c r="O43" s="400"/>
      <c r="P43" s="400">
        <f t="shared" si="11"/>
        <v>23.774550000000005</v>
      </c>
      <c r="Q43" s="400">
        <v>17</v>
      </c>
      <c r="R43" s="400">
        <f t="shared" si="14"/>
        <v>404167.35000000003</v>
      </c>
      <c r="S43" s="400">
        <f t="shared" si="13"/>
        <v>404167.35000000003</v>
      </c>
    </row>
    <row r="44" spans="1:19" s="693" customFormat="1" ht="16.5" hidden="1" customHeight="1" x14ac:dyDescent="0.25">
      <c r="A44" s="422"/>
      <c r="B44" s="510" t="s">
        <v>477</v>
      </c>
      <c r="C44" s="510" t="s">
        <v>473</v>
      </c>
      <c r="D44" s="511">
        <v>278</v>
      </c>
      <c r="E44" s="400">
        <v>612</v>
      </c>
      <c r="F44" s="741" t="s">
        <v>474</v>
      </c>
      <c r="G44" s="400">
        <v>225</v>
      </c>
      <c r="H44" s="400"/>
      <c r="I44" s="400">
        <v>225</v>
      </c>
      <c r="J44" s="400">
        <v>4.49</v>
      </c>
      <c r="K44" s="400">
        <f t="shared" si="10"/>
        <v>4.2655000000000003</v>
      </c>
      <c r="L44" s="400">
        <v>0.05</v>
      </c>
      <c r="M44" s="400"/>
      <c r="N44" s="400"/>
      <c r="O44" s="400"/>
      <c r="P44" s="400">
        <f t="shared" si="11"/>
        <v>50.512500000000003</v>
      </c>
      <c r="Q44" s="400">
        <v>17</v>
      </c>
      <c r="R44" s="400">
        <f t="shared" si="14"/>
        <v>858712.50000000012</v>
      </c>
      <c r="S44" s="400">
        <f t="shared" si="13"/>
        <v>858712.50000000012</v>
      </c>
    </row>
    <row r="45" spans="1:19" ht="16.5" hidden="1" customHeight="1" x14ac:dyDescent="0.25">
      <c r="A45" s="422"/>
      <c r="B45" s="510"/>
      <c r="C45" s="510"/>
      <c r="D45" s="511"/>
      <c r="E45" s="400"/>
      <c r="F45" s="741"/>
      <c r="G45" s="400">
        <f t="shared" si="7"/>
        <v>0</v>
      </c>
      <c r="H45" s="400"/>
      <c r="I45" s="400"/>
      <c r="J45" s="400">
        <v>4.49</v>
      </c>
      <c r="K45" s="400">
        <f t="shared" si="10"/>
        <v>4.49</v>
      </c>
      <c r="L45" s="400"/>
      <c r="M45" s="400"/>
      <c r="N45" s="400"/>
      <c r="O45" s="400"/>
      <c r="P45" s="400">
        <f t="shared" si="11"/>
        <v>0</v>
      </c>
      <c r="Q45" s="400">
        <v>17</v>
      </c>
      <c r="R45" s="400">
        <f t="shared" si="14"/>
        <v>0</v>
      </c>
      <c r="S45" s="400">
        <f t="shared" si="13"/>
        <v>0</v>
      </c>
    </row>
    <row r="46" spans="1:19" ht="16.5" hidden="1" customHeight="1" x14ac:dyDescent="0.25">
      <c r="A46" s="422"/>
      <c r="B46" s="510" t="s">
        <v>604</v>
      </c>
      <c r="C46" s="510" t="s">
        <v>473</v>
      </c>
      <c r="D46" s="511"/>
      <c r="E46" s="400">
        <v>776</v>
      </c>
      <c r="F46" s="741" t="s">
        <v>474</v>
      </c>
      <c r="G46" s="400">
        <v>11.75</v>
      </c>
      <c r="H46" s="400"/>
      <c r="I46" s="400">
        <v>11.75</v>
      </c>
      <c r="J46" s="400">
        <v>4.49</v>
      </c>
      <c r="K46" s="400">
        <f t="shared" si="10"/>
        <v>3.8165000000000004</v>
      </c>
      <c r="L46" s="400">
        <v>0.15</v>
      </c>
      <c r="M46" s="400"/>
      <c r="N46" s="400"/>
      <c r="O46" s="400"/>
      <c r="P46" s="400">
        <f t="shared" si="11"/>
        <v>7.9136249999999997</v>
      </c>
      <c r="Q46" s="400">
        <v>17</v>
      </c>
      <c r="R46" s="400">
        <f t="shared" si="14"/>
        <v>134531.625</v>
      </c>
      <c r="S46" s="400">
        <f t="shared" si="13"/>
        <v>134531.625</v>
      </c>
    </row>
    <row r="47" spans="1:19" ht="16.5" hidden="1" customHeight="1" x14ac:dyDescent="0.25">
      <c r="A47" s="422"/>
      <c r="B47" s="510" t="s">
        <v>602</v>
      </c>
      <c r="C47" s="510" t="s">
        <v>473</v>
      </c>
      <c r="D47" s="511">
        <v>682</v>
      </c>
      <c r="E47" s="400">
        <v>992</v>
      </c>
      <c r="F47" s="741" t="s">
        <v>474</v>
      </c>
      <c r="G47" s="400">
        <v>682</v>
      </c>
      <c r="H47" s="400"/>
      <c r="I47" s="400">
        <v>682</v>
      </c>
      <c r="J47" s="400">
        <v>4.49</v>
      </c>
      <c r="K47" s="400">
        <f t="shared" si="10"/>
        <v>4.0410000000000004</v>
      </c>
      <c r="L47" s="400">
        <v>0.1</v>
      </c>
      <c r="M47" s="400"/>
      <c r="N47" s="400"/>
      <c r="O47" s="400"/>
      <c r="P47" s="400">
        <f t="shared" si="11"/>
        <v>306.21800000000002</v>
      </c>
      <c r="Q47" s="400">
        <v>17</v>
      </c>
      <c r="R47" s="400">
        <f t="shared" si="14"/>
        <v>5205706</v>
      </c>
      <c r="S47" s="400">
        <f t="shared" si="13"/>
        <v>5205706</v>
      </c>
    </row>
    <row r="48" spans="1:19" ht="16.5" hidden="1" customHeight="1" x14ac:dyDescent="0.25">
      <c r="A48" s="422"/>
      <c r="B48" s="510"/>
      <c r="C48" s="510"/>
      <c r="D48" s="511"/>
      <c r="E48" s="400"/>
      <c r="F48" s="741"/>
      <c r="G48" s="420"/>
      <c r="H48" s="510"/>
      <c r="I48" s="510"/>
      <c r="J48" s="510"/>
      <c r="K48" s="400"/>
      <c r="L48" s="514"/>
      <c r="M48" s="510"/>
      <c r="N48" s="400"/>
      <c r="O48" s="510"/>
      <c r="P48" s="513"/>
      <c r="Q48" s="510"/>
      <c r="R48" s="400"/>
      <c r="S48" s="400"/>
    </row>
    <row r="49" spans="1:19" ht="16.5" hidden="1" customHeight="1" x14ac:dyDescent="0.25">
      <c r="A49" s="428"/>
      <c r="B49" s="429" t="s">
        <v>107</v>
      </c>
      <c r="C49" s="429"/>
      <c r="D49" s="430"/>
      <c r="E49" s="430"/>
      <c r="F49" s="430"/>
      <c r="G49" s="432">
        <f>SUM(G160)</f>
        <v>475</v>
      </c>
      <c r="H49" s="432">
        <f t="shared" ref="H49:I49" si="15">SUM(H160)</f>
        <v>0</v>
      </c>
      <c r="I49" s="432">
        <f t="shared" si="15"/>
        <v>475</v>
      </c>
      <c r="J49" s="432"/>
      <c r="K49" s="432"/>
      <c r="L49" s="432"/>
      <c r="M49" s="432"/>
      <c r="N49" s="432"/>
      <c r="O49" s="432"/>
      <c r="P49" s="432">
        <f>SUM(P160)</f>
        <v>834.57499999999993</v>
      </c>
      <c r="Q49" s="432"/>
      <c r="R49" s="432">
        <f>SUM(R160)</f>
        <v>14187775</v>
      </c>
      <c r="S49" s="432">
        <f>SUM(S160)</f>
        <v>14187775</v>
      </c>
    </row>
    <row r="50" spans="1:19" ht="16.5" hidden="1" customHeight="1" x14ac:dyDescent="0.25">
      <c r="A50" s="732"/>
      <c r="B50" s="733" t="s">
        <v>471</v>
      </c>
      <c r="C50" s="733"/>
      <c r="D50" s="734">
        <f>SUM(D51:D74)</f>
        <v>9640</v>
      </c>
      <c r="E50" s="734">
        <f>SUM(E51:E74)</f>
        <v>14180</v>
      </c>
      <c r="F50" s="734">
        <f>SUM(F163:F294)</f>
        <v>0</v>
      </c>
      <c r="G50" s="734">
        <f>SUM(G51:G74)</f>
        <v>6032.4</v>
      </c>
      <c r="H50" s="734">
        <f>SUM(H51:H74)</f>
        <v>36.5</v>
      </c>
      <c r="I50" s="734">
        <f>SUM(I51:I74)</f>
        <v>7119.4</v>
      </c>
      <c r="J50" s="734"/>
      <c r="K50" s="734"/>
      <c r="L50" s="734"/>
      <c r="M50" s="734">
        <f>SUM(M51:M74)</f>
        <v>0</v>
      </c>
      <c r="N50" s="734">
        <f>SUM(N51:N74)</f>
        <v>0</v>
      </c>
      <c r="O50" s="734">
        <f>SUM(O51:O74)</f>
        <v>0</v>
      </c>
      <c r="P50" s="734">
        <f>SUM(P51:P74)</f>
        <v>5253.7516000000005</v>
      </c>
      <c r="Q50" s="734"/>
      <c r="R50" s="734">
        <f>SUM(R51:R74)</f>
        <v>89313777.200000003</v>
      </c>
      <c r="S50" s="734">
        <f>SUM(S51:S74)</f>
        <v>89313777.200000003</v>
      </c>
    </row>
    <row r="51" spans="1:19" ht="16.5" hidden="1" customHeight="1" x14ac:dyDescent="0.25">
      <c r="A51" s="469"/>
      <c r="B51" s="696" t="s">
        <v>555</v>
      </c>
      <c r="C51" s="696" t="s">
        <v>473</v>
      </c>
      <c r="D51" s="474">
        <v>272</v>
      </c>
      <c r="E51" s="471">
        <v>478</v>
      </c>
      <c r="F51" s="474" t="s">
        <v>474</v>
      </c>
      <c r="G51" s="474">
        <v>205</v>
      </c>
      <c r="H51" s="474"/>
      <c r="I51" s="474">
        <v>205</v>
      </c>
      <c r="J51" s="474">
        <v>4</v>
      </c>
      <c r="K51" s="743">
        <f>J51-J51*L51</f>
        <v>3.4</v>
      </c>
      <c r="L51" s="474">
        <v>0.15</v>
      </c>
      <c r="M51" s="474"/>
      <c r="N51" s="474"/>
      <c r="O51" s="474"/>
      <c r="P51" s="400">
        <f t="shared" ref="P51:P74" si="16">G51*J51*L51</f>
        <v>123</v>
      </c>
      <c r="Q51" s="474">
        <v>17</v>
      </c>
      <c r="R51" s="400">
        <f>P51*Q51*1000</f>
        <v>2091000</v>
      </c>
      <c r="S51" s="400">
        <f>R51</f>
        <v>2091000</v>
      </c>
    </row>
    <row r="52" spans="1:19" ht="16.5" hidden="1" customHeight="1" x14ac:dyDescent="0.25">
      <c r="A52" s="469"/>
      <c r="B52" s="696" t="s">
        <v>541</v>
      </c>
      <c r="C52" s="696" t="s">
        <v>473</v>
      </c>
      <c r="D52" s="474">
        <v>713</v>
      </c>
      <c r="E52" s="471">
        <v>971</v>
      </c>
      <c r="F52" s="474" t="s">
        <v>474</v>
      </c>
      <c r="G52" s="474">
        <v>535</v>
      </c>
      <c r="H52" s="474"/>
      <c r="I52" s="474">
        <v>535</v>
      </c>
      <c r="J52" s="474">
        <v>4.3600000000000003</v>
      </c>
      <c r="K52" s="743">
        <f t="shared" ref="K52:K73" si="17">J52-J52*L52</f>
        <v>4.1420000000000003</v>
      </c>
      <c r="L52" s="474">
        <v>0.05</v>
      </c>
      <c r="M52" s="474"/>
      <c r="N52" s="474"/>
      <c r="O52" s="474"/>
      <c r="P52" s="400">
        <f t="shared" si="16"/>
        <v>116.63000000000002</v>
      </c>
      <c r="Q52" s="474">
        <v>17</v>
      </c>
      <c r="R52" s="400">
        <f t="shared" ref="R52:R74" si="18">P52*Q52*1000</f>
        <v>1982710.0000000005</v>
      </c>
      <c r="S52" s="400">
        <f t="shared" ref="S52:S74" si="19">R52</f>
        <v>1982710.0000000005</v>
      </c>
    </row>
    <row r="53" spans="1:19" ht="16.5" hidden="1" customHeight="1" x14ac:dyDescent="0.25">
      <c r="A53" s="469"/>
      <c r="B53" s="696"/>
      <c r="C53" s="696"/>
      <c r="D53" s="474">
        <v>253</v>
      </c>
      <c r="E53" s="471">
        <v>162</v>
      </c>
      <c r="F53" s="474" t="s">
        <v>702</v>
      </c>
      <c r="G53" s="474">
        <v>190</v>
      </c>
      <c r="H53" s="474"/>
      <c r="I53" s="474">
        <v>190</v>
      </c>
      <c r="J53" s="474">
        <v>4.3600000000000003</v>
      </c>
      <c r="K53" s="743">
        <f t="shared" si="17"/>
        <v>4.1420000000000003</v>
      </c>
      <c r="L53" s="474">
        <v>0.05</v>
      </c>
      <c r="M53" s="474"/>
      <c r="N53" s="474"/>
      <c r="O53" s="474"/>
      <c r="P53" s="400">
        <f t="shared" si="16"/>
        <v>41.420000000000009</v>
      </c>
      <c r="Q53" s="474">
        <v>17</v>
      </c>
      <c r="R53" s="400">
        <f t="shared" si="18"/>
        <v>704140.00000000012</v>
      </c>
      <c r="S53" s="400">
        <f t="shared" si="19"/>
        <v>704140.00000000012</v>
      </c>
    </row>
    <row r="54" spans="1:19" ht="16.5" hidden="1" customHeight="1" x14ac:dyDescent="0.25">
      <c r="A54" s="469"/>
      <c r="B54" s="696" t="s">
        <v>543</v>
      </c>
      <c r="C54" s="696" t="s">
        <v>473</v>
      </c>
      <c r="D54" s="474">
        <v>290</v>
      </c>
      <c r="E54" s="471">
        <v>591</v>
      </c>
      <c r="F54" s="474" t="s">
        <v>703</v>
      </c>
      <c r="G54" s="474">
        <v>126.5</v>
      </c>
      <c r="H54" s="474"/>
      <c r="I54" s="474">
        <v>1250</v>
      </c>
      <c r="J54" s="474">
        <v>4.3600000000000003</v>
      </c>
      <c r="K54" s="743">
        <f t="shared" si="17"/>
        <v>3.4880000000000004</v>
      </c>
      <c r="L54" s="474">
        <v>0.2</v>
      </c>
      <c r="M54" s="474"/>
      <c r="N54" s="474"/>
      <c r="O54" s="474"/>
      <c r="P54" s="400">
        <f t="shared" si="16"/>
        <v>110.30800000000002</v>
      </c>
      <c r="Q54" s="474">
        <v>17</v>
      </c>
      <c r="R54" s="400">
        <f t="shared" si="18"/>
        <v>1875236.0000000002</v>
      </c>
      <c r="S54" s="400">
        <f t="shared" si="19"/>
        <v>1875236.0000000002</v>
      </c>
    </row>
    <row r="55" spans="1:19" ht="16.5" hidden="1" customHeight="1" x14ac:dyDescent="0.25">
      <c r="A55" s="469"/>
      <c r="B55" s="696"/>
      <c r="C55" s="696"/>
      <c r="D55" s="474"/>
      <c r="E55" s="471"/>
      <c r="F55" s="474" t="s">
        <v>474</v>
      </c>
      <c r="G55" s="474">
        <v>18.5</v>
      </c>
      <c r="H55" s="474">
        <v>18.5</v>
      </c>
      <c r="I55" s="474"/>
      <c r="J55" s="474">
        <v>4.3600000000000003</v>
      </c>
      <c r="K55" s="743">
        <f t="shared" si="17"/>
        <v>0</v>
      </c>
      <c r="L55" s="474">
        <v>1</v>
      </c>
      <c r="M55" s="474"/>
      <c r="N55" s="474"/>
      <c r="O55" s="474"/>
      <c r="P55" s="400">
        <f t="shared" si="16"/>
        <v>80.660000000000011</v>
      </c>
      <c r="Q55" s="474">
        <v>17</v>
      </c>
      <c r="R55" s="400">
        <f t="shared" si="18"/>
        <v>1371220.0000000002</v>
      </c>
      <c r="S55" s="400">
        <f t="shared" si="19"/>
        <v>1371220.0000000002</v>
      </c>
    </row>
    <row r="56" spans="1:19" s="515" customFormat="1" ht="16.5" customHeight="1" x14ac:dyDescent="0.25">
      <c r="A56" s="747"/>
      <c r="B56" s="696" t="s">
        <v>704</v>
      </c>
      <c r="C56" s="748"/>
      <c r="D56" s="517">
        <f>SUM(D57:D59)</f>
        <v>603</v>
      </c>
      <c r="E56" s="517">
        <f t="shared" ref="E56" si="20">SUM(E57:E59)</f>
        <v>1777</v>
      </c>
      <c r="F56" s="517">
        <f t="shared" ref="F56" si="21">SUM(F57:F59)</f>
        <v>0</v>
      </c>
      <c r="G56" s="517">
        <f t="shared" ref="G56" si="22">SUM(G57:G59)</f>
        <v>453</v>
      </c>
      <c r="H56" s="517">
        <f t="shared" ref="H56" si="23">SUM(H57:H59)</f>
        <v>0</v>
      </c>
      <c r="I56" s="517">
        <f t="shared" ref="I56" si="24">SUM(I57:I59)</f>
        <v>453</v>
      </c>
      <c r="J56" s="517">
        <f t="shared" ref="J56" si="25">SUM(J57:J59)</f>
        <v>16.5</v>
      </c>
      <c r="K56" s="517">
        <f t="shared" ref="K56" si="26">SUM(K57:K59)</f>
        <v>12.824999999999999</v>
      </c>
      <c r="L56" s="517">
        <f t="shared" ref="L56" si="27">SUM(L57:L59)</f>
        <v>0.64999999999999991</v>
      </c>
      <c r="M56" s="517">
        <f t="shared" ref="M56" si="28">SUM(M57:M59)</f>
        <v>0</v>
      </c>
      <c r="N56" s="517">
        <f t="shared" ref="N56" si="29">SUM(N57:N59)</f>
        <v>0</v>
      </c>
      <c r="O56" s="517">
        <f t="shared" ref="O56" si="30">SUM(O57:O59)</f>
        <v>0</v>
      </c>
      <c r="P56" s="517">
        <f t="shared" ref="P56" si="31">SUM(P57:P59)</f>
        <v>497.70000000000005</v>
      </c>
      <c r="Q56" s="517">
        <f t="shared" ref="Q56" si="32">SUM(Q57:Q59)</f>
        <v>51</v>
      </c>
      <c r="R56" s="517">
        <f t="shared" ref="R56" si="33">SUM(R57:R59)</f>
        <v>8460900</v>
      </c>
      <c r="S56" s="517">
        <f t="shared" ref="S56" si="34">SUM(S57:S59)</f>
        <v>8460900</v>
      </c>
    </row>
    <row r="57" spans="1:19" ht="16.5" customHeight="1" x14ac:dyDescent="0.25">
      <c r="A57" s="469"/>
      <c r="C57" s="696" t="s">
        <v>473</v>
      </c>
      <c r="D57" s="474">
        <v>603</v>
      </c>
      <c r="E57" s="471">
        <v>1777</v>
      </c>
      <c r="F57" s="474" t="s">
        <v>474</v>
      </c>
      <c r="G57" s="474">
        <v>208</v>
      </c>
      <c r="H57" s="474"/>
      <c r="I57" s="474">
        <v>208</v>
      </c>
      <c r="J57" s="474">
        <v>4.5</v>
      </c>
      <c r="K57" s="743">
        <f t="shared" si="17"/>
        <v>3.8250000000000002</v>
      </c>
      <c r="L57" s="474">
        <v>0.15</v>
      </c>
      <c r="M57" s="474"/>
      <c r="N57" s="474"/>
      <c r="O57" s="474"/>
      <c r="P57" s="400">
        <f t="shared" si="16"/>
        <v>140.4</v>
      </c>
      <c r="Q57" s="474">
        <v>17</v>
      </c>
      <c r="R57" s="400">
        <f t="shared" si="18"/>
        <v>2386800</v>
      </c>
      <c r="S57" s="400">
        <f t="shared" si="19"/>
        <v>2386800</v>
      </c>
    </row>
    <row r="58" spans="1:19" ht="16.5" customHeight="1" x14ac:dyDescent="0.25">
      <c r="A58" s="469"/>
      <c r="B58" s="696"/>
      <c r="C58" s="696"/>
      <c r="D58" s="474"/>
      <c r="E58" s="471"/>
      <c r="F58" s="474" t="s">
        <v>702</v>
      </c>
      <c r="G58" s="474">
        <v>139.5</v>
      </c>
      <c r="H58" s="474"/>
      <c r="I58" s="474">
        <v>139.5</v>
      </c>
      <c r="J58" s="474">
        <v>6</v>
      </c>
      <c r="K58" s="743">
        <f t="shared" si="17"/>
        <v>4.8</v>
      </c>
      <c r="L58" s="474">
        <v>0.2</v>
      </c>
      <c r="M58" s="474"/>
      <c r="N58" s="474"/>
      <c r="O58" s="474"/>
      <c r="P58" s="400">
        <f t="shared" si="16"/>
        <v>167.4</v>
      </c>
      <c r="Q58" s="474">
        <v>17</v>
      </c>
      <c r="R58" s="400">
        <f t="shared" si="18"/>
        <v>2845800</v>
      </c>
      <c r="S58" s="400">
        <f t="shared" si="19"/>
        <v>2845800</v>
      </c>
    </row>
    <row r="59" spans="1:19" ht="16.5" customHeight="1" x14ac:dyDescent="0.25">
      <c r="A59" s="469"/>
      <c r="B59" s="696"/>
      <c r="C59" s="696"/>
      <c r="D59" s="474"/>
      <c r="E59" s="471"/>
      <c r="F59" s="474" t="s">
        <v>481</v>
      </c>
      <c r="G59" s="474">
        <v>105.5</v>
      </c>
      <c r="H59" s="474"/>
      <c r="I59" s="474">
        <v>105.5</v>
      </c>
      <c r="J59" s="474">
        <v>6</v>
      </c>
      <c r="K59" s="743">
        <f t="shared" si="17"/>
        <v>4.2</v>
      </c>
      <c r="L59" s="474">
        <v>0.3</v>
      </c>
      <c r="M59" s="474"/>
      <c r="N59" s="474"/>
      <c r="O59" s="474"/>
      <c r="P59" s="400">
        <f t="shared" si="16"/>
        <v>189.9</v>
      </c>
      <c r="Q59" s="474">
        <v>17</v>
      </c>
      <c r="R59" s="400">
        <f t="shared" si="18"/>
        <v>3228300</v>
      </c>
      <c r="S59" s="400">
        <f t="shared" si="19"/>
        <v>3228300</v>
      </c>
    </row>
    <row r="60" spans="1:19" ht="16.5" customHeight="1" x14ac:dyDescent="0.25">
      <c r="A60" s="469"/>
      <c r="B60" t="s">
        <v>171</v>
      </c>
      <c r="C60" s="696" t="s">
        <v>473</v>
      </c>
      <c r="D60" s="474">
        <v>80</v>
      </c>
      <c r="E60" s="471">
        <v>414</v>
      </c>
      <c r="F60" s="474" t="s">
        <v>474</v>
      </c>
      <c r="G60" s="474">
        <v>75</v>
      </c>
      <c r="H60" s="474"/>
      <c r="I60" s="474">
        <v>75</v>
      </c>
      <c r="J60" s="474">
        <v>4.3600000000000003</v>
      </c>
      <c r="K60" s="743">
        <f t="shared" si="17"/>
        <v>3.0520000000000005</v>
      </c>
      <c r="L60" s="474">
        <v>0.3</v>
      </c>
      <c r="M60" s="474"/>
      <c r="N60" s="474"/>
      <c r="O60" s="474"/>
      <c r="P60" s="400">
        <f t="shared" si="16"/>
        <v>98.1</v>
      </c>
      <c r="Q60" s="474">
        <v>17</v>
      </c>
      <c r="R60" s="400">
        <f t="shared" si="18"/>
        <v>1667699.9999999998</v>
      </c>
      <c r="S60" s="400">
        <f t="shared" si="19"/>
        <v>1667699.9999999998</v>
      </c>
    </row>
    <row r="61" spans="1:19" s="515" customFormat="1" ht="16.5" customHeight="1" x14ac:dyDescent="0.25">
      <c r="A61" s="747"/>
      <c r="B61" s="696" t="s">
        <v>550</v>
      </c>
      <c r="C61" s="748"/>
      <c r="D61" s="517">
        <f>SUM(D62:D63)</f>
        <v>286</v>
      </c>
      <c r="E61" s="517">
        <f t="shared" ref="E61" si="35">SUM(E62:E63)</f>
        <v>115</v>
      </c>
      <c r="F61" s="517">
        <f t="shared" ref="F61" si="36">SUM(F62:F63)</f>
        <v>0</v>
      </c>
      <c r="G61" s="517">
        <f t="shared" ref="G61" si="37">SUM(G62:G63)</f>
        <v>143</v>
      </c>
      <c r="H61" s="517">
        <f t="shared" ref="H61" si="38">SUM(H62:H63)</f>
        <v>3</v>
      </c>
      <c r="I61" s="517">
        <f t="shared" ref="I61" si="39">SUM(I62:I63)</f>
        <v>140</v>
      </c>
      <c r="J61" s="517">
        <f t="shared" ref="J61" si="40">SUM(J62:J63)</f>
        <v>9.36</v>
      </c>
      <c r="K61" s="517">
        <f t="shared" ref="K61" si="41">SUM(K62:K63)</f>
        <v>4</v>
      </c>
      <c r="L61" s="517">
        <f t="shared" ref="L61" si="42">SUM(L62:L63)</f>
        <v>1.2</v>
      </c>
      <c r="M61" s="517">
        <f t="shared" ref="M61" si="43">SUM(M62:M63)</f>
        <v>0</v>
      </c>
      <c r="N61" s="517">
        <f t="shared" ref="N61" si="44">SUM(N62:N63)</f>
        <v>0</v>
      </c>
      <c r="O61" s="517">
        <f t="shared" ref="O61" si="45">SUM(O62:O63)</f>
        <v>0</v>
      </c>
      <c r="P61" s="517">
        <f t="shared" ref="P61" si="46">SUM(P62:P63)</f>
        <v>153.08000000000001</v>
      </c>
      <c r="Q61" s="517">
        <f t="shared" ref="Q61" si="47">SUM(Q62:Q63)</f>
        <v>34</v>
      </c>
      <c r="R61" s="517">
        <f t="shared" ref="R61" si="48">SUM(R62:R63)</f>
        <v>2602360</v>
      </c>
      <c r="S61" s="517">
        <f t="shared" ref="S61" si="49">SUM(S62:S63)</f>
        <v>2602360</v>
      </c>
    </row>
    <row r="62" spans="1:19" s="699" customFormat="1" ht="12.75" customHeight="1" x14ac:dyDescent="0.25">
      <c r="A62" s="469"/>
      <c r="C62" s="696" t="s">
        <v>473</v>
      </c>
      <c r="D62" s="474">
        <v>286</v>
      </c>
      <c r="E62" s="471">
        <v>115</v>
      </c>
      <c r="F62" s="474" t="s">
        <v>474</v>
      </c>
      <c r="G62" s="474">
        <v>140</v>
      </c>
      <c r="H62" s="474"/>
      <c r="I62" s="474">
        <v>140</v>
      </c>
      <c r="J62" s="474">
        <v>5</v>
      </c>
      <c r="K62" s="743">
        <f t="shared" si="17"/>
        <v>4</v>
      </c>
      <c r="L62" s="474">
        <v>0.2</v>
      </c>
      <c r="M62" s="474"/>
      <c r="N62" s="474"/>
      <c r="O62" s="474"/>
      <c r="P62" s="400">
        <f t="shared" si="16"/>
        <v>140</v>
      </c>
      <c r="Q62" s="474">
        <v>17</v>
      </c>
      <c r="R62" s="400">
        <f t="shared" si="18"/>
        <v>2380000</v>
      </c>
      <c r="S62" s="400">
        <f t="shared" si="19"/>
        <v>2380000</v>
      </c>
    </row>
    <row r="63" spans="1:19" s="699" customFormat="1" x14ac:dyDescent="0.25">
      <c r="A63" s="469"/>
      <c r="B63" s="696"/>
      <c r="C63" s="696"/>
      <c r="D63" s="474"/>
      <c r="E63" s="471"/>
      <c r="F63" s="474" t="s">
        <v>705</v>
      </c>
      <c r="G63" s="474">
        <v>3</v>
      </c>
      <c r="H63" s="474">
        <v>3</v>
      </c>
      <c r="I63" s="474"/>
      <c r="J63" s="474">
        <v>4.3600000000000003</v>
      </c>
      <c r="K63" s="743">
        <f t="shared" si="17"/>
        <v>0</v>
      </c>
      <c r="L63" s="474">
        <v>1</v>
      </c>
      <c r="M63" s="474"/>
      <c r="N63" s="474"/>
      <c r="O63" s="474"/>
      <c r="P63" s="400">
        <f t="shared" si="16"/>
        <v>13.080000000000002</v>
      </c>
      <c r="Q63" s="474">
        <v>17</v>
      </c>
      <c r="R63" s="400">
        <f t="shared" si="18"/>
        <v>222360.00000000003</v>
      </c>
      <c r="S63" s="400">
        <f t="shared" si="19"/>
        <v>222360.00000000003</v>
      </c>
    </row>
    <row r="64" spans="1:19" s="699" customFormat="1" x14ac:dyDescent="0.25">
      <c r="A64" s="469"/>
      <c r="B64" s="696" t="s">
        <v>553</v>
      </c>
      <c r="C64" s="696" t="s">
        <v>473</v>
      </c>
      <c r="D64" s="474">
        <v>28</v>
      </c>
      <c r="E64" s="471">
        <v>296</v>
      </c>
      <c r="F64" s="474" t="s">
        <v>481</v>
      </c>
      <c r="G64" s="474">
        <v>14</v>
      </c>
      <c r="H64" s="474"/>
      <c r="I64" s="474">
        <v>14</v>
      </c>
      <c r="J64" s="474">
        <v>4.3600000000000003</v>
      </c>
      <c r="K64" s="743">
        <f t="shared" si="17"/>
        <v>3.4880000000000004</v>
      </c>
      <c r="L64" s="474">
        <v>0.2</v>
      </c>
      <c r="M64" s="474"/>
      <c r="N64" s="474"/>
      <c r="O64" s="474"/>
      <c r="P64" s="400">
        <f t="shared" si="16"/>
        <v>12.208000000000002</v>
      </c>
      <c r="Q64" s="474">
        <v>17</v>
      </c>
      <c r="R64" s="400">
        <f t="shared" si="18"/>
        <v>207536.00000000003</v>
      </c>
      <c r="S64" s="400">
        <f t="shared" si="19"/>
        <v>207536.00000000003</v>
      </c>
    </row>
    <row r="65" spans="1:19" s="749" customFormat="1" x14ac:dyDescent="0.25">
      <c r="A65" s="747"/>
      <c r="B65" s="696" t="s">
        <v>557</v>
      </c>
      <c r="C65" s="748"/>
      <c r="D65" s="517">
        <f>SUM(D66:D68)</f>
        <v>1987</v>
      </c>
      <c r="E65" s="517">
        <f t="shared" ref="E65" si="50">SUM(E66:E68)</f>
        <v>1920</v>
      </c>
      <c r="F65" s="517">
        <f t="shared" ref="F65" si="51">SUM(F66:F68)</f>
        <v>0</v>
      </c>
      <c r="G65" s="517">
        <f t="shared" ref="G65" si="52">SUM(G66:G68)</f>
        <v>994</v>
      </c>
      <c r="H65" s="517">
        <f t="shared" ref="H65" si="53">SUM(H66:H68)</f>
        <v>0</v>
      </c>
      <c r="I65" s="517">
        <f t="shared" ref="I65" si="54">SUM(I66:I68)</f>
        <v>994</v>
      </c>
      <c r="J65" s="517">
        <f t="shared" ref="J65" si="55">SUM(J66:J68)</f>
        <v>13.080000000000002</v>
      </c>
      <c r="K65" s="517">
        <f t="shared" ref="K65" si="56">SUM(K66:K68)</f>
        <v>9.5920000000000023</v>
      </c>
      <c r="L65" s="517">
        <f t="shared" ref="L65" si="57">SUM(L66:L68)</f>
        <v>0.8</v>
      </c>
      <c r="M65" s="517">
        <f t="shared" ref="M65" si="58">SUM(M66:M68)</f>
        <v>0</v>
      </c>
      <c r="N65" s="517">
        <f t="shared" ref="N65" si="59">SUM(N66:N68)</f>
        <v>0</v>
      </c>
      <c r="O65" s="517">
        <f t="shared" ref="O65" si="60">SUM(O66:O68)</f>
        <v>0</v>
      </c>
      <c r="P65" s="517">
        <f t="shared" ref="P65" si="61">SUM(P66:P68)</f>
        <v>919.08800000000019</v>
      </c>
      <c r="Q65" s="517">
        <f t="shared" ref="Q65" si="62">SUM(Q66:Q68)</f>
        <v>51</v>
      </c>
      <c r="R65" s="517">
        <f t="shared" ref="R65" si="63">SUM(R66:R68)</f>
        <v>15624496.000000002</v>
      </c>
      <c r="S65" s="517">
        <f t="shared" ref="S65" si="64">SUM(S66:S68)</f>
        <v>15624496.000000002</v>
      </c>
    </row>
    <row r="66" spans="1:19" x14ac:dyDescent="0.25">
      <c r="A66" s="469"/>
      <c r="C66" s="696" t="s">
        <v>473</v>
      </c>
      <c r="D66" s="474">
        <v>120</v>
      </c>
      <c r="E66" s="471">
        <v>1920</v>
      </c>
      <c r="F66" s="474" t="s">
        <v>474</v>
      </c>
      <c r="G66" s="474">
        <v>60</v>
      </c>
      <c r="H66" s="474"/>
      <c r="I66" s="474">
        <v>60</v>
      </c>
      <c r="J66" s="474">
        <v>4.3600000000000003</v>
      </c>
      <c r="K66" s="743">
        <f t="shared" si="17"/>
        <v>2.6160000000000001</v>
      </c>
      <c r="L66" s="474">
        <v>0.4</v>
      </c>
      <c r="M66" s="474"/>
      <c r="N66" s="474"/>
      <c r="O66" s="474"/>
      <c r="P66" s="400">
        <f t="shared" si="16"/>
        <v>104.64000000000001</v>
      </c>
      <c r="Q66" s="474">
        <v>17</v>
      </c>
      <c r="R66" s="400">
        <f t="shared" si="18"/>
        <v>1778880.0000000002</v>
      </c>
      <c r="S66" s="400">
        <f t="shared" si="19"/>
        <v>1778880.0000000002</v>
      </c>
    </row>
    <row r="67" spans="1:19" x14ac:dyDescent="0.25">
      <c r="A67" s="469"/>
      <c r="B67" s="696"/>
      <c r="C67" s="696"/>
      <c r="D67" s="474">
        <v>60</v>
      </c>
      <c r="E67" s="471"/>
      <c r="F67" s="474" t="s">
        <v>474</v>
      </c>
      <c r="G67" s="474">
        <v>30</v>
      </c>
      <c r="H67" s="474"/>
      <c r="I67" s="474">
        <v>30</v>
      </c>
      <c r="J67" s="474">
        <v>4.3600000000000003</v>
      </c>
      <c r="K67" s="743">
        <f t="shared" si="17"/>
        <v>3.4880000000000004</v>
      </c>
      <c r="L67" s="474">
        <v>0.2</v>
      </c>
      <c r="M67" s="474"/>
      <c r="N67" s="474"/>
      <c r="O67" s="474"/>
      <c r="P67" s="400">
        <f t="shared" si="16"/>
        <v>26.160000000000004</v>
      </c>
      <c r="Q67" s="474">
        <v>17</v>
      </c>
      <c r="R67" s="400">
        <f t="shared" si="18"/>
        <v>444720.00000000006</v>
      </c>
      <c r="S67" s="400">
        <f t="shared" si="19"/>
        <v>444720.00000000006</v>
      </c>
    </row>
    <row r="68" spans="1:19" x14ac:dyDescent="0.25">
      <c r="A68" s="469"/>
      <c r="B68" s="696"/>
      <c r="C68" s="696"/>
      <c r="D68" s="474">
        <v>1807</v>
      </c>
      <c r="E68" s="471"/>
      <c r="F68" s="474" t="s">
        <v>474</v>
      </c>
      <c r="G68" s="474">
        <v>904</v>
      </c>
      <c r="H68" s="474"/>
      <c r="I68" s="474">
        <v>904</v>
      </c>
      <c r="J68" s="474">
        <v>4.3600000000000003</v>
      </c>
      <c r="K68" s="743">
        <f t="shared" si="17"/>
        <v>3.4880000000000004</v>
      </c>
      <c r="L68" s="474">
        <v>0.2</v>
      </c>
      <c r="M68" s="474"/>
      <c r="N68" s="474"/>
      <c r="O68" s="474"/>
      <c r="P68" s="400">
        <f t="shared" si="16"/>
        <v>788.28800000000012</v>
      </c>
      <c r="Q68" s="474">
        <v>17</v>
      </c>
      <c r="R68" s="400">
        <f t="shared" si="18"/>
        <v>13400896.000000002</v>
      </c>
      <c r="S68" s="400">
        <f t="shared" si="19"/>
        <v>13400896.000000002</v>
      </c>
    </row>
    <row r="69" spans="1:19" s="515" customFormat="1" x14ac:dyDescent="0.25">
      <c r="A69" s="747"/>
      <c r="B69" s="696" t="s">
        <v>558</v>
      </c>
      <c r="C69" s="748"/>
      <c r="D69" s="517">
        <f>SUM(D70:D73)</f>
        <v>1091</v>
      </c>
      <c r="E69" s="517">
        <f t="shared" ref="E69:S69" si="65">SUM(E70:E73)</f>
        <v>1758</v>
      </c>
      <c r="F69" s="517">
        <f t="shared" si="65"/>
        <v>0</v>
      </c>
      <c r="G69" s="517">
        <f t="shared" si="65"/>
        <v>819</v>
      </c>
      <c r="H69" s="517">
        <f t="shared" si="65"/>
        <v>6</v>
      </c>
      <c r="I69" s="517">
        <f t="shared" si="65"/>
        <v>813</v>
      </c>
      <c r="J69" s="517">
        <f t="shared" si="65"/>
        <v>18.920000000000002</v>
      </c>
      <c r="K69" s="517">
        <f t="shared" si="65"/>
        <v>10.667999999999999</v>
      </c>
      <c r="L69" s="517">
        <f t="shared" si="65"/>
        <v>1.8</v>
      </c>
      <c r="M69" s="517">
        <f t="shared" si="65"/>
        <v>0</v>
      </c>
      <c r="N69" s="517">
        <f t="shared" si="65"/>
        <v>0</v>
      </c>
      <c r="O69" s="517">
        <f t="shared" si="65"/>
        <v>0</v>
      </c>
      <c r="P69" s="517">
        <f t="shared" si="65"/>
        <v>721.89600000000007</v>
      </c>
      <c r="Q69" s="517">
        <f t="shared" si="65"/>
        <v>68</v>
      </c>
      <c r="R69" s="517">
        <f t="shared" si="65"/>
        <v>12272232.000000002</v>
      </c>
      <c r="S69" s="517">
        <f t="shared" si="65"/>
        <v>12272232.000000002</v>
      </c>
    </row>
    <row r="70" spans="1:19" x14ac:dyDescent="0.25">
      <c r="A70" s="469"/>
      <c r="C70" s="696" t="s">
        <v>473</v>
      </c>
      <c r="D70" s="474">
        <v>884</v>
      </c>
      <c r="E70" s="471">
        <v>1758</v>
      </c>
      <c r="F70" s="474" t="s">
        <v>474</v>
      </c>
      <c r="G70" s="474">
        <v>663</v>
      </c>
      <c r="H70" s="474"/>
      <c r="I70" s="474">
        <v>663</v>
      </c>
      <c r="J70" s="474">
        <v>4.3600000000000003</v>
      </c>
      <c r="K70" s="743">
        <f t="shared" si="17"/>
        <v>3.4880000000000004</v>
      </c>
      <c r="L70" s="474">
        <v>0.2</v>
      </c>
      <c r="M70" s="474"/>
      <c r="N70" s="474"/>
      <c r="O70" s="474"/>
      <c r="P70" s="400">
        <f t="shared" si="16"/>
        <v>578.13600000000008</v>
      </c>
      <c r="Q70" s="474">
        <v>17</v>
      </c>
      <c r="R70" s="400">
        <f t="shared" si="18"/>
        <v>9828312.0000000019</v>
      </c>
      <c r="S70" s="400">
        <f t="shared" si="19"/>
        <v>9828312.0000000019</v>
      </c>
    </row>
    <row r="71" spans="1:19" x14ac:dyDescent="0.25">
      <c r="A71" s="469"/>
      <c r="B71" s="696"/>
      <c r="C71" s="696"/>
      <c r="D71" s="474">
        <v>173</v>
      </c>
      <c r="E71" s="471"/>
      <c r="F71" s="474" t="s">
        <v>706</v>
      </c>
      <c r="G71" s="474">
        <v>130</v>
      </c>
      <c r="H71" s="474"/>
      <c r="I71" s="474">
        <v>130</v>
      </c>
      <c r="J71" s="474">
        <v>5.2</v>
      </c>
      <c r="K71" s="743">
        <f t="shared" si="17"/>
        <v>4.68</v>
      </c>
      <c r="L71" s="474">
        <v>0.1</v>
      </c>
      <c r="M71" s="474"/>
      <c r="N71" s="474"/>
      <c r="O71" s="474"/>
      <c r="P71" s="400">
        <f t="shared" si="16"/>
        <v>67.600000000000009</v>
      </c>
      <c r="Q71" s="474">
        <v>17</v>
      </c>
      <c r="R71" s="400">
        <f t="shared" si="18"/>
        <v>1149200</v>
      </c>
      <c r="S71" s="400">
        <f t="shared" si="19"/>
        <v>1149200</v>
      </c>
    </row>
    <row r="72" spans="1:19" x14ac:dyDescent="0.25">
      <c r="A72" s="469"/>
      <c r="B72" s="696"/>
      <c r="C72" s="696"/>
      <c r="D72" s="474">
        <v>26</v>
      </c>
      <c r="E72" s="471"/>
      <c r="F72" s="474" t="s">
        <v>504</v>
      </c>
      <c r="G72" s="474">
        <v>20</v>
      </c>
      <c r="H72" s="474"/>
      <c r="I72" s="474">
        <v>20</v>
      </c>
      <c r="J72" s="474">
        <v>5</v>
      </c>
      <c r="K72" s="743">
        <f t="shared" si="17"/>
        <v>2.5</v>
      </c>
      <c r="L72" s="474">
        <v>0.5</v>
      </c>
      <c r="M72" s="474"/>
      <c r="N72" s="474"/>
      <c r="O72" s="474"/>
      <c r="P72" s="400">
        <f t="shared" si="16"/>
        <v>50</v>
      </c>
      <c r="Q72" s="474">
        <v>17</v>
      </c>
      <c r="R72" s="400">
        <f t="shared" si="18"/>
        <v>850000</v>
      </c>
      <c r="S72" s="400">
        <f t="shared" si="19"/>
        <v>850000</v>
      </c>
    </row>
    <row r="73" spans="1:19" x14ac:dyDescent="0.25">
      <c r="A73" s="469"/>
      <c r="B73" s="696"/>
      <c r="C73" s="696"/>
      <c r="D73" s="474">
        <v>8</v>
      </c>
      <c r="E73" s="471"/>
      <c r="F73" s="474" t="s">
        <v>474</v>
      </c>
      <c r="G73" s="474">
        <v>6</v>
      </c>
      <c r="H73" s="474">
        <v>6</v>
      </c>
      <c r="I73" s="474"/>
      <c r="J73" s="474">
        <v>4.3600000000000003</v>
      </c>
      <c r="K73" s="743">
        <f t="shared" si="17"/>
        <v>0</v>
      </c>
      <c r="L73" s="474">
        <v>1</v>
      </c>
      <c r="M73" s="474"/>
      <c r="N73" s="474"/>
      <c r="O73" s="474"/>
      <c r="P73" s="474">
        <f t="shared" si="16"/>
        <v>26.160000000000004</v>
      </c>
      <c r="Q73" s="474">
        <v>17</v>
      </c>
      <c r="R73" s="474">
        <f t="shared" si="18"/>
        <v>444720.00000000006</v>
      </c>
      <c r="S73" s="474">
        <f t="shared" si="19"/>
        <v>444720.00000000006</v>
      </c>
    </row>
    <row r="74" spans="1:19" x14ac:dyDescent="0.25">
      <c r="A74" s="469"/>
      <c r="B74" t="s">
        <v>132</v>
      </c>
      <c r="C74" s="696"/>
      <c r="D74" s="474">
        <v>70</v>
      </c>
      <c r="E74" s="471">
        <v>128</v>
      </c>
      <c r="F74" s="474" t="s">
        <v>474</v>
      </c>
      <c r="G74" s="474">
        <v>50.4</v>
      </c>
      <c r="H74" s="474"/>
      <c r="I74" s="474">
        <v>50.4</v>
      </c>
      <c r="J74" s="474">
        <v>4.3600000000000003</v>
      </c>
      <c r="K74" s="743">
        <f>J74-J74*L74</f>
        <v>2.6160000000000001</v>
      </c>
      <c r="L74" s="474">
        <v>0.4</v>
      </c>
      <c r="M74" s="474"/>
      <c r="N74" s="474"/>
      <c r="O74" s="474"/>
      <c r="P74" s="474">
        <f t="shared" si="16"/>
        <v>87.897600000000011</v>
      </c>
      <c r="Q74" s="474">
        <v>17</v>
      </c>
      <c r="R74" s="474">
        <f t="shared" si="18"/>
        <v>1494259.2000000002</v>
      </c>
      <c r="S74" s="474">
        <f t="shared" si="19"/>
        <v>1494259.2000000002</v>
      </c>
    </row>
    <row r="75" spans="1:19" x14ac:dyDescent="0.25">
      <c r="A75" s="469"/>
      <c r="B75" s="696"/>
      <c r="C75" s="696"/>
      <c r="D75" s="474"/>
      <c r="E75" s="471"/>
      <c r="F75" s="474"/>
      <c r="G75" s="474"/>
      <c r="H75" s="474"/>
      <c r="I75" s="474"/>
      <c r="J75" s="474"/>
      <c r="K75" s="474"/>
      <c r="L75" s="474"/>
      <c r="M75" s="474"/>
      <c r="N75" s="474"/>
      <c r="O75" s="474"/>
      <c r="P75" s="474"/>
      <c r="Q75" s="474"/>
      <c r="R75" s="474"/>
      <c r="S75" s="474"/>
    </row>
    <row r="76" spans="1:19" x14ac:dyDescent="0.25">
      <c r="A76" s="732"/>
      <c r="B76" s="733" t="s">
        <v>475</v>
      </c>
      <c r="C76" s="733"/>
      <c r="D76" s="734">
        <f>SUM(D78:D138)</f>
        <v>35748</v>
      </c>
      <c r="E76" s="734">
        <f>SUM(E78:E138)</f>
        <v>39329</v>
      </c>
      <c r="F76" s="734">
        <f t="shared" ref="F76" si="66">SUM(F311:F316)</f>
        <v>0</v>
      </c>
      <c r="G76" s="734">
        <f>SUM(G78:G138)</f>
        <v>22292.949999999997</v>
      </c>
      <c r="H76" s="734">
        <f>SUM(H78:H138)</f>
        <v>211.9</v>
      </c>
      <c r="I76" s="734">
        <f>SUM(I78:I138)</f>
        <v>22081.049999999996</v>
      </c>
      <c r="J76" s="734"/>
      <c r="K76" s="734"/>
      <c r="L76" s="734"/>
      <c r="M76" s="734">
        <f>SUM(M78:M138)</f>
        <v>10.46</v>
      </c>
      <c r="N76" s="734"/>
      <c r="O76" s="734">
        <f>SUM(O78:O138)</f>
        <v>2560000</v>
      </c>
      <c r="P76" s="734">
        <f>SUM(P78:P138)</f>
        <v>25816.731500000002</v>
      </c>
      <c r="Q76" s="734"/>
      <c r="R76" s="734">
        <f>SUM(R78:R138)</f>
        <v>438884435.50000006</v>
      </c>
      <c r="S76" s="734">
        <f>SUM(S78:S138)</f>
        <v>441444435.50000006</v>
      </c>
    </row>
    <row r="77" spans="1:19" s="515" customFormat="1" x14ac:dyDescent="0.25">
      <c r="A77" s="747"/>
      <c r="B77" s="696" t="s">
        <v>585</v>
      </c>
      <c r="C77" s="750"/>
      <c r="D77" s="517">
        <f>SUM(D78:D79)</f>
        <v>163</v>
      </c>
      <c r="E77" s="517">
        <f t="shared" ref="E77" si="67">SUM(E78:E79)</f>
        <v>617</v>
      </c>
      <c r="F77" s="517">
        <f t="shared" ref="F77" si="68">SUM(F78:F79)</f>
        <v>0</v>
      </c>
      <c r="G77" s="517">
        <f t="shared" ref="G77" si="69">SUM(G78:G79)</f>
        <v>81.55</v>
      </c>
      <c r="H77" s="517">
        <f t="shared" ref="H77" si="70">SUM(H78:H79)</f>
        <v>6</v>
      </c>
      <c r="I77" s="517">
        <f t="shared" ref="I77" si="71">SUM(I78:I79)</f>
        <v>75.55</v>
      </c>
      <c r="J77" s="517">
        <f t="shared" ref="J77" si="72">SUM(J78:J79)</f>
        <v>8.7200000000000006</v>
      </c>
      <c r="K77" s="517">
        <f t="shared" ref="K77" si="73">SUM(K78:K79)</f>
        <v>3.2700000000000005</v>
      </c>
      <c r="L77" s="517">
        <f t="shared" ref="L77" si="74">SUM(L78:L79)</f>
        <v>1.25</v>
      </c>
      <c r="M77" s="517">
        <f t="shared" ref="M77" si="75">SUM(M78:M79)</f>
        <v>0</v>
      </c>
      <c r="N77" s="517">
        <f t="shared" ref="N77" si="76">SUM(N78:N79)</f>
        <v>0</v>
      </c>
      <c r="O77" s="517">
        <f t="shared" ref="O77" si="77">SUM(O78:O79)</f>
        <v>0</v>
      </c>
      <c r="P77" s="517">
        <f t="shared" ref="P77" si="78">SUM(P78:P79)</f>
        <v>108.5095</v>
      </c>
      <c r="Q77" s="517">
        <f t="shared" ref="Q77" si="79">SUM(Q78:Q79)</f>
        <v>34</v>
      </c>
      <c r="R77" s="517">
        <f t="shared" ref="R77" si="80">SUM(R78:R79)</f>
        <v>1844661.5000000002</v>
      </c>
      <c r="S77" s="517">
        <f t="shared" ref="S77" si="81">SUM(S78:S79)</f>
        <v>1844661.5000000002</v>
      </c>
    </row>
    <row r="78" spans="1:19" x14ac:dyDescent="0.25">
      <c r="A78" s="469"/>
      <c r="C78" s="696" t="s">
        <v>473</v>
      </c>
      <c r="D78" s="471">
        <v>151</v>
      </c>
      <c r="E78" s="471">
        <v>617</v>
      </c>
      <c r="F78" s="474" t="s">
        <v>474</v>
      </c>
      <c r="G78" s="474">
        <v>75.55</v>
      </c>
      <c r="H78" s="474"/>
      <c r="I78" s="474">
        <f>G78</f>
        <v>75.55</v>
      </c>
      <c r="J78" s="474">
        <v>4.3600000000000003</v>
      </c>
      <c r="K78" s="743">
        <f>J78-J78*L78</f>
        <v>3.2700000000000005</v>
      </c>
      <c r="L78" s="474">
        <v>0.25</v>
      </c>
      <c r="M78" s="474"/>
      <c r="N78" s="474"/>
      <c r="O78" s="474"/>
      <c r="P78" s="400">
        <f t="shared" ref="P78:P144" si="82">G78*J78*L78</f>
        <v>82.349500000000006</v>
      </c>
      <c r="Q78" s="474">
        <v>17</v>
      </c>
      <c r="R78" s="474">
        <f t="shared" ref="R78:R144" si="83">P78*Q78*1000</f>
        <v>1399941.5000000002</v>
      </c>
      <c r="S78" s="400">
        <f>R78</f>
        <v>1399941.5000000002</v>
      </c>
    </row>
    <row r="79" spans="1:19" x14ac:dyDescent="0.25">
      <c r="A79" s="469"/>
      <c r="B79" s="696"/>
      <c r="C79" s="696"/>
      <c r="D79" s="471">
        <v>12</v>
      </c>
      <c r="E79" s="471"/>
      <c r="F79" s="474" t="s">
        <v>474</v>
      </c>
      <c r="G79" s="474">
        <v>6</v>
      </c>
      <c r="H79" s="474">
        <v>6</v>
      </c>
      <c r="I79" s="474"/>
      <c r="J79" s="474">
        <v>4.3600000000000003</v>
      </c>
      <c r="K79" s="743">
        <f t="shared" ref="K79:K144" si="84">J79-J79*L79</f>
        <v>0</v>
      </c>
      <c r="L79" s="474">
        <v>1</v>
      </c>
      <c r="M79" s="474"/>
      <c r="N79" s="474"/>
      <c r="O79" s="474"/>
      <c r="P79" s="400">
        <f t="shared" si="82"/>
        <v>26.160000000000004</v>
      </c>
      <c r="Q79" s="474">
        <v>17</v>
      </c>
      <c r="R79" s="474">
        <f t="shared" si="83"/>
        <v>444720.00000000006</v>
      </c>
      <c r="S79" s="400">
        <f t="shared" ref="S79:S144" si="85">R79</f>
        <v>444720.00000000006</v>
      </c>
    </row>
    <row r="80" spans="1:19" s="515" customFormat="1" x14ac:dyDescent="0.25">
      <c r="A80" s="747"/>
      <c r="B80" s="696" t="s">
        <v>572</v>
      </c>
      <c r="C80" s="748"/>
      <c r="D80" s="517">
        <f>SUM(D81:D83)</f>
        <v>660</v>
      </c>
      <c r="E80" s="517">
        <f t="shared" ref="E80" si="86">SUM(E81:E83)</f>
        <v>635</v>
      </c>
      <c r="F80" s="517">
        <f t="shared" ref="F80" si="87">SUM(F81:F83)</f>
        <v>0</v>
      </c>
      <c r="G80" s="517">
        <f t="shared" ref="G80" si="88">SUM(G81:G83)</f>
        <v>331</v>
      </c>
      <c r="H80" s="517">
        <f t="shared" ref="H80" si="89">SUM(H81:H83)</f>
        <v>0</v>
      </c>
      <c r="I80" s="517">
        <f t="shared" ref="I80" si="90">SUM(I81:I83)</f>
        <v>331</v>
      </c>
      <c r="J80" s="517">
        <f t="shared" ref="J80" si="91">SUM(J81:J83)</f>
        <v>16.5</v>
      </c>
      <c r="K80" s="517">
        <f t="shared" ref="K80" si="92">SUM(K81:K83)</f>
        <v>13.65</v>
      </c>
      <c r="L80" s="517">
        <f t="shared" ref="L80" si="93">SUM(L81:L83)</f>
        <v>0.55000000000000004</v>
      </c>
      <c r="M80" s="517">
        <f t="shared" ref="M80" si="94">SUM(M81:M83)</f>
        <v>0</v>
      </c>
      <c r="N80" s="517">
        <f t="shared" ref="N80" si="95">SUM(N81:N83)</f>
        <v>0</v>
      </c>
      <c r="O80" s="517">
        <f t="shared" ref="O80" si="96">SUM(O81:O83)</f>
        <v>0</v>
      </c>
      <c r="P80" s="517">
        <f t="shared" ref="P80" si="97">SUM(P81:P83)</f>
        <v>227.4</v>
      </c>
      <c r="Q80" s="517">
        <f t="shared" ref="Q80" si="98">SUM(Q81:Q83)</f>
        <v>51</v>
      </c>
      <c r="R80" s="517">
        <f t="shared" ref="R80" si="99">SUM(R81:R83)</f>
        <v>3865800</v>
      </c>
      <c r="S80" s="517">
        <f t="shared" ref="S80" si="100">SUM(S81:S83)</f>
        <v>3865800</v>
      </c>
    </row>
    <row r="81" spans="1:19" x14ac:dyDescent="0.25">
      <c r="A81" s="469"/>
      <c r="C81" s="696" t="s">
        <v>473</v>
      </c>
      <c r="D81" s="471">
        <v>500</v>
      </c>
      <c r="E81" s="471">
        <v>635</v>
      </c>
      <c r="F81" s="474" t="s">
        <v>474</v>
      </c>
      <c r="G81" s="474">
        <v>250</v>
      </c>
      <c r="H81" s="474"/>
      <c r="I81" s="474">
        <f>G81</f>
        <v>250</v>
      </c>
      <c r="J81" s="474">
        <v>6</v>
      </c>
      <c r="K81" s="743">
        <f t="shared" si="84"/>
        <v>5.4</v>
      </c>
      <c r="L81" s="474">
        <v>0.1</v>
      </c>
      <c r="M81" s="474"/>
      <c r="N81" s="474"/>
      <c r="O81" s="474"/>
      <c r="P81" s="400">
        <f t="shared" si="82"/>
        <v>150</v>
      </c>
      <c r="Q81" s="474">
        <v>17</v>
      </c>
      <c r="R81" s="474">
        <f t="shared" si="83"/>
        <v>2550000</v>
      </c>
      <c r="S81" s="400">
        <f t="shared" si="85"/>
        <v>2550000</v>
      </c>
    </row>
    <row r="82" spans="1:19" x14ac:dyDescent="0.25">
      <c r="A82" s="469"/>
      <c r="B82" s="696"/>
      <c r="C82" s="696"/>
      <c r="D82" s="471">
        <v>142</v>
      </c>
      <c r="E82" s="471"/>
      <c r="F82" s="474" t="s">
        <v>474</v>
      </c>
      <c r="G82" s="474">
        <v>71</v>
      </c>
      <c r="H82" s="474"/>
      <c r="I82" s="474">
        <f t="shared" ref="I82:I92" si="101">G82</f>
        <v>71</v>
      </c>
      <c r="J82" s="474">
        <v>6</v>
      </c>
      <c r="K82" s="743">
        <f t="shared" si="84"/>
        <v>5.0999999999999996</v>
      </c>
      <c r="L82" s="474">
        <v>0.15</v>
      </c>
      <c r="M82" s="474"/>
      <c r="N82" s="474"/>
      <c r="O82" s="474"/>
      <c r="P82" s="400">
        <f t="shared" si="82"/>
        <v>63.9</v>
      </c>
      <c r="Q82" s="474">
        <v>17</v>
      </c>
      <c r="R82" s="474">
        <f t="shared" si="83"/>
        <v>1086300</v>
      </c>
      <c r="S82" s="400">
        <f t="shared" si="85"/>
        <v>1086300</v>
      </c>
    </row>
    <row r="83" spans="1:19" x14ac:dyDescent="0.25">
      <c r="A83" s="469"/>
      <c r="B83" s="696"/>
      <c r="C83" s="696"/>
      <c r="D83" s="471">
        <v>18</v>
      </c>
      <c r="E83" s="471"/>
      <c r="F83" s="474" t="s">
        <v>707</v>
      </c>
      <c r="G83" s="474">
        <v>10</v>
      </c>
      <c r="H83" s="474"/>
      <c r="I83" s="474">
        <f t="shared" si="101"/>
        <v>10</v>
      </c>
      <c r="J83" s="474">
        <v>4.5</v>
      </c>
      <c r="K83" s="743">
        <f t="shared" si="84"/>
        <v>3.1500000000000004</v>
      </c>
      <c r="L83" s="474">
        <v>0.3</v>
      </c>
      <c r="M83" s="474"/>
      <c r="N83" s="474"/>
      <c r="O83" s="474"/>
      <c r="P83" s="400">
        <f t="shared" si="82"/>
        <v>13.5</v>
      </c>
      <c r="Q83" s="474">
        <v>17</v>
      </c>
      <c r="R83" s="474">
        <f t="shared" si="83"/>
        <v>229500</v>
      </c>
      <c r="S83" s="400">
        <f t="shared" si="85"/>
        <v>229500</v>
      </c>
    </row>
    <row r="84" spans="1:19" s="515" customFormat="1" x14ac:dyDescent="0.25">
      <c r="A84" s="747"/>
      <c r="B84" s="696" t="s">
        <v>570</v>
      </c>
      <c r="C84" s="748"/>
      <c r="D84" s="517">
        <f>SUM(D85:D87)</f>
        <v>729</v>
      </c>
      <c r="E84" s="517">
        <f t="shared" ref="E84" si="102">SUM(E85:E87)</f>
        <v>1178</v>
      </c>
      <c r="F84" s="517">
        <f t="shared" ref="F84" si="103">SUM(F85:F87)</f>
        <v>0</v>
      </c>
      <c r="G84" s="517">
        <f t="shared" ref="G84" si="104">SUM(G85:G87)</f>
        <v>367</v>
      </c>
      <c r="H84" s="517">
        <f t="shared" ref="H84" si="105">SUM(H85:H87)</f>
        <v>0</v>
      </c>
      <c r="I84" s="517">
        <f t="shared" ref="I84" si="106">SUM(I85:I87)</f>
        <v>367</v>
      </c>
      <c r="J84" s="517">
        <f t="shared" ref="J84" si="107">SUM(J85:J87)</f>
        <v>13.080000000000002</v>
      </c>
      <c r="K84" s="517">
        <f t="shared" ref="K84" si="108">SUM(K85:K87)</f>
        <v>7.8480000000000008</v>
      </c>
      <c r="L84" s="517">
        <f t="shared" ref="L84" si="109">SUM(L85:L87)</f>
        <v>1.2</v>
      </c>
      <c r="M84" s="517">
        <f t="shared" ref="M84" si="110">SUM(M85:M87)</f>
        <v>0</v>
      </c>
      <c r="N84" s="517">
        <f t="shared" ref="N84" si="111">SUM(N85:N87)</f>
        <v>0</v>
      </c>
      <c r="O84" s="517">
        <f t="shared" ref="O84" si="112">SUM(O85:O87)</f>
        <v>0</v>
      </c>
      <c r="P84" s="517">
        <f t="shared" ref="P84" si="113">SUM(P85:P87)</f>
        <v>597.32000000000005</v>
      </c>
      <c r="Q84" s="517">
        <f t="shared" ref="Q84" si="114">SUM(Q85:Q87)</f>
        <v>51</v>
      </c>
      <c r="R84" s="517">
        <f t="shared" ref="R84" si="115">SUM(R85:R87)</f>
        <v>10154440</v>
      </c>
      <c r="S84" s="517">
        <f t="shared" ref="S84" si="116">SUM(S85:S87)</f>
        <v>10154440</v>
      </c>
    </row>
    <row r="85" spans="1:19" x14ac:dyDescent="0.25">
      <c r="A85" s="469"/>
      <c r="C85" s="696" t="s">
        <v>473</v>
      </c>
      <c r="D85" s="471">
        <v>315</v>
      </c>
      <c r="E85" s="471">
        <v>108</v>
      </c>
      <c r="F85" s="474" t="s">
        <v>707</v>
      </c>
      <c r="G85" s="474">
        <v>162</v>
      </c>
      <c r="H85" s="474"/>
      <c r="I85" s="474">
        <f t="shared" si="101"/>
        <v>162</v>
      </c>
      <c r="J85" s="474">
        <v>4.3600000000000003</v>
      </c>
      <c r="K85" s="743">
        <f t="shared" si="84"/>
        <v>2.1800000000000002</v>
      </c>
      <c r="L85" s="474">
        <v>0.5</v>
      </c>
      <c r="M85" s="474"/>
      <c r="N85" s="474"/>
      <c r="O85" s="474"/>
      <c r="P85" s="400">
        <f t="shared" si="82"/>
        <v>353.16</v>
      </c>
      <c r="Q85" s="474">
        <v>17</v>
      </c>
      <c r="R85" s="474">
        <f t="shared" si="83"/>
        <v>6003720</v>
      </c>
      <c r="S85" s="400">
        <f t="shared" si="85"/>
        <v>6003720</v>
      </c>
    </row>
    <row r="86" spans="1:19" x14ac:dyDescent="0.25">
      <c r="A86" s="469"/>
      <c r="B86" s="696"/>
      <c r="C86" s="696"/>
      <c r="D86" s="471">
        <v>97</v>
      </c>
      <c r="E86" s="471"/>
      <c r="F86" s="474" t="s">
        <v>707</v>
      </c>
      <c r="G86" s="474">
        <v>50</v>
      </c>
      <c r="H86" s="474"/>
      <c r="I86" s="474">
        <f t="shared" si="101"/>
        <v>50</v>
      </c>
      <c r="J86" s="474">
        <v>4.3600000000000003</v>
      </c>
      <c r="K86" s="743">
        <f t="shared" si="84"/>
        <v>2.1800000000000002</v>
      </c>
      <c r="L86" s="474">
        <v>0.5</v>
      </c>
      <c r="M86" s="474"/>
      <c r="N86" s="474"/>
      <c r="O86" s="474"/>
      <c r="P86" s="400">
        <f t="shared" si="82"/>
        <v>109.00000000000001</v>
      </c>
      <c r="Q86" s="474">
        <v>17</v>
      </c>
      <c r="R86" s="474">
        <f t="shared" si="83"/>
        <v>1853000.0000000002</v>
      </c>
      <c r="S86" s="400">
        <f t="shared" si="85"/>
        <v>1853000.0000000002</v>
      </c>
    </row>
    <row r="87" spans="1:19" x14ac:dyDescent="0.25">
      <c r="A87" s="469"/>
      <c r="B87" s="696"/>
      <c r="C87" s="696"/>
      <c r="D87" s="471">
        <v>317</v>
      </c>
      <c r="E87" s="471">
        <v>1070</v>
      </c>
      <c r="F87" s="474" t="s">
        <v>474</v>
      </c>
      <c r="G87" s="474">
        <v>155</v>
      </c>
      <c r="H87" s="474"/>
      <c r="I87" s="474">
        <f t="shared" si="101"/>
        <v>155</v>
      </c>
      <c r="J87" s="474">
        <v>4.3600000000000003</v>
      </c>
      <c r="K87" s="743">
        <f t="shared" si="84"/>
        <v>3.4880000000000004</v>
      </c>
      <c r="L87" s="474">
        <v>0.2</v>
      </c>
      <c r="M87" s="474"/>
      <c r="N87" s="474"/>
      <c r="O87" s="474"/>
      <c r="P87" s="400">
        <f t="shared" si="82"/>
        <v>135.16000000000003</v>
      </c>
      <c r="Q87" s="474">
        <v>17</v>
      </c>
      <c r="R87" s="474">
        <f t="shared" si="83"/>
        <v>2297720.0000000005</v>
      </c>
      <c r="S87" s="400">
        <f t="shared" si="85"/>
        <v>2297720.0000000005</v>
      </c>
    </row>
    <row r="88" spans="1:19" s="515" customFormat="1" x14ac:dyDescent="0.25">
      <c r="A88" s="747"/>
      <c r="B88" s="696" t="s">
        <v>129</v>
      </c>
      <c r="C88" s="748"/>
      <c r="D88" s="517">
        <f>SUM(D89:D90)</f>
        <v>3911</v>
      </c>
      <c r="E88" s="517">
        <f t="shared" ref="E88" si="117">SUM(E89:E90)</f>
        <v>2782</v>
      </c>
      <c r="F88" s="517">
        <f t="shared" ref="F88" si="118">SUM(F89:F90)</f>
        <v>0</v>
      </c>
      <c r="G88" s="517">
        <f t="shared" ref="G88" si="119">SUM(G89:G90)</f>
        <v>2400</v>
      </c>
      <c r="H88" s="517">
        <f t="shared" ref="H88" si="120">SUM(H89:H90)</f>
        <v>0</v>
      </c>
      <c r="I88" s="517">
        <f t="shared" ref="I88" si="121">SUM(I89:I90)</f>
        <v>2400</v>
      </c>
      <c r="J88" s="517">
        <f t="shared" ref="J88" si="122">SUM(J89:J90)</f>
        <v>8.7200000000000006</v>
      </c>
      <c r="K88" s="517">
        <f t="shared" ref="K88" si="123">SUM(K89:K90)</f>
        <v>6.322000000000001</v>
      </c>
      <c r="L88" s="517">
        <f t="shared" ref="L88" si="124">SUM(L89:L90)</f>
        <v>0.55000000000000004</v>
      </c>
      <c r="M88" s="517">
        <f t="shared" ref="M88" si="125">SUM(M89:M90)</f>
        <v>0</v>
      </c>
      <c r="N88" s="517">
        <f t="shared" ref="N88" si="126">SUM(N89:N90)</f>
        <v>0</v>
      </c>
      <c r="O88" s="517">
        <f t="shared" ref="O88" si="127">SUM(O89:O90)</f>
        <v>0</v>
      </c>
      <c r="P88" s="517">
        <f t="shared" ref="P88" si="128">SUM(P89:P90)</f>
        <v>2332.6000000000004</v>
      </c>
      <c r="Q88" s="517">
        <f t="shared" ref="Q88" si="129">SUM(Q89:Q90)</f>
        <v>34</v>
      </c>
      <c r="R88" s="517">
        <f t="shared" ref="R88" si="130">SUM(R89:R90)</f>
        <v>39654200</v>
      </c>
      <c r="S88" s="517">
        <f t="shared" ref="S88" si="131">SUM(S89:S90)</f>
        <v>39654200</v>
      </c>
    </row>
    <row r="89" spans="1:19" x14ac:dyDescent="0.25">
      <c r="A89" s="469"/>
      <c r="C89" s="696" t="s">
        <v>473</v>
      </c>
      <c r="D89" s="471">
        <v>2978</v>
      </c>
      <c r="E89" s="471">
        <v>1902</v>
      </c>
      <c r="F89" s="474" t="s">
        <v>481</v>
      </c>
      <c r="G89" s="474">
        <v>1700</v>
      </c>
      <c r="H89" s="474"/>
      <c r="I89" s="474">
        <f t="shared" si="101"/>
        <v>1700</v>
      </c>
      <c r="J89" s="474">
        <v>4.3600000000000003</v>
      </c>
      <c r="K89" s="743">
        <f t="shared" si="84"/>
        <v>3.7060000000000004</v>
      </c>
      <c r="L89" s="474">
        <v>0.15</v>
      </c>
      <c r="M89" s="474"/>
      <c r="N89" s="474"/>
      <c r="O89" s="474"/>
      <c r="P89" s="400">
        <f t="shared" si="82"/>
        <v>1111.8000000000002</v>
      </c>
      <c r="Q89" s="474">
        <v>17</v>
      </c>
      <c r="R89" s="474">
        <f t="shared" si="83"/>
        <v>18900600.000000004</v>
      </c>
      <c r="S89" s="400">
        <f t="shared" si="85"/>
        <v>18900600.000000004</v>
      </c>
    </row>
    <row r="90" spans="1:19" x14ac:dyDescent="0.25">
      <c r="A90" s="469"/>
      <c r="B90" s="696"/>
      <c r="C90" s="696"/>
      <c r="D90" s="471">
        <v>933</v>
      </c>
      <c r="E90" s="471">
        <v>880</v>
      </c>
      <c r="F90" s="474" t="s">
        <v>707</v>
      </c>
      <c r="G90" s="474">
        <v>700</v>
      </c>
      <c r="H90" s="474"/>
      <c r="I90" s="474">
        <f t="shared" si="101"/>
        <v>700</v>
      </c>
      <c r="J90" s="474">
        <v>4.3600000000000003</v>
      </c>
      <c r="K90" s="743">
        <f t="shared" si="84"/>
        <v>2.6160000000000001</v>
      </c>
      <c r="L90" s="474">
        <v>0.4</v>
      </c>
      <c r="M90" s="474"/>
      <c r="N90" s="474"/>
      <c r="O90" s="474"/>
      <c r="P90" s="400">
        <f t="shared" si="82"/>
        <v>1220.8</v>
      </c>
      <c r="Q90" s="474">
        <v>17</v>
      </c>
      <c r="R90" s="474">
        <f t="shared" si="83"/>
        <v>20753600</v>
      </c>
      <c r="S90" s="400">
        <f t="shared" si="85"/>
        <v>20753600</v>
      </c>
    </row>
    <row r="91" spans="1:19" s="515" customFormat="1" x14ac:dyDescent="0.25">
      <c r="A91" s="747"/>
      <c r="B91" s="696" t="s">
        <v>583</v>
      </c>
      <c r="C91" s="748"/>
      <c r="D91" s="517">
        <f>SUM(D92:D93)</f>
        <v>424</v>
      </c>
      <c r="E91" s="517">
        <f t="shared" ref="E91" si="132">SUM(E92:E93)</f>
        <v>964</v>
      </c>
      <c r="F91" s="517">
        <f t="shared" ref="F91" si="133">SUM(F92:F93)</f>
        <v>0</v>
      </c>
      <c r="G91" s="517">
        <f t="shared" ref="G91" si="134">SUM(G92:G93)</f>
        <v>100.5</v>
      </c>
      <c r="H91" s="517">
        <f t="shared" ref="H91" si="135">SUM(H92:H93)</f>
        <v>39.85</v>
      </c>
      <c r="I91" s="517">
        <f t="shared" ref="I91" si="136">SUM(I92:I93)</f>
        <v>60.65</v>
      </c>
      <c r="J91" s="517">
        <f t="shared" ref="J91" si="137">SUM(J92:J93)</f>
        <v>8.7200000000000006</v>
      </c>
      <c r="K91" s="517">
        <f t="shared" ref="K91" si="138">SUM(K92:K93)</f>
        <v>3.0520000000000005</v>
      </c>
      <c r="L91" s="517">
        <f t="shared" ref="L91" si="139">SUM(L92:L93)</f>
        <v>1.3</v>
      </c>
      <c r="M91" s="517">
        <f t="shared" ref="M91" si="140">SUM(M92:M93)</f>
        <v>0</v>
      </c>
      <c r="N91" s="517">
        <f t="shared" ref="N91" si="141">SUM(N92:N93)</f>
        <v>0</v>
      </c>
      <c r="O91" s="517">
        <f t="shared" ref="O91" si="142">SUM(O92:O93)</f>
        <v>0</v>
      </c>
      <c r="P91" s="517">
        <f t="shared" ref="P91" si="143">SUM(P92:P93)</f>
        <v>253.07620000000003</v>
      </c>
      <c r="Q91" s="517">
        <f t="shared" ref="Q91" si="144">SUM(Q92:Q93)</f>
        <v>34</v>
      </c>
      <c r="R91" s="517">
        <f t="shared" ref="R91" si="145">SUM(R92:R93)</f>
        <v>4302295.4000000004</v>
      </c>
      <c r="S91" s="517">
        <f t="shared" ref="S91" si="146">SUM(S92:S93)</f>
        <v>4302295.4000000004</v>
      </c>
    </row>
    <row r="92" spans="1:19" x14ac:dyDescent="0.25">
      <c r="A92" s="469"/>
      <c r="C92" s="696" t="s">
        <v>473</v>
      </c>
      <c r="D92" s="471">
        <v>285</v>
      </c>
      <c r="E92" s="471">
        <v>964</v>
      </c>
      <c r="F92" s="474" t="s">
        <v>474</v>
      </c>
      <c r="G92" s="474">
        <v>60.65</v>
      </c>
      <c r="H92" s="474"/>
      <c r="I92" s="474">
        <f t="shared" si="101"/>
        <v>60.65</v>
      </c>
      <c r="J92" s="474">
        <v>4.3600000000000003</v>
      </c>
      <c r="K92" s="743">
        <f t="shared" si="84"/>
        <v>3.0520000000000005</v>
      </c>
      <c r="L92" s="474">
        <v>0.3</v>
      </c>
      <c r="M92" s="474"/>
      <c r="N92" s="474"/>
      <c r="O92" s="474"/>
      <c r="P92" s="400">
        <f t="shared" si="82"/>
        <v>79.330200000000005</v>
      </c>
      <c r="Q92" s="474">
        <v>17</v>
      </c>
      <c r="R92" s="474">
        <f t="shared" si="83"/>
        <v>1348613.4000000001</v>
      </c>
      <c r="S92" s="400">
        <f t="shared" si="85"/>
        <v>1348613.4000000001</v>
      </c>
    </row>
    <row r="93" spans="1:19" x14ac:dyDescent="0.25">
      <c r="A93" s="469"/>
      <c r="B93" s="696"/>
      <c r="C93" s="696"/>
      <c r="D93" s="471">
        <v>139</v>
      </c>
      <c r="E93" s="471"/>
      <c r="F93" s="474" t="s">
        <v>474</v>
      </c>
      <c r="G93" s="474">
        <v>39.85</v>
      </c>
      <c r="H93" s="474">
        <v>39.85</v>
      </c>
      <c r="I93" s="474"/>
      <c r="J93" s="474">
        <v>4.3600000000000003</v>
      </c>
      <c r="K93" s="743">
        <f t="shared" si="84"/>
        <v>0</v>
      </c>
      <c r="L93" s="474">
        <v>1</v>
      </c>
      <c r="M93" s="474"/>
      <c r="N93" s="474"/>
      <c r="O93" s="474"/>
      <c r="P93" s="400">
        <f t="shared" si="82"/>
        <v>173.74600000000001</v>
      </c>
      <c r="Q93" s="474">
        <v>17</v>
      </c>
      <c r="R93" s="474">
        <f t="shared" si="83"/>
        <v>2953682.0000000005</v>
      </c>
      <c r="S93" s="400">
        <f t="shared" si="85"/>
        <v>2953682.0000000005</v>
      </c>
    </row>
    <row r="94" spans="1:19" s="515" customFormat="1" x14ac:dyDescent="0.25">
      <c r="A94" s="747"/>
      <c r="B94" s="696" t="s">
        <v>561</v>
      </c>
      <c r="C94" s="748"/>
      <c r="D94" s="517">
        <f>SUM(D95:D97)</f>
        <v>1243</v>
      </c>
      <c r="E94" s="517">
        <f t="shared" ref="E94" si="147">SUM(E95:E97)</f>
        <v>813</v>
      </c>
      <c r="F94" s="517">
        <f t="shared" ref="F94" si="148">SUM(F95:F97)</f>
        <v>0</v>
      </c>
      <c r="G94" s="517">
        <f t="shared" ref="G94" si="149">SUM(G95:G97)</f>
        <v>616</v>
      </c>
      <c r="H94" s="517">
        <f t="shared" ref="H94" si="150">SUM(H95:H97)</f>
        <v>3</v>
      </c>
      <c r="I94" s="517">
        <f t="shared" ref="I94" si="151">SUM(I95:I97)</f>
        <v>613</v>
      </c>
      <c r="J94" s="517">
        <f t="shared" ref="J94" si="152">SUM(J95:J97)</f>
        <v>13.8</v>
      </c>
      <c r="K94" s="517">
        <f t="shared" ref="K94" si="153">SUM(K95:K97)</f>
        <v>6.45</v>
      </c>
      <c r="L94" s="517">
        <f t="shared" ref="L94" si="154">SUM(L95:L97)</f>
        <v>1.55</v>
      </c>
      <c r="M94" s="517">
        <f t="shared" ref="M94" si="155">SUM(M95:M97)</f>
        <v>0</v>
      </c>
      <c r="N94" s="517">
        <f t="shared" ref="N94" si="156">SUM(N95:N97)</f>
        <v>0</v>
      </c>
      <c r="O94" s="517">
        <f t="shared" ref="O94" si="157">SUM(O95:O97)</f>
        <v>0</v>
      </c>
      <c r="P94" s="517">
        <f t="shared" ref="P94" si="158">SUM(P95:P97)</f>
        <v>812.1</v>
      </c>
      <c r="Q94" s="517">
        <f t="shared" ref="Q94" si="159">SUM(Q95:Q97)</f>
        <v>51</v>
      </c>
      <c r="R94" s="517">
        <f t="shared" ref="R94" si="160">SUM(R95:R97)</f>
        <v>13805700</v>
      </c>
      <c r="S94" s="517">
        <f t="shared" ref="S94" si="161">SUM(S95:S97)</f>
        <v>13805700</v>
      </c>
    </row>
    <row r="95" spans="1:19" x14ac:dyDescent="0.25">
      <c r="A95" s="469"/>
      <c r="C95" s="696" t="s">
        <v>473</v>
      </c>
      <c r="D95" s="471">
        <v>579</v>
      </c>
      <c r="E95" s="471">
        <v>813</v>
      </c>
      <c r="F95" s="474" t="s">
        <v>474</v>
      </c>
      <c r="G95" s="474">
        <v>294</v>
      </c>
      <c r="H95" s="474"/>
      <c r="I95" s="474">
        <f>G95</f>
        <v>294</v>
      </c>
      <c r="J95" s="474">
        <v>4.2</v>
      </c>
      <c r="K95" s="743">
        <f t="shared" si="84"/>
        <v>3.5700000000000003</v>
      </c>
      <c r="L95" s="474">
        <v>0.15</v>
      </c>
      <c r="M95" s="474"/>
      <c r="N95" s="474"/>
      <c r="O95" s="474"/>
      <c r="P95" s="400">
        <f t="shared" si="82"/>
        <v>185.22</v>
      </c>
      <c r="Q95" s="474">
        <v>17</v>
      </c>
      <c r="R95" s="474">
        <f t="shared" si="83"/>
        <v>3148740</v>
      </c>
      <c r="S95" s="400">
        <f t="shared" si="85"/>
        <v>3148740</v>
      </c>
    </row>
    <row r="96" spans="1:19" x14ac:dyDescent="0.25">
      <c r="A96" s="469"/>
      <c r="B96" s="696"/>
      <c r="C96" s="696"/>
      <c r="D96" s="471">
        <v>658</v>
      </c>
      <c r="E96" s="471"/>
      <c r="F96" s="474" t="s">
        <v>707</v>
      </c>
      <c r="G96" s="474">
        <v>319</v>
      </c>
      <c r="H96" s="474"/>
      <c r="I96" s="474">
        <f>G96</f>
        <v>319</v>
      </c>
      <c r="J96" s="474">
        <v>4.8</v>
      </c>
      <c r="K96" s="743">
        <f t="shared" si="84"/>
        <v>2.88</v>
      </c>
      <c r="L96" s="474">
        <v>0.4</v>
      </c>
      <c r="M96" s="474"/>
      <c r="N96" s="474"/>
      <c r="O96" s="474"/>
      <c r="P96" s="400">
        <f t="shared" si="82"/>
        <v>612.48</v>
      </c>
      <c r="Q96" s="474">
        <v>17</v>
      </c>
      <c r="R96" s="474">
        <f t="shared" si="83"/>
        <v>10412160</v>
      </c>
      <c r="S96" s="400">
        <f t="shared" si="85"/>
        <v>10412160</v>
      </c>
    </row>
    <row r="97" spans="1:19" x14ac:dyDescent="0.25">
      <c r="A97" s="469"/>
      <c r="B97" s="696"/>
      <c r="C97" s="696"/>
      <c r="D97" s="471">
        <v>6</v>
      </c>
      <c r="E97" s="471"/>
      <c r="F97" s="474" t="s">
        <v>707</v>
      </c>
      <c r="G97" s="474">
        <v>3</v>
      </c>
      <c r="H97" s="474">
        <v>3</v>
      </c>
      <c r="I97" s="474"/>
      <c r="J97" s="474">
        <v>4.8</v>
      </c>
      <c r="K97" s="743">
        <f t="shared" si="84"/>
        <v>0</v>
      </c>
      <c r="L97" s="474">
        <v>1</v>
      </c>
      <c r="M97" s="474"/>
      <c r="N97" s="474"/>
      <c r="O97" s="474"/>
      <c r="P97" s="400">
        <f t="shared" si="82"/>
        <v>14.399999999999999</v>
      </c>
      <c r="Q97" s="474">
        <v>17</v>
      </c>
      <c r="R97" s="474">
        <f t="shared" si="83"/>
        <v>244799.99999999997</v>
      </c>
      <c r="S97" s="400">
        <f t="shared" si="85"/>
        <v>244799.99999999997</v>
      </c>
    </row>
    <row r="98" spans="1:19" s="515" customFormat="1" x14ac:dyDescent="0.25">
      <c r="A98" s="747"/>
      <c r="B98" t="s">
        <v>138</v>
      </c>
      <c r="C98" s="748"/>
      <c r="D98" s="517">
        <f>SUM(D99:D100)</f>
        <v>1111</v>
      </c>
      <c r="E98" s="517">
        <f t="shared" ref="E98" si="162">SUM(E99:E100)</f>
        <v>600</v>
      </c>
      <c r="F98" s="517">
        <f t="shared" ref="F98" si="163">SUM(F99:F100)</f>
        <v>0</v>
      </c>
      <c r="G98" s="517">
        <f t="shared" ref="G98" si="164">SUM(G99:G100)</f>
        <v>560</v>
      </c>
      <c r="H98" s="517">
        <f t="shared" ref="H98" si="165">SUM(H99:H100)</f>
        <v>0</v>
      </c>
      <c r="I98" s="517">
        <f t="shared" ref="I98" si="166">SUM(I99:I100)</f>
        <v>560</v>
      </c>
      <c r="J98" s="517">
        <f t="shared" ref="J98" si="167">SUM(J99:J100)</f>
        <v>8.7200000000000006</v>
      </c>
      <c r="K98" s="517">
        <f t="shared" ref="K98" si="168">SUM(K99:K100)</f>
        <v>6.5400000000000009</v>
      </c>
      <c r="L98" s="517">
        <f t="shared" ref="L98" si="169">SUM(L99:L100)</f>
        <v>0.5</v>
      </c>
      <c r="M98" s="517">
        <f t="shared" ref="M98" si="170">SUM(M99:M100)</f>
        <v>0</v>
      </c>
      <c r="N98" s="517">
        <f t="shared" ref="N98" si="171">SUM(N99:N100)</f>
        <v>0</v>
      </c>
      <c r="O98" s="517">
        <f t="shared" ref="O98" si="172">SUM(O99:O100)</f>
        <v>0</v>
      </c>
      <c r="P98" s="517">
        <f t="shared" ref="P98" si="173">SUM(P99:P100)</f>
        <v>525.81600000000003</v>
      </c>
      <c r="Q98" s="517">
        <f t="shared" ref="Q98" si="174">SUM(Q99:Q100)</f>
        <v>34</v>
      </c>
      <c r="R98" s="517">
        <f t="shared" ref="R98" si="175">SUM(R99:R100)</f>
        <v>8938872</v>
      </c>
      <c r="S98" s="517">
        <f t="shared" ref="S98" si="176">SUM(S99:S100)</f>
        <v>8938872</v>
      </c>
    </row>
    <row r="99" spans="1:19" x14ac:dyDescent="0.25">
      <c r="A99" s="469"/>
      <c r="C99" s="696" t="s">
        <v>473</v>
      </c>
      <c r="D99" s="471">
        <v>358</v>
      </c>
      <c r="E99" s="471">
        <v>31</v>
      </c>
      <c r="F99" s="474" t="s">
        <v>707</v>
      </c>
      <c r="G99" s="474">
        <v>183</v>
      </c>
      <c r="H99" s="474"/>
      <c r="I99" s="474">
        <f>G99</f>
        <v>183</v>
      </c>
      <c r="J99" s="474">
        <v>4.3600000000000003</v>
      </c>
      <c r="K99" s="743">
        <f t="shared" si="84"/>
        <v>2.8340000000000005</v>
      </c>
      <c r="L99" s="474">
        <v>0.35</v>
      </c>
      <c r="M99" s="474"/>
      <c r="N99" s="474"/>
      <c r="O99" s="474"/>
      <c r="P99" s="400">
        <f t="shared" si="82"/>
        <v>279.25800000000004</v>
      </c>
      <c r="Q99" s="474">
        <v>17</v>
      </c>
      <c r="R99" s="474">
        <f t="shared" si="83"/>
        <v>4747386</v>
      </c>
      <c r="S99" s="400">
        <f t="shared" si="85"/>
        <v>4747386</v>
      </c>
    </row>
    <row r="100" spans="1:19" x14ac:dyDescent="0.25">
      <c r="A100" s="469"/>
      <c r="B100" s="696"/>
      <c r="C100" s="696"/>
      <c r="D100" s="471">
        <v>753</v>
      </c>
      <c r="E100" s="471">
        <v>569</v>
      </c>
      <c r="F100" s="474" t="s">
        <v>708</v>
      </c>
      <c r="G100" s="474">
        <v>377</v>
      </c>
      <c r="H100" s="474"/>
      <c r="I100" s="474">
        <f>G100</f>
        <v>377</v>
      </c>
      <c r="J100" s="474">
        <v>4.3600000000000003</v>
      </c>
      <c r="K100" s="743">
        <f t="shared" si="84"/>
        <v>3.7060000000000004</v>
      </c>
      <c r="L100" s="474">
        <v>0.15</v>
      </c>
      <c r="M100" s="474"/>
      <c r="N100" s="474"/>
      <c r="O100" s="474"/>
      <c r="P100" s="400">
        <f t="shared" si="82"/>
        <v>246.55799999999999</v>
      </c>
      <c r="Q100" s="474">
        <v>17</v>
      </c>
      <c r="R100" s="474">
        <f t="shared" si="83"/>
        <v>4191486</v>
      </c>
      <c r="S100" s="400">
        <f t="shared" si="85"/>
        <v>4191486</v>
      </c>
    </row>
    <row r="101" spans="1:19" s="515" customFormat="1" x14ac:dyDescent="0.25">
      <c r="A101" s="747"/>
      <c r="B101" s="696" t="s">
        <v>709</v>
      </c>
      <c r="C101" s="748"/>
      <c r="D101" s="517">
        <f>SUM(D102:D103)</f>
        <v>39</v>
      </c>
      <c r="E101" s="517">
        <f t="shared" ref="E101" si="177">SUM(E102:E103)</f>
        <v>481</v>
      </c>
      <c r="F101" s="517">
        <f t="shared" ref="F101" si="178">SUM(F102:F103)</f>
        <v>0</v>
      </c>
      <c r="G101" s="517">
        <f t="shared" ref="G101" si="179">SUM(G102:G103)</f>
        <v>19.5</v>
      </c>
      <c r="H101" s="517">
        <f t="shared" ref="H101" si="180">SUM(H102:H103)</f>
        <v>9</v>
      </c>
      <c r="I101" s="517">
        <f t="shared" ref="I101" si="181">SUM(I102:I103)</f>
        <v>10.5</v>
      </c>
      <c r="J101" s="517">
        <f t="shared" ref="J101" si="182">SUM(J102:J103)</f>
        <v>8</v>
      </c>
      <c r="K101" s="517">
        <f t="shared" ref="K101" si="183">SUM(K102:K103)</f>
        <v>2</v>
      </c>
      <c r="L101" s="517">
        <f t="shared" ref="L101" si="184">SUM(L102:L103)</f>
        <v>1.5</v>
      </c>
      <c r="M101" s="517">
        <f t="shared" ref="M101" si="185">SUM(M102:M103)</f>
        <v>0</v>
      </c>
      <c r="N101" s="517">
        <f t="shared" ref="N101" si="186">SUM(N102:N103)</f>
        <v>0</v>
      </c>
      <c r="O101" s="517">
        <f t="shared" ref="O101" si="187">SUM(O102:O103)</f>
        <v>0</v>
      </c>
      <c r="P101" s="517">
        <f t="shared" ref="P101" si="188">SUM(P102:P103)</f>
        <v>57</v>
      </c>
      <c r="Q101" s="517">
        <f t="shared" ref="Q101" si="189">SUM(Q102:Q103)</f>
        <v>34</v>
      </c>
      <c r="R101" s="517">
        <f t="shared" ref="R101" si="190">SUM(R102:R103)</f>
        <v>969000</v>
      </c>
      <c r="S101" s="517">
        <f t="shared" ref="S101" si="191">SUM(S102:S103)</f>
        <v>969000</v>
      </c>
    </row>
    <row r="102" spans="1:19" x14ac:dyDescent="0.25">
      <c r="A102" s="469"/>
      <c r="C102" s="696" t="s">
        <v>473</v>
      </c>
      <c r="D102" s="471">
        <v>17</v>
      </c>
      <c r="E102" s="471">
        <v>279</v>
      </c>
      <c r="F102" s="474" t="s">
        <v>481</v>
      </c>
      <c r="G102" s="474">
        <v>9</v>
      </c>
      <c r="H102" s="474">
        <v>9</v>
      </c>
      <c r="I102" s="474"/>
      <c r="J102" s="474">
        <v>4</v>
      </c>
      <c r="K102" s="743">
        <f t="shared" si="84"/>
        <v>0</v>
      </c>
      <c r="L102" s="474">
        <v>1</v>
      </c>
      <c r="M102" s="474"/>
      <c r="N102" s="474"/>
      <c r="O102" s="474"/>
      <c r="P102" s="400">
        <f t="shared" si="82"/>
        <v>36</v>
      </c>
      <c r="Q102" s="474">
        <v>17</v>
      </c>
      <c r="R102" s="474">
        <f t="shared" si="83"/>
        <v>612000</v>
      </c>
      <c r="S102" s="400">
        <f t="shared" si="85"/>
        <v>612000</v>
      </c>
    </row>
    <row r="103" spans="1:19" x14ac:dyDescent="0.25">
      <c r="A103" s="469"/>
      <c r="B103" s="696"/>
      <c r="C103" s="696"/>
      <c r="D103" s="471">
        <v>22</v>
      </c>
      <c r="E103" s="471">
        <v>202</v>
      </c>
      <c r="F103" s="474" t="s">
        <v>707</v>
      </c>
      <c r="G103" s="474">
        <v>10.5</v>
      </c>
      <c r="H103" s="474"/>
      <c r="I103" s="474">
        <f>G103</f>
        <v>10.5</v>
      </c>
      <c r="J103" s="474">
        <v>4</v>
      </c>
      <c r="K103" s="743">
        <f t="shared" si="84"/>
        <v>2</v>
      </c>
      <c r="L103" s="474">
        <v>0.5</v>
      </c>
      <c r="M103" s="474"/>
      <c r="N103" s="474"/>
      <c r="O103" s="474"/>
      <c r="P103" s="400">
        <f t="shared" si="82"/>
        <v>21</v>
      </c>
      <c r="Q103" s="474">
        <v>17</v>
      </c>
      <c r="R103" s="474">
        <f t="shared" si="83"/>
        <v>357000</v>
      </c>
      <c r="S103" s="400">
        <f t="shared" si="85"/>
        <v>357000</v>
      </c>
    </row>
    <row r="104" spans="1:19" s="515" customFormat="1" x14ac:dyDescent="0.25">
      <c r="A104" s="747"/>
      <c r="B104" s="696" t="s">
        <v>569</v>
      </c>
      <c r="C104" s="748"/>
      <c r="D104" s="517">
        <f>SUM(D105:D107)</f>
        <v>1498</v>
      </c>
      <c r="E104" s="517">
        <f t="shared" ref="E104" si="192">SUM(E105:E107)</f>
        <v>939</v>
      </c>
      <c r="F104" s="517">
        <f t="shared" ref="F104" si="193">SUM(F105:F107)</f>
        <v>0</v>
      </c>
      <c r="G104" s="517">
        <f t="shared" ref="G104" si="194">SUM(G105:G107)</f>
        <v>753.8</v>
      </c>
      <c r="H104" s="517">
        <f t="shared" ref="H104" si="195">SUM(H105:H107)</f>
        <v>0</v>
      </c>
      <c r="I104" s="517">
        <f t="shared" ref="I104" si="196">SUM(I105:I107)</f>
        <v>753.8</v>
      </c>
      <c r="J104" s="517">
        <f t="shared" ref="J104" si="197">SUM(J105:J107)</f>
        <v>12</v>
      </c>
      <c r="K104" s="517">
        <f t="shared" ref="K104" si="198">SUM(K105:K107)</f>
        <v>8</v>
      </c>
      <c r="L104" s="517">
        <f t="shared" ref="L104" si="199">SUM(L105:L107)</f>
        <v>1</v>
      </c>
      <c r="M104" s="517">
        <f t="shared" ref="M104" si="200">SUM(M105:M107)</f>
        <v>0</v>
      </c>
      <c r="N104" s="517">
        <f t="shared" ref="N104" si="201">SUM(N105:N107)</f>
        <v>0</v>
      </c>
      <c r="O104" s="517">
        <f t="shared" ref="O104" si="202">SUM(O105:O107)</f>
        <v>0</v>
      </c>
      <c r="P104" s="517">
        <f t="shared" ref="P104" si="203">SUM(P105:P107)</f>
        <v>1078.08</v>
      </c>
      <c r="Q104" s="517">
        <f t="shared" ref="Q104" si="204">SUM(Q105:Q107)</f>
        <v>51</v>
      </c>
      <c r="R104" s="517">
        <f t="shared" ref="R104" si="205">SUM(R105:R107)</f>
        <v>18327360</v>
      </c>
      <c r="S104" s="517">
        <f t="shared" ref="S104" si="206">SUM(S105:S107)</f>
        <v>18327360</v>
      </c>
    </row>
    <row r="105" spans="1:19" x14ac:dyDescent="0.25">
      <c r="A105" s="469"/>
      <c r="C105" s="696" t="s">
        <v>473</v>
      </c>
      <c r="D105" s="471">
        <v>572</v>
      </c>
      <c r="E105" s="471">
        <v>51</v>
      </c>
      <c r="F105" s="474" t="s">
        <v>487</v>
      </c>
      <c r="G105" s="474">
        <v>289</v>
      </c>
      <c r="H105" s="474"/>
      <c r="I105" s="474">
        <f t="shared" ref="I105:I117" si="207">G105</f>
        <v>289</v>
      </c>
      <c r="J105" s="474">
        <v>4</v>
      </c>
      <c r="K105" s="743">
        <f t="shared" si="84"/>
        <v>2</v>
      </c>
      <c r="L105" s="474">
        <v>0.5</v>
      </c>
      <c r="M105" s="474"/>
      <c r="N105" s="474"/>
      <c r="O105" s="474"/>
      <c r="P105" s="400">
        <f t="shared" si="82"/>
        <v>578</v>
      </c>
      <c r="Q105" s="474">
        <v>17</v>
      </c>
      <c r="R105" s="474">
        <f t="shared" si="83"/>
        <v>9826000</v>
      </c>
      <c r="S105" s="400">
        <f t="shared" si="85"/>
        <v>9826000</v>
      </c>
    </row>
    <row r="106" spans="1:19" x14ac:dyDescent="0.25">
      <c r="A106" s="469"/>
      <c r="B106" s="696"/>
      <c r="C106" s="696"/>
      <c r="D106" s="471">
        <v>551</v>
      </c>
      <c r="E106" s="471"/>
      <c r="F106" s="474" t="s">
        <v>707</v>
      </c>
      <c r="G106" s="474">
        <v>276.5</v>
      </c>
      <c r="H106" s="474"/>
      <c r="I106" s="474">
        <f t="shared" si="207"/>
        <v>276.5</v>
      </c>
      <c r="J106" s="474">
        <v>4</v>
      </c>
      <c r="K106" s="743">
        <f t="shared" si="84"/>
        <v>2.6</v>
      </c>
      <c r="L106" s="474">
        <v>0.35</v>
      </c>
      <c r="M106" s="474"/>
      <c r="N106" s="474"/>
      <c r="O106" s="474"/>
      <c r="P106" s="400">
        <f t="shared" si="82"/>
        <v>387.09999999999997</v>
      </c>
      <c r="Q106" s="474">
        <v>17</v>
      </c>
      <c r="R106" s="474">
        <f t="shared" si="83"/>
        <v>6580700</v>
      </c>
      <c r="S106" s="400">
        <f t="shared" si="85"/>
        <v>6580700</v>
      </c>
    </row>
    <row r="107" spans="1:19" x14ac:dyDescent="0.25">
      <c r="A107" s="469"/>
      <c r="B107" s="696"/>
      <c r="C107" s="696"/>
      <c r="D107" s="471">
        <v>375</v>
      </c>
      <c r="E107" s="471">
        <v>888</v>
      </c>
      <c r="F107" s="474" t="s">
        <v>474</v>
      </c>
      <c r="G107" s="474">
        <v>188.3</v>
      </c>
      <c r="H107" s="474"/>
      <c r="I107" s="474">
        <f t="shared" si="207"/>
        <v>188.3</v>
      </c>
      <c r="J107" s="474">
        <v>4</v>
      </c>
      <c r="K107" s="743">
        <f t="shared" si="84"/>
        <v>3.4</v>
      </c>
      <c r="L107" s="474">
        <v>0.15</v>
      </c>
      <c r="M107" s="474"/>
      <c r="N107" s="474"/>
      <c r="O107" s="474"/>
      <c r="P107" s="400">
        <f t="shared" si="82"/>
        <v>112.98</v>
      </c>
      <c r="Q107" s="474">
        <v>17</v>
      </c>
      <c r="R107" s="474">
        <f t="shared" si="83"/>
        <v>1920660</v>
      </c>
      <c r="S107" s="400">
        <f t="shared" si="85"/>
        <v>1920660</v>
      </c>
    </row>
    <row r="108" spans="1:19" x14ac:dyDescent="0.25">
      <c r="A108" s="469"/>
      <c r="B108" s="696" t="s">
        <v>582</v>
      </c>
      <c r="C108" s="696" t="s">
        <v>473</v>
      </c>
      <c r="D108" s="471">
        <v>748</v>
      </c>
      <c r="E108" s="471">
        <v>1031</v>
      </c>
      <c r="F108" s="474" t="s">
        <v>474</v>
      </c>
      <c r="G108" s="474">
        <v>563</v>
      </c>
      <c r="H108" s="474"/>
      <c r="I108" s="474">
        <f t="shared" si="207"/>
        <v>563</v>
      </c>
      <c r="J108" s="474">
        <v>6</v>
      </c>
      <c r="K108" s="743">
        <f t="shared" si="84"/>
        <v>4.5</v>
      </c>
      <c r="L108" s="474">
        <v>0.25</v>
      </c>
      <c r="M108" s="474"/>
      <c r="N108" s="474"/>
      <c r="O108" s="474"/>
      <c r="P108" s="400">
        <f t="shared" si="82"/>
        <v>844.5</v>
      </c>
      <c r="Q108" s="474">
        <v>17</v>
      </c>
      <c r="R108" s="474">
        <f t="shared" si="83"/>
        <v>14356500</v>
      </c>
      <c r="S108" s="400">
        <f t="shared" si="85"/>
        <v>14356500</v>
      </c>
    </row>
    <row r="109" spans="1:19" s="515" customFormat="1" x14ac:dyDescent="0.25">
      <c r="A109" s="747"/>
      <c r="B109" t="s">
        <v>153</v>
      </c>
      <c r="C109" s="748"/>
      <c r="D109" s="517">
        <f>SUM(D110:D111)</f>
        <v>1109</v>
      </c>
      <c r="E109" s="517">
        <f t="shared" ref="E109" si="208">SUM(E110:E111)</f>
        <v>907</v>
      </c>
      <c r="F109" s="517">
        <f t="shared" ref="F109" si="209">SUM(F110:F111)</f>
        <v>0</v>
      </c>
      <c r="G109" s="517">
        <f t="shared" ref="G109" si="210">SUM(G110:G111)</f>
        <v>550</v>
      </c>
      <c r="H109" s="517">
        <f t="shared" ref="H109" si="211">SUM(H110:H111)</f>
        <v>0</v>
      </c>
      <c r="I109" s="517">
        <f t="shared" ref="I109" si="212">SUM(I110:I111)</f>
        <v>550</v>
      </c>
      <c r="J109" s="517">
        <f t="shared" ref="J109" si="213">SUM(J110:J111)</f>
        <v>7.5</v>
      </c>
      <c r="K109" s="517">
        <f t="shared" ref="K109" si="214">SUM(K110:K111)</f>
        <v>5.45</v>
      </c>
      <c r="L109" s="517">
        <f t="shared" ref="L109" si="215">SUM(L110:L111)</f>
        <v>0.55000000000000004</v>
      </c>
      <c r="M109" s="517">
        <f t="shared" ref="M109" si="216">SUM(M110:M111)</f>
        <v>0</v>
      </c>
      <c r="N109" s="517">
        <f t="shared" ref="N109" si="217">SUM(N110:N111)</f>
        <v>0</v>
      </c>
      <c r="O109" s="517">
        <f t="shared" ref="O109" si="218">SUM(O110:O111)</f>
        <v>0</v>
      </c>
      <c r="P109" s="517">
        <f t="shared" ref="P109" si="219">SUM(P110:P111)</f>
        <v>567.5</v>
      </c>
      <c r="Q109" s="517">
        <f t="shared" ref="Q109" si="220">SUM(Q110:Q111)</f>
        <v>34</v>
      </c>
      <c r="R109" s="517">
        <f t="shared" ref="R109" si="221">SUM(R110:R111)</f>
        <v>9647500</v>
      </c>
      <c r="S109" s="517">
        <f t="shared" ref="S109" si="222">SUM(S110:S111)</f>
        <v>9647500</v>
      </c>
    </row>
    <row r="110" spans="1:19" x14ac:dyDescent="0.25">
      <c r="A110" s="469"/>
      <c r="C110" s="696" t="s">
        <v>473</v>
      </c>
      <c r="D110" s="471">
        <v>697</v>
      </c>
      <c r="E110" s="471">
        <v>410</v>
      </c>
      <c r="F110" s="474" t="s">
        <v>707</v>
      </c>
      <c r="G110" s="474">
        <v>350</v>
      </c>
      <c r="H110" s="474"/>
      <c r="I110" s="474">
        <f t="shared" si="207"/>
        <v>350</v>
      </c>
      <c r="J110" s="474">
        <v>3.5</v>
      </c>
      <c r="K110" s="743">
        <f t="shared" si="84"/>
        <v>2.4500000000000002</v>
      </c>
      <c r="L110" s="474">
        <v>0.3</v>
      </c>
      <c r="M110" s="474"/>
      <c r="N110" s="474"/>
      <c r="O110" s="474"/>
      <c r="P110" s="400">
        <f t="shared" si="82"/>
        <v>367.5</v>
      </c>
      <c r="Q110" s="474">
        <v>17</v>
      </c>
      <c r="R110" s="474">
        <f t="shared" si="83"/>
        <v>6247500</v>
      </c>
      <c r="S110" s="400">
        <f t="shared" si="85"/>
        <v>6247500</v>
      </c>
    </row>
    <row r="111" spans="1:19" x14ac:dyDescent="0.25">
      <c r="A111" s="469"/>
      <c r="B111" s="696"/>
      <c r="C111" s="696"/>
      <c r="D111" s="471">
        <v>412</v>
      </c>
      <c r="E111" s="471">
        <v>497</v>
      </c>
      <c r="F111" s="474" t="s">
        <v>474</v>
      </c>
      <c r="G111" s="474">
        <v>200</v>
      </c>
      <c r="H111" s="474"/>
      <c r="I111" s="474">
        <f t="shared" si="207"/>
        <v>200</v>
      </c>
      <c r="J111" s="474">
        <v>4</v>
      </c>
      <c r="K111" s="743">
        <f t="shared" si="84"/>
        <v>3</v>
      </c>
      <c r="L111" s="474">
        <v>0.25</v>
      </c>
      <c r="M111" s="474"/>
      <c r="N111" s="474"/>
      <c r="O111" s="474"/>
      <c r="P111" s="400">
        <f t="shared" si="82"/>
        <v>200</v>
      </c>
      <c r="Q111" s="474">
        <v>17</v>
      </c>
      <c r="R111" s="474">
        <f t="shared" si="83"/>
        <v>3400000</v>
      </c>
      <c r="S111" s="400">
        <f t="shared" si="85"/>
        <v>3400000</v>
      </c>
    </row>
    <row r="112" spans="1:19" s="515" customFormat="1" x14ac:dyDescent="0.25">
      <c r="A112" s="747"/>
      <c r="B112" s="696" t="s">
        <v>710</v>
      </c>
      <c r="C112" s="748"/>
      <c r="D112" s="517">
        <f>SUM(D113:D114)</f>
        <v>388</v>
      </c>
      <c r="E112" s="517">
        <f t="shared" ref="E112" si="223">SUM(E113:E114)</f>
        <v>1092</v>
      </c>
      <c r="F112" s="517">
        <f t="shared" ref="F112" si="224">SUM(F113:F114)</f>
        <v>0</v>
      </c>
      <c r="G112" s="517">
        <f t="shared" ref="G112" si="225">SUM(G113:G114)</f>
        <v>291</v>
      </c>
      <c r="H112" s="517">
        <f t="shared" ref="H112" si="226">SUM(H113:H114)</f>
        <v>0</v>
      </c>
      <c r="I112" s="517">
        <f t="shared" ref="I112" si="227">SUM(I113:I114)</f>
        <v>291</v>
      </c>
      <c r="J112" s="517">
        <f t="shared" ref="J112" si="228">SUM(J113:J114)</f>
        <v>9.5</v>
      </c>
      <c r="K112" s="517">
        <f t="shared" ref="K112" si="229">SUM(K113:K114)</f>
        <v>4.75</v>
      </c>
      <c r="L112" s="517">
        <f t="shared" ref="L112" si="230">SUM(L113:L114)</f>
        <v>1</v>
      </c>
      <c r="M112" s="517">
        <f t="shared" ref="M112" si="231">SUM(M113:M114)</f>
        <v>0</v>
      </c>
      <c r="N112" s="517">
        <f t="shared" ref="N112" si="232">SUM(N113:N114)</f>
        <v>25000</v>
      </c>
      <c r="O112" s="517">
        <f t="shared" ref="O112" si="233">SUM(O113:O114)</f>
        <v>1250000</v>
      </c>
      <c r="P112" s="517">
        <f t="shared" ref="P112" si="234">SUM(P113:P114)</f>
        <v>429.75</v>
      </c>
      <c r="Q112" s="517">
        <f t="shared" ref="Q112" si="235">SUM(Q113:Q114)</f>
        <v>17</v>
      </c>
      <c r="R112" s="517">
        <f t="shared" ref="R112" si="236">SUM(R113:R114)</f>
        <v>7305750</v>
      </c>
      <c r="S112" s="517">
        <f t="shared" ref="S112" si="237">SUM(S113:S114)</f>
        <v>8555750</v>
      </c>
    </row>
    <row r="113" spans="1:19" x14ac:dyDescent="0.25">
      <c r="A113" s="469"/>
      <c r="C113" s="696" t="s">
        <v>473</v>
      </c>
      <c r="D113" s="471">
        <v>255</v>
      </c>
      <c r="E113" s="471">
        <v>927</v>
      </c>
      <c r="F113" s="474" t="s">
        <v>474</v>
      </c>
      <c r="G113" s="474">
        <v>191</v>
      </c>
      <c r="H113" s="474"/>
      <c r="I113" s="474">
        <f t="shared" si="207"/>
        <v>191</v>
      </c>
      <c r="J113" s="474">
        <v>4.5</v>
      </c>
      <c r="K113" s="743">
        <f t="shared" si="84"/>
        <v>2.25</v>
      </c>
      <c r="L113" s="474">
        <v>0.5</v>
      </c>
      <c r="M113" s="474"/>
      <c r="N113" s="474"/>
      <c r="O113" s="474"/>
      <c r="P113" s="400">
        <f t="shared" si="82"/>
        <v>429.75</v>
      </c>
      <c r="Q113" s="474">
        <v>17</v>
      </c>
      <c r="R113" s="474">
        <f>P113*Q113*1000</f>
        <v>7305750</v>
      </c>
      <c r="S113" s="400">
        <f>R113</f>
        <v>7305750</v>
      </c>
    </row>
    <row r="114" spans="1:19" x14ac:dyDescent="0.25">
      <c r="A114" s="469"/>
      <c r="B114" s="696"/>
      <c r="C114" s="696"/>
      <c r="D114" s="471">
        <v>133</v>
      </c>
      <c r="E114" s="471">
        <v>165</v>
      </c>
      <c r="F114" s="474" t="s">
        <v>539</v>
      </c>
      <c r="G114" s="474">
        <v>100</v>
      </c>
      <c r="H114" s="474"/>
      <c r="I114" s="474">
        <f t="shared" si="207"/>
        <v>100</v>
      </c>
      <c r="J114" s="474">
        <v>5</v>
      </c>
      <c r="K114" s="743">
        <f t="shared" si="84"/>
        <v>2.5</v>
      </c>
      <c r="L114" s="474">
        <v>0.5</v>
      </c>
      <c r="M114" s="474"/>
      <c r="N114" s="474">
        <v>25000</v>
      </c>
      <c r="O114" s="474">
        <v>1250000</v>
      </c>
      <c r="P114" s="474"/>
      <c r="Q114" s="474"/>
      <c r="R114" s="474"/>
      <c r="S114" s="474">
        <v>1250000</v>
      </c>
    </row>
    <row r="115" spans="1:19" x14ac:dyDescent="0.25">
      <c r="A115" s="469"/>
      <c r="B115" t="s">
        <v>156</v>
      </c>
      <c r="C115" s="696" t="s">
        <v>473</v>
      </c>
      <c r="D115" s="471">
        <v>1654</v>
      </c>
      <c r="E115" s="471">
        <v>979</v>
      </c>
      <c r="F115" s="474" t="s">
        <v>474</v>
      </c>
      <c r="G115" s="474">
        <v>850</v>
      </c>
      <c r="H115" s="474"/>
      <c r="I115" s="474">
        <f t="shared" si="207"/>
        <v>850</v>
      </c>
      <c r="J115" s="474">
        <v>4.3600000000000003</v>
      </c>
      <c r="K115" s="743">
        <f t="shared" si="84"/>
        <v>4.1420000000000003</v>
      </c>
      <c r="L115" s="474">
        <v>0.05</v>
      </c>
      <c r="M115" s="474"/>
      <c r="N115" s="474"/>
      <c r="O115" s="474"/>
      <c r="P115" s="400">
        <f t="shared" si="82"/>
        <v>185.30000000000004</v>
      </c>
      <c r="Q115" s="474">
        <v>17</v>
      </c>
      <c r="R115" s="474">
        <f t="shared" si="83"/>
        <v>3150100.0000000009</v>
      </c>
      <c r="S115" s="400">
        <f t="shared" si="85"/>
        <v>3150100.0000000009</v>
      </c>
    </row>
    <row r="116" spans="1:19" x14ac:dyDescent="0.25">
      <c r="A116" s="469"/>
      <c r="B116" s="696" t="s">
        <v>559</v>
      </c>
      <c r="C116" s="696" t="s">
        <v>473</v>
      </c>
      <c r="D116" s="471">
        <v>338</v>
      </c>
      <c r="E116" s="471">
        <v>288</v>
      </c>
      <c r="F116" s="474" t="s">
        <v>474</v>
      </c>
      <c r="G116" s="474">
        <v>171</v>
      </c>
      <c r="H116" s="474"/>
      <c r="I116" s="474">
        <f t="shared" si="207"/>
        <v>171</v>
      </c>
      <c r="J116" s="474">
        <v>4.3600000000000003</v>
      </c>
      <c r="K116" s="743">
        <f t="shared" si="84"/>
        <v>3.0520000000000005</v>
      </c>
      <c r="L116" s="474">
        <v>0.3</v>
      </c>
      <c r="M116" s="474"/>
      <c r="N116" s="474"/>
      <c r="O116" s="474"/>
      <c r="P116" s="400">
        <f t="shared" si="82"/>
        <v>223.66800000000001</v>
      </c>
      <c r="Q116" s="474">
        <v>17</v>
      </c>
      <c r="R116" s="474">
        <f t="shared" si="83"/>
        <v>3802356</v>
      </c>
      <c r="S116" s="400">
        <f t="shared" si="85"/>
        <v>3802356</v>
      </c>
    </row>
    <row r="117" spans="1:19" x14ac:dyDescent="0.25">
      <c r="A117" s="469"/>
      <c r="B117" t="s">
        <v>168</v>
      </c>
      <c r="C117" s="696" t="s">
        <v>473</v>
      </c>
      <c r="D117" s="471">
        <v>385</v>
      </c>
      <c r="E117" s="471">
        <v>265</v>
      </c>
      <c r="F117" s="474" t="s">
        <v>474</v>
      </c>
      <c r="G117" s="474">
        <v>194</v>
      </c>
      <c r="H117" s="474"/>
      <c r="I117" s="474">
        <f t="shared" si="207"/>
        <v>194</v>
      </c>
      <c r="J117" s="474">
        <v>4.3600000000000003</v>
      </c>
      <c r="K117" s="743">
        <f t="shared" si="84"/>
        <v>1.3080000000000003</v>
      </c>
      <c r="L117" s="474">
        <v>0.7</v>
      </c>
      <c r="M117" s="474"/>
      <c r="N117" s="474"/>
      <c r="O117" s="474"/>
      <c r="P117" s="400">
        <f t="shared" si="82"/>
        <v>592.08799999999997</v>
      </c>
      <c r="Q117" s="474">
        <v>17</v>
      </c>
      <c r="R117" s="474">
        <f t="shared" si="83"/>
        <v>10065496</v>
      </c>
      <c r="S117" s="400">
        <f t="shared" si="85"/>
        <v>10065496</v>
      </c>
    </row>
    <row r="118" spans="1:19" s="515" customFormat="1" x14ac:dyDescent="0.25">
      <c r="A118" s="747"/>
      <c r="B118" s="696" t="s">
        <v>711</v>
      </c>
      <c r="C118" s="748"/>
      <c r="D118" s="517">
        <f>SUM(D119:D122)</f>
        <v>998</v>
      </c>
      <c r="E118" s="517">
        <f t="shared" ref="E118:S118" si="238">SUM(E119:E122)</f>
        <v>2251</v>
      </c>
      <c r="F118" s="517">
        <f t="shared" si="238"/>
        <v>0</v>
      </c>
      <c r="G118" s="517">
        <f t="shared" si="238"/>
        <v>750.6</v>
      </c>
      <c r="H118" s="517">
        <f t="shared" si="238"/>
        <v>20.100000000000001</v>
      </c>
      <c r="I118" s="517">
        <f t="shared" si="238"/>
        <v>730.5</v>
      </c>
      <c r="J118" s="517">
        <f t="shared" si="238"/>
        <v>16</v>
      </c>
      <c r="K118" s="517">
        <f t="shared" si="238"/>
        <v>9.6000000000000014</v>
      </c>
      <c r="L118" s="517">
        <f t="shared" si="238"/>
        <v>1.5999999999999999</v>
      </c>
      <c r="M118" s="517">
        <f t="shared" si="238"/>
        <v>0</v>
      </c>
      <c r="N118" s="517">
        <f t="shared" si="238"/>
        <v>0</v>
      </c>
      <c r="O118" s="517">
        <f t="shared" si="238"/>
        <v>0</v>
      </c>
      <c r="P118" s="517">
        <f t="shared" si="238"/>
        <v>664.8</v>
      </c>
      <c r="Q118" s="517">
        <f t="shared" si="238"/>
        <v>68</v>
      </c>
      <c r="R118" s="517">
        <f t="shared" si="238"/>
        <v>11301600</v>
      </c>
      <c r="S118" s="517">
        <f t="shared" si="238"/>
        <v>11301600</v>
      </c>
    </row>
    <row r="119" spans="1:19" x14ac:dyDescent="0.25">
      <c r="A119" s="469"/>
      <c r="C119" s="696" t="s">
        <v>473</v>
      </c>
      <c r="D119" s="471">
        <v>26</v>
      </c>
      <c r="E119" s="471"/>
      <c r="F119" s="474" t="s">
        <v>497</v>
      </c>
      <c r="G119" s="474">
        <v>20.100000000000001</v>
      </c>
      <c r="H119" s="474">
        <v>20.100000000000001</v>
      </c>
      <c r="I119" s="474"/>
      <c r="J119" s="474">
        <v>4</v>
      </c>
      <c r="K119" s="743">
        <f t="shared" si="84"/>
        <v>0</v>
      </c>
      <c r="L119" s="474">
        <v>1</v>
      </c>
      <c r="M119" s="474"/>
      <c r="N119" s="474"/>
      <c r="O119" s="474"/>
      <c r="P119" s="400">
        <f t="shared" si="82"/>
        <v>80.400000000000006</v>
      </c>
      <c r="Q119" s="474">
        <v>17</v>
      </c>
      <c r="R119" s="474">
        <f t="shared" si="83"/>
        <v>1366800.0000000002</v>
      </c>
      <c r="S119" s="400">
        <f t="shared" si="85"/>
        <v>1366800.0000000002</v>
      </c>
    </row>
    <row r="120" spans="1:19" x14ac:dyDescent="0.25">
      <c r="A120" s="469"/>
      <c r="B120" s="696"/>
      <c r="C120" s="696"/>
      <c r="D120" s="471">
        <v>122</v>
      </c>
      <c r="E120" s="471"/>
      <c r="F120" s="474" t="s">
        <v>497</v>
      </c>
      <c r="G120" s="474">
        <v>92.5</v>
      </c>
      <c r="H120" s="474"/>
      <c r="I120" s="474">
        <f>G120</f>
        <v>92.5</v>
      </c>
      <c r="J120" s="474">
        <v>4</v>
      </c>
      <c r="K120" s="743">
        <f t="shared" si="84"/>
        <v>3.2</v>
      </c>
      <c r="L120" s="474">
        <v>0.2</v>
      </c>
      <c r="M120" s="474"/>
      <c r="N120" s="474"/>
      <c r="O120" s="474"/>
      <c r="P120" s="400">
        <f t="shared" si="82"/>
        <v>74</v>
      </c>
      <c r="Q120" s="474">
        <v>17</v>
      </c>
      <c r="R120" s="474">
        <f t="shared" si="83"/>
        <v>1258000</v>
      </c>
      <c r="S120" s="400">
        <f t="shared" si="85"/>
        <v>1258000</v>
      </c>
    </row>
    <row r="121" spans="1:19" x14ac:dyDescent="0.25">
      <c r="A121" s="469"/>
      <c r="B121" s="696"/>
      <c r="C121" s="696"/>
      <c r="D121" s="471">
        <v>411</v>
      </c>
      <c r="E121" s="471"/>
      <c r="F121" s="474" t="s">
        <v>474</v>
      </c>
      <c r="G121" s="474">
        <v>308</v>
      </c>
      <c r="H121" s="474"/>
      <c r="I121" s="474">
        <f t="shared" ref="I121:I132" si="239">G121</f>
        <v>308</v>
      </c>
      <c r="J121" s="474">
        <v>4</v>
      </c>
      <c r="K121" s="743">
        <f t="shared" si="84"/>
        <v>3.2</v>
      </c>
      <c r="L121" s="474">
        <v>0.2</v>
      </c>
      <c r="M121" s="474"/>
      <c r="N121" s="474"/>
      <c r="O121" s="474"/>
      <c r="P121" s="400">
        <f t="shared" si="82"/>
        <v>246.4</v>
      </c>
      <c r="Q121" s="474">
        <v>17</v>
      </c>
      <c r="R121" s="474">
        <f t="shared" si="83"/>
        <v>4188800</v>
      </c>
      <c r="S121" s="400">
        <f t="shared" si="85"/>
        <v>4188800</v>
      </c>
    </row>
    <row r="122" spans="1:19" x14ac:dyDescent="0.25">
      <c r="A122" s="469"/>
      <c r="B122" s="696"/>
      <c r="C122" s="696"/>
      <c r="D122" s="471">
        <v>439</v>
      </c>
      <c r="E122" s="471">
        <v>2251</v>
      </c>
      <c r="F122" s="474" t="s">
        <v>481</v>
      </c>
      <c r="G122" s="474">
        <v>330</v>
      </c>
      <c r="H122" s="474"/>
      <c r="I122" s="474">
        <f t="shared" si="239"/>
        <v>330</v>
      </c>
      <c r="J122" s="474">
        <v>4</v>
      </c>
      <c r="K122" s="743">
        <f t="shared" si="84"/>
        <v>3.2</v>
      </c>
      <c r="L122" s="474">
        <v>0.2</v>
      </c>
      <c r="M122" s="474"/>
      <c r="N122" s="474"/>
      <c r="O122" s="474"/>
      <c r="P122" s="400">
        <f t="shared" si="82"/>
        <v>264</v>
      </c>
      <c r="Q122" s="474">
        <v>17</v>
      </c>
      <c r="R122" s="474">
        <f t="shared" si="83"/>
        <v>4488000</v>
      </c>
      <c r="S122" s="400">
        <f t="shared" si="85"/>
        <v>4488000</v>
      </c>
    </row>
    <row r="123" spans="1:19" s="515" customFormat="1" x14ac:dyDescent="0.25">
      <c r="A123" s="747"/>
      <c r="B123" s="696" t="s">
        <v>560</v>
      </c>
      <c r="C123" s="748"/>
      <c r="D123" s="517">
        <f>SUM(D124:D125)</f>
        <v>2174</v>
      </c>
      <c r="E123" s="517">
        <f t="shared" ref="E123" si="240">SUM(E124:E125)</f>
        <v>1220</v>
      </c>
      <c r="F123" s="517">
        <f t="shared" ref="F123" si="241">SUM(F124:F125)</f>
        <v>0</v>
      </c>
      <c r="G123" s="517">
        <f t="shared" ref="G123" si="242">SUM(G124:G125)</f>
        <v>1088</v>
      </c>
      <c r="H123" s="517">
        <f t="shared" ref="H123" si="243">SUM(H124:H125)</f>
        <v>0</v>
      </c>
      <c r="I123" s="517">
        <f t="shared" ref="I123" si="244">SUM(I124:I125)</f>
        <v>1088</v>
      </c>
      <c r="J123" s="517">
        <f t="shared" ref="J123" si="245">SUM(J124:J125)</f>
        <v>9.36</v>
      </c>
      <c r="K123" s="517">
        <f t="shared" ref="K123" si="246">SUM(K124:K125)</f>
        <v>5.9880000000000004</v>
      </c>
      <c r="L123" s="517">
        <f t="shared" ref="L123" si="247">SUM(L124:L125)</f>
        <v>0.7</v>
      </c>
      <c r="M123" s="517">
        <f t="shared" ref="M123" si="248">SUM(M124:M125)</f>
        <v>0</v>
      </c>
      <c r="N123" s="517">
        <f t="shared" ref="N123" si="249">SUM(N124:N125)</f>
        <v>0</v>
      </c>
      <c r="O123" s="517">
        <f t="shared" ref="O123" si="250">SUM(O124:O125)</f>
        <v>0</v>
      </c>
      <c r="P123" s="517">
        <f t="shared" ref="P123" si="251">SUM(P124:P125)</f>
        <v>1599.9360000000001</v>
      </c>
      <c r="Q123" s="517">
        <f t="shared" ref="Q123" si="252">SUM(Q124:Q125)</f>
        <v>34</v>
      </c>
      <c r="R123" s="517">
        <f t="shared" ref="R123" si="253">SUM(R124:R125)</f>
        <v>27198912</v>
      </c>
      <c r="S123" s="517">
        <f t="shared" ref="S123" si="254">SUM(S124:S125)</f>
        <v>27198912</v>
      </c>
    </row>
    <row r="124" spans="1:19" x14ac:dyDescent="0.25">
      <c r="A124" s="469"/>
      <c r="C124" s="696"/>
      <c r="D124" s="471">
        <v>798</v>
      </c>
      <c r="E124" s="471"/>
      <c r="F124" s="474" t="s">
        <v>707</v>
      </c>
      <c r="G124" s="474">
        <v>400</v>
      </c>
      <c r="H124" s="474"/>
      <c r="I124" s="474">
        <f t="shared" si="239"/>
        <v>400</v>
      </c>
      <c r="J124" s="474">
        <v>5</v>
      </c>
      <c r="K124" s="743">
        <f t="shared" si="84"/>
        <v>2.5</v>
      </c>
      <c r="L124" s="474">
        <v>0.5</v>
      </c>
      <c r="M124" s="474"/>
      <c r="N124" s="474"/>
      <c r="O124" s="474"/>
      <c r="P124" s="400">
        <f t="shared" si="82"/>
        <v>1000</v>
      </c>
      <c r="Q124" s="474">
        <v>17</v>
      </c>
      <c r="R124" s="474">
        <f t="shared" si="83"/>
        <v>17000000</v>
      </c>
      <c r="S124" s="400">
        <f t="shared" si="85"/>
        <v>17000000</v>
      </c>
    </row>
    <row r="125" spans="1:19" x14ac:dyDescent="0.25">
      <c r="A125" s="469"/>
      <c r="B125" s="696"/>
      <c r="C125" s="696" t="s">
        <v>473</v>
      </c>
      <c r="D125" s="471">
        <v>1376</v>
      </c>
      <c r="E125" s="471">
        <v>1220</v>
      </c>
      <c r="F125" s="474" t="s">
        <v>474</v>
      </c>
      <c r="G125" s="474">
        <v>688</v>
      </c>
      <c r="H125" s="474"/>
      <c r="I125" s="474">
        <f t="shared" si="239"/>
        <v>688</v>
      </c>
      <c r="J125" s="474">
        <v>4.3600000000000003</v>
      </c>
      <c r="K125" s="743">
        <f t="shared" si="84"/>
        <v>3.4880000000000004</v>
      </c>
      <c r="L125" s="474">
        <v>0.2</v>
      </c>
      <c r="M125" s="474"/>
      <c r="N125" s="474"/>
      <c r="O125" s="474"/>
      <c r="P125" s="400">
        <f t="shared" si="82"/>
        <v>599.93600000000004</v>
      </c>
      <c r="Q125" s="474">
        <v>17</v>
      </c>
      <c r="R125" s="474">
        <f t="shared" si="83"/>
        <v>10198912</v>
      </c>
      <c r="S125" s="400">
        <f t="shared" si="85"/>
        <v>10198912</v>
      </c>
    </row>
    <row r="126" spans="1:19" s="515" customFormat="1" x14ac:dyDescent="0.25">
      <c r="A126" s="747"/>
      <c r="B126" s="696" t="s">
        <v>574</v>
      </c>
      <c r="C126" s="748"/>
      <c r="D126" s="517">
        <f>SUM(D127:D129)</f>
        <v>700</v>
      </c>
      <c r="E126" s="517">
        <f t="shared" ref="E126" si="255">SUM(E127:E129)</f>
        <v>845</v>
      </c>
      <c r="F126" s="517">
        <f t="shared" ref="F126" si="256">SUM(F127:F129)</f>
        <v>0</v>
      </c>
      <c r="G126" s="517">
        <f t="shared" ref="G126" si="257">SUM(G127:G129)</f>
        <v>353</v>
      </c>
      <c r="H126" s="517">
        <f t="shared" ref="H126" si="258">SUM(H127:H129)</f>
        <v>0</v>
      </c>
      <c r="I126" s="517">
        <f t="shared" ref="I126" si="259">SUM(I127:I129)</f>
        <v>353</v>
      </c>
      <c r="J126" s="517">
        <f t="shared" ref="J126" si="260">SUM(J127:J129)</f>
        <v>13.080000000000002</v>
      </c>
      <c r="K126" s="517">
        <f t="shared" ref="K126" si="261">SUM(K127:K129)</f>
        <v>9.5920000000000023</v>
      </c>
      <c r="L126" s="517">
        <f t="shared" ref="L126" si="262">SUM(L127:L129)</f>
        <v>0.79999999999999993</v>
      </c>
      <c r="M126" s="517">
        <f t="shared" ref="M126" si="263">SUM(M127:M129)</f>
        <v>5.23</v>
      </c>
      <c r="N126" s="517">
        <f t="shared" ref="N126" si="264">SUM(N127:N129)</f>
        <v>25000</v>
      </c>
      <c r="O126" s="517">
        <f t="shared" ref="O126" si="265">SUM(O127:O129)</f>
        <v>30000</v>
      </c>
      <c r="P126" s="517">
        <f t="shared" ref="P126" si="266">SUM(P127:P129)</f>
        <v>561.56799999999998</v>
      </c>
      <c r="Q126" s="517">
        <f t="shared" ref="Q126" si="267">SUM(Q127:Q129)</f>
        <v>34</v>
      </c>
      <c r="R126" s="517">
        <f t="shared" ref="R126" si="268">SUM(R127:R129)</f>
        <v>9546656</v>
      </c>
      <c r="S126" s="517">
        <f t="shared" ref="S126" si="269">SUM(S127:S129)</f>
        <v>9576656</v>
      </c>
    </row>
    <row r="127" spans="1:19" x14ac:dyDescent="0.25">
      <c r="A127" s="469"/>
      <c r="C127" s="696"/>
      <c r="D127" s="471">
        <v>275</v>
      </c>
      <c r="E127" s="471">
        <v>691</v>
      </c>
      <c r="F127" s="474" t="s">
        <v>501</v>
      </c>
      <c r="G127" s="474">
        <v>139</v>
      </c>
      <c r="H127" s="474"/>
      <c r="I127" s="474">
        <f t="shared" si="239"/>
        <v>139</v>
      </c>
      <c r="J127" s="474">
        <v>4.3600000000000003</v>
      </c>
      <c r="K127" s="743">
        <f t="shared" si="84"/>
        <v>3.4880000000000004</v>
      </c>
      <c r="L127" s="474">
        <v>0.2</v>
      </c>
      <c r="M127" s="474"/>
      <c r="N127" s="474"/>
      <c r="O127" s="474"/>
      <c r="P127" s="400">
        <f t="shared" si="82"/>
        <v>121.20800000000003</v>
      </c>
      <c r="Q127" s="474">
        <v>17</v>
      </c>
      <c r="R127" s="474">
        <f t="shared" si="83"/>
        <v>2060536.0000000005</v>
      </c>
      <c r="S127" s="400">
        <f t="shared" si="85"/>
        <v>2060536.0000000005</v>
      </c>
    </row>
    <row r="128" spans="1:19" x14ac:dyDescent="0.25">
      <c r="A128" s="469"/>
      <c r="B128" s="696"/>
      <c r="C128" s="696" t="s">
        <v>473</v>
      </c>
      <c r="D128" s="471">
        <v>402</v>
      </c>
      <c r="E128" s="471">
        <v>154</v>
      </c>
      <c r="F128" s="474" t="s">
        <v>707</v>
      </c>
      <c r="G128" s="474">
        <v>202</v>
      </c>
      <c r="H128" s="474"/>
      <c r="I128" s="474">
        <f t="shared" si="239"/>
        <v>202</v>
      </c>
      <c r="J128" s="474">
        <v>4.3600000000000003</v>
      </c>
      <c r="K128" s="743">
        <f t="shared" si="84"/>
        <v>2.1800000000000002</v>
      </c>
      <c r="L128" s="474">
        <v>0.5</v>
      </c>
      <c r="M128" s="474"/>
      <c r="N128" s="474"/>
      <c r="O128" s="474"/>
      <c r="P128" s="400">
        <f t="shared" si="82"/>
        <v>440.36</v>
      </c>
      <c r="Q128" s="474">
        <v>17</v>
      </c>
      <c r="R128" s="474">
        <f t="shared" si="83"/>
        <v>7486120</v>
      </c>
      <c r="S128" s="400">
        <f>R128</f>
        <v>7486120</v>
      </c>
    </row>
    <row r="129" spans="1:19" x14ac:dyDescent="0.25">
      <c r="A129" s="469"/>
      <c r="B129" s="696"/>
      <c r="C129" s="696"/>
      <c r="D129" s="471">
        <v>23</v>
      </c>
      <c r="E129" s="471"/>
      <c r="F129" s="474" t="s">
        <v>539</v>
      </c>
      <c r="G129" s="474">
        <v>12</v>
      </c>
      <c r="H129" s="474"/>
      <c r="I129" s="474">
        <f t="shared" si="239"/>
        <v>12</v>
      </c>
      <c r="J129" s="474">
        <v>4.3600000000000003</v>
      </c>
      <c r="K129" s="743">
        <f t="shared" si="84"/>
        <v>3.9240000000000004</v>
      </c>
      <c r="L129" s="474">
        <v>0.1</v>
      </c>
      <c r="M129" s="474">
        <v>5.23</v>
      </c>
      <c r="N129" s="474">
        <v>25000</v>
      </c>
      <c r="O129" s="474">
        <v>30000</v>
      </c>
      <c r="P129" s="474"/>
      <c r="Q129" s="474"/>
      <c r="R129" s="474"/>
      <c r="S129" s="474">
        <v>30000</v>
      </c>
    </row>
    <row r="130" spans="1:19" s="515" customFormat="1" x14ac:dyDescent="0.25">
      <c r="A130" s="747"/>
      <c r="B130" s="696" t="s">
        <v>579</v>
      </c>
      <c r="C130" s="748"/>
      <c r="D130" s="517">
        <f>SUM(D131:D133)</f>
        <v>1123</v>
      </c>
      <c r="E130" s="517">
        <f t="shared" ref="E130" si="270">SUM(E131:E133)</f>
        <v>759</v>
      </c>
      <c r="F130" s="517">
        <f t="shared" ref="F130" si="271">SUM(F131:F133)</f>
        <v>0</v>
      </c>
      <c r="G130" s="517">
        <f t="shared" ref="G130" si="272">SUM(G131:G133)</f>
        <v>724.3</v>
      </c>
      <c r="H130" s="517">
        <f t="shared" ref="H130" si="273">SUM(H131:H133)</f>
        <v>31</v>
      </c>
      <c r="I130" s="517">
        <f t="shared" ref="I130" si="274">SUM(I131:I133)</f>
        <v>693.3</v>
      </c>
      <c r="J130" s="517">
        <f t="shared" ref="J130" si="275">SUM(J131:J133)</f>
        <v>13.72</v>
      </c>
      <c r="K130" s="517">
        <f t="shared" ref="K130" si="276">SUM(K131:K133)</f>
        <v>6.322000000000001</v>
      </c>
      <c r="L130" s="517">
        <f t="shared" ref="L130" si="277">SUM(L131:L133)</f>
        <v>1.55</v>
      </c>
      <c r="M130" s="517">
        <f t="shared" ref="M130" si="278">SUM(M131:M133)</f>
        <v>0</v>
      </c>
      <c r="N130" s="517">
        <f t="shared" ref="N130" si="279">SUM(N131:N133)</f>
        <v>0</v>
      </c>
      <c r="O130" s="517">
        <f t="shared" ref="O130" si="280">SUM(O131:O133)</f>
        <v>0</v>
      </c>
      <c r="P130" s="517">
        <f t="shared" ref="P130" si="281">SUM(P131:P133)</f>
        <v>1038.6848</v>
      </c>
      <c r="Q130" s="517">
        <f t="shared" ref="Q130" si="282">SUM(Q131:Q133)</f>
        <v>51</v>
      </c>
      <c r="R130" s="517">
        <f t="shared" ref="R130" si="283">SUM(R131:R133)</f>
        <v>17657641.600000001</v>
      </c>
      <c r="S130" s="517">
        <f t="shared" ref="S130" si="284">SUM(S131:S133)</f>
        <v>17657641.600000001</v>
      </c>
    </row>
    <row r="131" spans="1:19" x14ac:dyDescent="0.25">
      <c r="A131" s="469"/>
      <c r="C131" s="696" t="s">
        <v>473</v>
      </c>
      <c r="D131" s="471">
        <v>1123</v>
      </c>
      <c r="E131" s="471">
        <v>97</v>
      </c>
      <c r="F131" s="474" t="s">
        <v>707</v>
      </c>
      <c r="G131" s="474">
        <v>426.8</v>
      </c>
      <c r="H131" s="474"/>
      <c r="I131" s="474">
        <f t="shared" si="239"/>
        <v>426.8</v>
      </c>
      <c r="J131" s="474">
        <v>4.3600000000000003</v>
      </c>
      <c r="K131" s="743">
        <f t="shared" si="84"/>
        <v>2.8340000000000005</v>
      </c>
      <c r="L131" s="474">
        <v>0.35</v>
      </c>
      <c r="M131" s="474"/>
      <c r="N131" s="474"/>
      <c r="O131" s="474"/>
      <c r="P131" s="400">
        <f t="shared" si="82"/>
        <v>651.29680000000008</v>
      </c>
      <c r="Q131" s="474">
        <v>17</v>
      </c>
      <c r="R131" s="474">
        <f t="shared" si="83"/>
        <v>11072045.600000001</v>
      </c>
      <c r="S131" s="400">
        <f t="shared" si="85"/>
        <v>11072045.600000001</v>
      </c>
    </row>
    <row r="132" spans="1:19" x14ac:dyDescent="0.25">
      <c r="A132" s="469"/>
      <c r="B132" s="696"/>
      <c r="C132" s="696"/>
      <c r="D132" s="471"/>
      <c r="E132" s="471">
        <v>662</v>
      </c>
      <c r="F132" s="474" t="s">
        <v>474</v>
      </c>
      <c r="G132" s="474">
        <v>266.5</v>
      </c>
      <c r="H132" s="474"/>
      <c r="I132" s="474">
        <f t="shared" si="239"/>
        <v>266.5</v>
      </c>
      <c r="J132" s="474">
        <v>4.3600000000000003</v>
      </c>
      <c r="K132" s="743">
        <f t="shared" si="84"/>
        <v>3.4880000000000004</v>
      </c>
      <c r="L132" s="474">
        <v>0.2</v>
      </c>
      <c r="M132" s="474"/>
      <c r="N132" s="474"/>
      <c r="O132" s="474"/>
      <c r="P132" s="400">
        <f t="shared" si="82"/>
        <v>232.38800000000003</v>
      </c>
      <c r="Q132" s="474">
        <v>17</v>
      </c>
      <c r="R132" s="474">
        <f t="shared" si="83"/>
        <v>3950596.0000000005</v>
      </c>
      <c r="S132" s="400">
        <f t="shared" si="85"/>
        <v>3950596.0000000005</v>
      </c>
    </row>
    <row r="133" spans="1:19" x14ac:dyDescent="0.25">
      <c r="A133" s="469"/>
      <c r="B133" s="696"/>
      <c r="C133" s="696"/>
      <c r="D133" s="471"/>
      <c r="E133" s="471"/>
      <c r="F133" s="474" t="s">
        <v>474</v>
      </c>
      <c r="G133" s="474">
        <v>31</v>
      </c>
      <c r="H133" s="474">
        <v>31</v>
      </c>
      <c r="I133" s="474"/>
      <c r="J133" s="474">
        <v>5</v>
      </c>
      <c r="K133" s="743">
        <f t="shared" si="84"/>
        <v>0</v>
      </c>
      <c r="L133" s="474">
        <v>1</v>
      </c>
      <c r="M133" s="474"/>
      <c r="N133" s="474"/>
      <c r="O133" s="474"/>
      <c r="P133" s="400">
        <f t="shared" si="82"/>
        <v>155</v>
      </c>
      <c r="Q133" s="474">
        <v>17</v>
      </c>
      <c r="R133" s="474">
        <f t="shared" si="83"/>
        <v>2635000</v>
      </c>
      <c r="S133" s="400">
        <f t="shared" si="85"/>
        <v>2635000</v>
      </c>
    </row>
    <row r="134" spans="1:19" s="515" customFormat="1" x14ac:dyDescent="0.25">
      <c r="A134" s="747"/>
      <c r="B134" s="696" t="s">
        <v>508</v>
      </c>
      <c r="C134" s="748"/>
      <c r="D134" s="517">
        <f>SUM(D135:D136)</f>
        <v>0</v>
      </c>
      <c r="E134" s="517">
        <f t="shared" ref="E134" si="285">SUM(E135:E136)</f>
        <v>2020</v>
      </c>
      <c r="F134" s="517">
        <f t="shared" ref="F134" si="286">SUM(F135:F136)</f>
        <v>0</v>
      </c>
      <c r="G134" s="517">
        <f t="shared" ref="G134" si="287">SUM(G135:G136)</f>
        <v>1250</v>
      </c>
      <c r="H134" s="517">
        <f t="shared" ref="H134" si="288">SUM(H135:H136)</f>
        <v>0</v>
      </c>
      <c r="I134" s="517">
        <f t="shared" ref="I134" si="289">SUM(I135:I136)</f>
        <v>1250</v>
      </c>
      <c r="J134" s="517">
        <f t="shared" ref="J134" si="290">SUM(J135:J136)</f>
        <v>8.7200000000000006</v>
      </c>
      <c r="K134" s="517">
        <f t="shared" ref="K134" si="291">SUM(K135:K136)</f>
        <v>6.5400000000000009</v>
      </c>
      <c r="L134" s="517">
        <f t="shared" ref="L134" si="292">SUM(L135:L136)</f>
        <v>0.5</v>
      </c>
      <c r="M134" s="517">
        <f t="shared" ref="M134" si="293">SUM(M135:M136)</f>
        <v>0</v>
      </c>
      <c r="N134" s="517">
        <f t="shared" ref="N134" si="294">SUM(N135:N136)</f>
        <v>0</v>
      </c>
      <c r="O134" s="517">
        <f t="shared" ref="O134" si="295">SUM(O135:O136)</f>
        <v>0</v>
      </c>
      <c r="P134" s="517">
        <f t="shared" ref="P134" si="296">SUM(P135:P136)</f>
        <v>1136.2160000000001</v>
      </c>
      <c r="Q134" s="517">
        <f t="shared" ref="Q134" si="297">SUM(Q135:Q136)</f>
        <v>34</v>
      </c>
      <c r="R134" s="517">
        <f t="shared" ref="R134" si="298">SUM(R135:R136)</f>
        <v>19315672.000000004</v>
      </c>
      <c r="S134" s="517">
        <f t="shared" ref="S134" si="299">SUM(S135:S136)</f>
        <v>19315672.000000004</v>
      </c>
    </row>
    <row r="135" spans="1:19" x14ac:dyDescent="0.25">
      <c r="A135" s="469"/>
      <c r="C135" s="696" t="s">
        <v>473</v>
      </c>
      <c r="D135" s="471"/>
      <c r="E135" s="471">
        <v>2020</v>
      </c>
      <c r="F135" s="474" t="s">
        <v>481</v>
      </c>
      <c r="G135" s="474">
        <v>1144</v>
      </c>
      <c r="H135" s="474"/>
      <c r="I135" s="474">
        <f>G135</f>
        <v>1144</v>
      </c>
      <c r="J135" s="474">
        <v>4.3600000000000003</v>
      </c>
      <c r="K135" s="743">
        <f t="shared" si="84"/>
        <v>3.4880000000000004</v>
      </c>
      <c r="L135" s="474">
        <v>0.2</v>
      </c>
      <c r="M135" s="474"/>
      <c r="N135" s="474"/>
      <c r="O135" s="474"/>
      <c r="P135" s="400">
        <f t="shared" si="82"/>
        <v>997.5680000000001</v>
      </c>
      <c r="Q135" s="474">
        <v>17</v>
      </c>
      <c r="R135" s="474">
        <f t="shared" si="83"/>
        <v>16958656.000000004</v>
      </c>
      <c r="S135" s="400">
        <f t="shared" si="85"/>
        <v>16958656.000000004</v>
      </c>
    </row>
    <row r="136" spans="1:19" x14ac:dyDescent="0.25">
      <c r="A136" s="469"/>
      <c r="B136" s="696"/>
      <c r="C136" s="696"/>
      <c r="D136" s="471"/>
      <c r="E136" s="471"/>
      <c r="F136" s="474" t="s">
        <v>497</v>
      </c>
      <c r="G136" s="474">
        <v>106</v>
      </c>
      <c r="H136" s="474"/>
      <c r="I136" s="474">
        <f t="shared" ref="I136:I139" si="300">G136</f>
        <v>106</v>
      </c>
      <c r="J136" s="474">
        <v>4.3600000000000003</v>
      </c>
      <c r="K136" s="743">
        <f t="shared" si="84"/>
        <v>3.0520000000000005</v>
      </c>
      <c r="L136" s="474">
        <v>0.3</v>
      </c>
      <c r="M136" s="474"/>
      <c r="N136" s="474"/>
      <c r="O136" s="474"/>
      <c r="P136" s="400">
        <f t="shared" si="82"/>
        <v>138.648</v>
      </c>
      <c r="Q136" s="474">
        <v>17</v>
      </c>
      <c r="R136" s="474">
        <f t="shared" si="83"/>
        <v>2357016</v>
      </c>
      <c r="S136" s="400">
        <f t="shared" si="85"/>
        <v>2357016</v>
      </c>
    </row>
    <row r="137" spans="1:19" s="515" customFormat="1" x14ac:dyDescent="0.25">
      <c r="A137" s="747"/>
      <c r="B137" s="696" t="s">
        <v>578</v>
      </c>
      <c r="C137" s="748"/>
      <c r="D137" s="517">
        <f>SUM(D138:D139)</f>
        <v>205</v>
      </c>
      <c r="E137" s="517">
        <f t="shared" ref="E137" si="301">SUM(E138:E139)</f>
        <v>661</v>
      </c>
      <c r="F137" s="517">
        <f t="shared" ref="F137" si="302">SUM(F138:F139)</f>
        <v>0</v>
      </c>
      <c r="G137" s="517">
        <f t="shared" ref="G137" si="303">SUM(G138:G139)</f>
        <v>103</v>
      </c>
      <c r="H137" s="517">
        <f t="shared" ref="H137" si="304">SUM(H138:H139)</f>
        <v>0</v>
      </c>
      <c r="I137" s="517">
        <f t="shared" ref="I137" si="305">SUM(I138:I139)</f>
        <v>103</v>
      </c>
      <c r="J137" s="517">
        <f t="shared" ref="J137" si="306">SUM(J138:J139)</f>
        <v>8.7200000000000006</v>
      </c>
      <c r="K137" s="517">
        <f t="shared" ref="K137" si="307">SUM(K138:K139)</f>
        <v>7.1940000000000008</v>
      </c>
      <c r="L137" s="517">
        <f t="shared" ref="L137" si="308">SUM(L138:L139)</f>
        <v>0.35</v>
      </c>
      <c r="M137" s="517">
        <f t="shared" ref="M137" si="309">SUM(M138:M139)</f>
        <v>0</v>
      </c>
      <c r="N137" s="517">
        <f t="shared" ref="N137" si="310">SUM(N138:N139)</f>
        <v>0</v>
      </c>
      <c r="O137" s="517">
        <f t="shared" ref="O137" si="311">SUM(O138:O139)</f>
        <v>0</v>
      </c>
      <c r="P137" s="517">
        <f t="shared" ref="P137" si="312">SUM(P138:P139)</f>
        <v>85.238</v>
      </c>
      <c r="Q137" s="517">
        <f t="shared" ref="Q137" si="313">SUM(Q138:Q139)</f>
        <v>34</v>
      </c>
      <c r="R137" s="517">
        <f t="shared" ref="R137" si="314">SUM(R138:R139)</f>
        <v>1449046</v>
      </c>
      <c r="S137" s="517">
        <f t="shared" ref="S137" si="315">SUM(S138:S139)</f>
        <v>1449046</v>
      </c>
    </row>
    <row r="138" spans="1:19" x14ac:dyDescent="0.25">
      <c r="A138" s="469"/>
      <c r="C138" s="696" t="s">
        <v>473</v>
      </c>
      <c r="D138" s="471">
        <v>41</v>
      </c>
      <c r="E138" s="471">
        <v>516</v>
      </c>
      <c r="F138" s="474" t="s">
        <v>474</v>
      </c>
      <c r="G138" s="474">
        <v>21</v>
      </c>
      <c r="H138" s="474"/>
      <c r="I138" s="474">
        <f t="shared" si="300"/>
        <v>21</v>
      </c>
      <c r="J138" s="474">
        <v>4.3600000000000003</v>
      </c>
      <c r="K138" s="743">
        <f t="shared" si="84"/>
        <v>3.7060000000000004</v>
      </c>
      <c r="L138" s="474">
        <v>0.15</v>
      </c>
      <c r="M138" s="474"/>
      <c r="N138" s="474"/>
      <c r="O138" s="474"/>
      <c r="P138" s="400">
        <f t="shared" si="82"/>
        <v>13.734</v>
      </c>
      <c r="Q138" s="474">
        <v>17</v>
      </c>
      <c r="R138" s="474">
        <f t="shared" si="83"/>
        <v>233478</v>
      </c>
      <c r="S138" s="400">
        <f t="shared" si="85"/>
        <v>233478</v>
      </c>
    </row>
    <row r="139" spans="1:19" x14ac:dyDescent="0.25">
      <c r="A139" s="469"/>
      <c r="B139" s="696"/>
      <c r="C139" s="696"/>
      <c r="D139" s="474">
        <v>164</v>
      </c>
      <c r="E139" s="471">
        <v>145</v>
      </c>
      <c r="F139" s="474" t="s">
        <v>586</v>
      </c>
      <c r="G139" s="474">
        <v>82</v>
      </c>
      <c r="H139" s="474"/>
      <c r="I139" s="474">
        <f t="shared" si="300"/>
        <v>82</v>
      </c>
      <c r="J139" s="474">
        <v>4.3600000000000003</v>
      </c>
      <c r="K139" s="474">
        <f t="shared" si="84"/>
        <v>3.4880000000000004</v>
      </c>
      <c r="L139" s="474">
        <v>0.2</v>
      </c>
      <c r="M139" s="474"/>
      <c r="N139" s="474"/>
      <c r="O139" s="474"/>
      <c r="P139" s="474">
        <f t="shared" si="82"/>
        <v>71.504000000000005</v>
      </c>
      <c r="Q139" s="474">
        <v>17</v>
      </c>
      <c r="R139" s="474">
        <f t="shared" si="83"/>
        <v>1215568</v>
      </c>
      <c r="S139" s="474">
        <f t="shared" si="85"/>
        <v>1215568</v>
      </c>
    </row>
    <row r="140" spans="1:19" s="515" customFormat="1" x14ac:dyDescent="0.25">
      <c r="A140" s="747"/>
      <c r="B140" s="696" t="s">
        <v>575</v>
      </c>
      <c r="C140" s="748"/>
      <c r="D140" s="517">
        <f>SUM(D141:D142)</f>
        <v>233</v>
      </c>
      <c r="E140" s="517">
        <f t="shared" ref="E140" si="316">SUM(E141:E142)</f>
        <v>408</v>
      </c>
      <c r="F140" s="517">
        <f t="shared" ref="F140" si="317">SUM(F141:F142)</f>
        <v>0</v>
      </c>
      <c r="G140" s="517">
        <f t="shared" ref="G140" si="318">SUM(G141:G142)</f>
        <v>118.62</v>
      </c>
      <c r="H140" s="517">
        <f t="shared" ref="H140" si="319">SUM(H141:H142)</f>
        <v>2.81</v>
      </c>
      <c r="I140" s="517">
        <f t="shared" ref="I140" si="320">SUM(I141:I142)</f>
        <v>115.81</v>
      </c>
      <c r="J140" s="517">
        <f t="shared" ref="J140" si="321">SUM(J141:J142)</f>
        <v>8.7200000000000006</v>
      </c>
      <c r="K140" s="517">
        <f t="shared" ref="K140" si="322">SUM(K141:K142)</f>
        <v>3.4880000000000004</v>
      </c>
      <c r="L140" s="517">
        <f t="shared" ref="L140" si="323">SUM(L141:L142)</f>
        <v>1.2</v>
      </c>
      <c r="M140" s="517">
        <f t="shared" ref="M140" si="324">SUM(M141:M142)</f>
        <v>0</v>
      </c>
      <c r="N140" s="517">
        <f t="shared" ref="N140" si="325">SUM(N141:N142)</f>
        <v>0</v>
      </c>
      <c r="O140" s="517">
        <f t="shared" ref="O140" si="326">SUM(O141:O142)</f>
        <v>0</v>
      </c>
      <c r="P140" s="517">
        <f t="shared" ref="P140" si="327">SUM(P141:P142)</f>
        <v>113.23792000000002</v>
      </c>
      <c r="Q140" s="517">
        <f t="shared" ref="Q140" si="328">SUM(Q141:Q142)</f>
        <v>34</v>
      </c>
      <c r="R140" s="517">
        <f t="shared" ref="R140" si="329">SUM(R141:R142)</f>
        <v>1925044.6400000004</v>
      </c>
      <c r="S140" s="517">
        <f t="shared" ref="S140" si="330">SUM(S141:S142)</f>
        <v>1925044.6400000004</v>
      </c>
    </row>
    <row r="141" spans="1:19" x14ac:dyDescent="0.25">
      <c r="A141" s="469"/>
      <c r="C141" s="696" t="s">
        <v>473</v>
      </c>
      <c r="D141" s="474">
        <v>5</v>
      </c>
      <c r="E141" s="471">
        <v>408</v>
      </c>
      <c r="F141" s="474" t="s">
        <v>474</v>
      </c>
      <c r="G141" s="474">
        <v>2.81</v>
      </c>
      <c r="H141" s="474">
        <v>2.81</v>
      </c>
      <c r="I141" s="474"/>
      <c r="J141" s="474">
        <v>4.3600000000000003</v>
      </c>
      <c r="K141" s="474">
        <f t="shared" si="84"/>
        <v>0</v>
      </c>
      <c r="L141" s="474">
        <v>1</v>
      </c>
      <c r="M141" s="474"/>
      <c r="N141" s="474"/>
      <c r="O141" s="474"/>
      <c r="P141" s="474">
        <f t="shared" si="82"/>
        <v>12.251600000000002</v>
      </c>
      <c r="Q141" s="474">
        <v>17</v>
      </c>
      <c r="R141" s="474">
        <f t="shared" si="83"/>
        <v>208277.2</v>
      </c>
      <c r="S141" s="474">
        <f t="shared" si="85"/>
        <v>208277.2</v>
      </c>
    </row>
    <row r="142" spans="1:19" x14ac:dyDescent="0.25">
      <c r="A142" s="469"/>
      <c r="B142" s="696"/>
      <c r="C142" s="696"/>
      <c r="D142" s="474">
        <v>228</v>
      </c>
      <c r="E142" s="471"/>
      <c r="F142" s="474" t="s">
        <v>670</v>
      </c>
      <c r="G142" s="474">
        <v>115.81</v>
      </c>
      <c r="H142" s="474"/>
      <c r="I142" s="474">
        <v>115.81</v>
      </c>
      <c r="J142" s="474">
        <v>4.3600000000000003</v>
      </c>
      <c r="K142" s="474">
        <f t="shared" si="84"/>
        <v>3.4880000000000004</v>
      </c>
      <c r="L142" s="474">
        <v>0.2</v>
      </c>
      <c r="M142" s="474"/>
      <c r="N142" s="474"/>
      <c r="O142" s="474"/>
      <c r="P142" s="474">
        <f t="shared" si="82"/>
        <v>100.98632000000002</v>
      </c>
      <c r="Q142" s="474">
        <v>17</v>
      </c>
      <c r="R142" s="474">
        <f t="shared" si="83"/>
        <v>1716767.4400000004</v>
      </c>
      <c r="S142" s="474">
        <f t="shared" si="85"/>
        <v>1716767.4400000004</v>
      </c>
    </row>
    <row r="143" spans="1:19" x14ac:dyDescent="0.25">
      <c r="A143" s="469"/>
      <c r="B143" s="696" t="s">
        <v>562</v>
      </c>
      <c r="C143" s="696" t="s">
        <v>473</v>
      </c>
      <c r="D143" s="474">
        <v>150</v>
      </c>
      <c r="E143" s="471">
        <v>812</v>
      </c>
      <c r="F143" s="474" t="s">
        <v>474</v>
      </c>
      <c r="G143" s="474">
        <v>78.81</v>
      </c>
      <c r="H143" s="474"/>
      <c r="I143" s="474">
        <v>78.81</v>
      </c>
      <c r="J143" s="474">
        <v>4.3600000000000003</v>
      </c>
      <c r="K143" s="474">
        <f t="shared" si="84"/>
        <v>2.1800000000000002</v>
      </c>
      <c r="L143" s="474">
        <v>0.5</v>
      </c>
      <c r="M143" s="474"/>
      <c r="N143" s="474"/>
      <c r="O143" s="474"/>
      <c r="P143" s="474">
        <f t="shared" si="82"/>
        <v>171.8058</v>
      </c>
      <c r="Q143" s="474">
        <v>17</v>
      </c>
      <c r="R143" s="474">
        <f t="shared" si="83"/>
        <v>2920698.6</v>
      </c>
      <c r="S143" s="474">
        <f t="shared" si="85"/>
        <v>2920698.6</v>
      </c>
    </row>
    <row r="144" spans="1:19" x14ac:dyDescent="0.25">
      <c r="A144" s="469"/>
      <c r="B144" s="696" t="s">
        <v>566</v>
      </c>
      <c r="C144" s="696" t="s">
        <v>473</v>
      </c>
      <c r="D144" s="474">
        <v>1552</v>
      </c>
      <c r="E144" s="471">
        <v>1725</v>
      </c>
      <c r="F144" s="474" t="s">
        <v>474</v>
      </c>
      <c r="G144" s="474">
        <v>831</v>
      </c>
      <c r="H144" s="474"/>
      <c r="I144" s="474">
        <v>831</v>
      </c>
      <c r="J144" s="474">
        <v>4.3600000000000003</v>
      </c>
      <c r="K144" s="474">
        <f t="shared" si="84"/>
        <v>3.4880000000000004</v>
      </c>
      <c r="L144" s="474">
        <v>0.2</v>
      </c>
      <c r="M144" s="474"/>
      <c r="N144" s="474"/>
      <c r="O144" s="474"/>
      <c r="P144" s="474">
        <f t="shared" si="82"/>
        <v>724.63200000000006</v>
      </c>
      <c r="Q144" s="474">
        <v>17</v>
      </c>
      <c r="R144" s="474">
        <f t="shared" si="83"/>
        <v>12318744</v>
      </c>
      <c r="S144" s="474">
        <f t="shared" si="85"/>
        <v>12318744</v>
      </c>
    </row>
    <row r="145" spans="1:19" x14ac:dyDescent="0.25">
      <c r="A145" s="469"/>
      <c r="B145" s="696"/>
      <c r="C145" s="696"/>
      <c r="D145" s="474"/>
      <c r="E145" s="471"/>
      <c r="F145" s="474"/>
      <c r="G145" s="474"/>
      <c r="H145" s="474"/>
      <c r="I145" s="474"/>
      <c r="J145" s="474"/>
      <c r="K145" s="474"/>
      <c r="L145" s="474"/>
      <c r="M145" s="474"/>
      <c r="N145" s="474"/>
      <c r="O145" s="474"/>
      <c r="P145" s="474"/>
      <c r="Q145" s="474"/>
      <c r="R145" s="474"/>
      <c r="S145" s="474"/>
    </row>
    <row r="146" spans="1:19" x14ac:dyDescent="0.25">
      <c r="A146" s="428"/>
      <c r="B146" s="429" t="s">
        <v>36</v>
      </c>
      <c r="C146" s="429"/>
      <c r="D146" s="430"/>
      <c r="E146" s="430"/>
      <c r="F146" s="430"/>
      <c r="G146" s="432">
        <f>SUM(G147)</f>
        <v>16023</v>
      </c>
      <c r="H146" s="432"/>
      <c r="I146" s="432">
        <f t="shared" ref="I146" si="331">SUM(I147)</f>
        <v>16023</v>
      </c>
      <c r="J146" s="432"/>
      <c r="K146" s="432"/>
      <c r="L146" s="432"/>
      <c r="M146" s="432"/>
      <c r="N146" s="432"/>
      <c r="O146" s="432"/>
      <c r="P146" s="432">
        <f>SUM(P147)</f>
        <v>836903.57319999998</v>
      </c>
      <c r="Q146" s="432"/>
      <c r="R146" s="432">
        <f>SUM(R147)</f>
        <v>12237856456.4</v>
      </c>
      <c r="S146" s="432">
        <f>SUM(S147)</f>
        <v>463715545</v>
      </c>
    </row>
    <row r="147" spans="1:19" x14ac:dyDescent="0.25">
      <c r="A147" s="732"/>
      <c r="B147" s="733" t="s">
        <v>471</v>
      </c>
      <c r="C147" s="733"/>
      <c r="D147" s="734">
        <f>SUM(D149:D188)</f>
        <v>22662</v>
      </c>
      <c r="E147" s="734">
        <f>SUM(E149:E188)</f>
        <v>35524</v>
      </c>
      <c r="F147" s="734">
        <f>SUM(F364:F369)</f>
        <v>0</v>
      </c>
      <c r="G147" s="734">
        <f>SUM(G149:G188)</f>
        <v>16023</v>
      </c>
      <c r="H147" s="734">
        <f>SUM(H149:H298)</f>
        <v>65996.800000000003</v>
      </c>
      <c r="I147" s="734">
        <f>SUM(I149:I188)</f>
        <v>16023</v>
      </c>
      <c r="J147" s="734"/>
      <c r="K147" s="734"/>
      <c r="L147" s="734"/>
      <c r="M147" s="734">
        <f>SUM(M149:M298)</f>
        <v>35654.39999999998</v>
      </c>
      <c r="N147" s="734"/>
      <c r="O147" s="734">
        <f>SUM(O149:O298)</f>
        <v>277603456</v>
      </c>
      <c r="P147" s="734">
        <f>SUM(P149:P298)</f>
        <v>836903.57319999998</v>
      </c>
      <c r="Q147" s="734"/>
      <c r="R147" s="734">
        <f>SUM(R149:R298)</f>
        <v>12237856456.4</v>
      </c>
      <c r="S147" s="734">
        <f>SUM(S149:S188)</f>
        <v>463715545</v>
      </c>
    </row>
    <row r="148" spans="1:19" s="515" customFormat="1" x14ac:dyDescent="0.25">
      <c r="A148" s="747"/>
      <c r="B148" s="696" t="s">
        <v>712</v>
      </c>
      <c r="C148" s="750"/>
      <c r="D148" s="517">
        <f>SUM(D149:D151)</f>
        <v>29</v>
      </c>
      <c r="E148" s="517">
        <f t="shared" ref="E148" si="332">SUM(E149:E151)</f>
        <v>80</v>
      </c>
      <c r="F148" s="517">
        <f t="shared" ref="F148" si="333">SUM(F149:F151)</f>
        <v>0</v>
      </c>
      <c r="G148" s="517">
        <f t="shared" ref="G148" si="334">SUM(G149:G151)</f>
        <v>22</v>
      </c>
      <c r="H148" s="517">
        <f t="shared" ref="H148" si="335">SUM(H149:H151)</f>
        <v>0</v>
      </c>
      <c r="I148" s="517">
        <f t="shared" ref="I148" si="336">SUM(I149:I151)</f>
        <v>22</v>
      </c>
      <c r="J148" s="517">
        <f t="shared" ref="J148" si="337">SUM(J149:J151)</f>
        <v>15.059999999999999</v>
      </c>
      <c r="K148" s="517">
        <f t="shared" ref="K148" si="338">SUM(K149:K151)</f>
        <v>9.286999999999999</v>
      </c>
      <c r="L148" s="517">
        <f t="shared" ref="L148" si="339">SUM(L149:L151)</f>
        <v>1.1499999999999999</v>
      </c>
      <c r="M148" s="517">
        <f t="shared" ref="M148" si="340">SUM(M149:M151)</f>
        <v>0</v>
      </c>
      <c r="N148" s="517">
        <f t="shared" ref="N148" si="341">SUM(N149:N151)</f>
        <v>0</v>
      </c>
      <c r="O148" s="517">
        <f t="shared" ref="O148" si="342">SUM(O149:O151)</f>
        <v>0</v>
      </c>
      <c r="P148" s="517">
        <f t="shared" ref="P148" si="343">SUM(P149:P151)</f>
        <v>45.933</v>
      </c>
      <c r="Q148" s="517">
        <f t="shared" ref="Q148" si="344">SUM(Q149:Q151)</f>
        <v>51</v>
      </c>
      <c r="R148" s="517">
        <f t="shared" ref="R148" si="345">SUM(R149:R151)</f>
        <v>780860.99999999988</v>
      </c>
      <c r="S148" s="517">
        <f t="shared" ref="S148" si="346">SUM(S149:S151)</f>
        <v>780860.99999999988</v>
      </c>
    </row>
    <row r="149" spans="1:19" x14ac:dyDescent="0.25">
      <c r="A149" s="469"/>
      <c r="C149" s="696" t="s">
        <v>713</v>
      </c>
      <c r="D149" s="474">
        <v>16</v>
      </c>
      <c r="E149" s="471">
        <v>80</v>
      </c>
      <c r="F149" s="474" t="s">
        <v>504</v>
      </c>
      <c r="G149" s="474">
        <v>12</v>
      </c>
      <c r="H149" s="474"/>
      <c r="I149" s="474">
        <v>12</v>
      </c>
      <c r="J149" s="474">
        <v>5.0199999999999996</v>
      </c>
      <c r="K149" s="474">
        <f t="shared" ref="K149:K188" si="347">J149-J149*L149</f>
        <v>2.5099999999999998</v>
      </c>
      <c r="L149" s="474">
        <v>0.5</v>
      </c>
      <c r="M149" s="474"/>
      <c r="N149" s="474"/>
      <c r="O149" s="474"/>
      <c r="P149" s="474">
        <f>G149*J149*L149</f>
        <v>30.119999999999997</v>
      </c>
      <c r="Q149" s="474">
        <v>17</v>
      </c>
      <c r="R149" s="474">
        <f t="shared" ref="R149:R188" si="348">P149*Q149*1000</f>
        <v>512039.99999999994</v>
      </c>
      <c r="S149" s="474">
        <f t="shared" ref="S149:S188" si="349">R149</f>
        <v>512039.99999999994</v>
      </c>
    </row>
    <row r="150" spans="1:19" x14ac:dyDescent="0.25">
      <c r="A150" s="469"/>
      <c r="B150" s="696"/>
      <c r="C150" s="696"/>
      <c r="D150" s="474">
        <v>4</v>
      </c>
      <c r="E150" s="471"/>
      <c r="F150" s="474" t="s">
        <v>714</v>
      </c>
      <c r="G150" s="474">
        <v>3</v>
      </c>
      <c r="H150" s="474"/>
      <c r="I150" s="474">
        <v>3</v>
      </c>
      <c r="J150" s="474">
        <v>5.0199999999999996</v>
      </c>
      <c r="K150" s="474">
        <f t="shared" si="347"/>
        <v>3.2629999999999999</v>
      </c>
      <c r="L150" s="474">
        <v>0.35</v>
      </c>
      <c r="M150" s="474"/>
      <c r="N150" s="474"/>
      <c r="O150" s="474"/>
      <c r="P150" s="474">
        <f t="shared" ref="P150:P232" si="350">G150*J150*L150</f>
        <v>5.270999999999999</v>
      </c>
      <c r="Q150" s="474">
        <v>17</v>
      </c>
      <c r="R150" s="474">
        <f t="shared" si="348"/>
        <v>89606.999999999985</v>
      </c>
      <c r="S150" s="474">
        <f t="shared" si="349"/>
        <v>89606.999999999985</v>
      </c>
    </row>
    <row r="151" spans="1:19" x14ac:dyDescent="0.25">
      <c r="A151" s="469"/>
      <c r="B151" s="696"/>
      <c r="C151" s="696"/>
      <c r="D151" s="474">
        <v>9</v>
      </c>
      <c r="E151" s="471"/>
      <c r="F151" s="474" t="s">
        <v>474</v>
      </c>
      <c r="G151" s="474">
        <v>7</v>
      </c>
      <c r="H151" s="474"/>
      <c r="I151" s="474">
        <v>7</v>
      </c>
      <c r="J151" s="474">
        <v>5.0199999999999996</v>
      </c>
      <c r="K151" s="474">
        <f t="shared" si="347"/>
        <v>3.5139999999999998</v>
      </c>
      <c r="L151" s="474">
        <v>0.3</v>
      </c>
      <c r="M151" s="474"/>
      <c r="N151" s="474"/>
      <c r="O151" s="474"/>
      <c r="P151" s="474">
        <f t="shared" si="350"/>
        <v>10.542</v>
      </c>
      <c r="Q151" s="474">
        <v>17</v>
      </c>
      <c r="R151" s="474">
        <f t="shared" si="348"/>
        <v>179214</v>
      </c>
      <c r="S151" s="474">
        <f t="shared" si="349"/>
        <v>179214</v>
      </c>
    </row>
    <row r="152" spans="1:19" s="515" customFormat="1" x14ac:dyDescent="0.25">
      <c r="A152" s="747"/>
      <c r="B152" s="696" t="s">
        <v>715</v>
      </c>
      <c r="C152" s="748"/>
      <c r="D152" s="517">
        <f>SUM(D153:D155)</f>
        <v>1150</v>
      </c>
      <c r="E152" s="517">
        <f t="shared" ref="E152" si="351">SUM(E153:E155)</f>
        <v>2246</v>
      </c>
      <c r="F152" s="517">
        <f t="shared" ref="F152" si="352">SUM(F153:F155)</f>
        <v>0</v>
      </c>
      <c r="G152" s="517">
        <f t="shared" ref="G152" si="353">SUM(G153:G155)</f>
        <v>862</v>
      </c>
      <c r="H152" s="517">
        <f t="shared" ref="H152" si="354">SUM(H153:H155)</f>
        <v>0</v>
      </c>
      <c r="I152" s="517">
        <f t="shared" ref="I152" si="355">SUM(I153:I155)</f>
        <v>862</v>
      </c>
      <c r="J152" s="517">
        <f t="shared" ref="J152" si="356">SUM(J153:J155)</f>
        <v>14.52</v>
      </c>
      <c r="K152" s="517">
        <f t="shared" ref="K152" si="357">SUM(K153:K155)</f>
        <v>9.0169999999999995</v>
      </c>
      <c r="L152" s="517">
        <f t="shared" ref="L152" si="358">SUM(L153:L155)</f>
        <v>1.1499999999999999</v>
      </c>
      <c r="M152" s="517">
        <f t="shared" ref="M152" si="359">SUM(M153:M155)</f>
        <v>0</v>
      </c>
      <c r="N152" s="517">
        <f t="shared" ref="N152" si="360">SUM(N153:N155)</f>
        <v>0</v>
      </c>
      <c r="O152" s="517">
        <f t="shared" ref="O152" si="361">SUM(O153:O155)</f>
        <v>0</v>
      </c>
      <c r="P152" s="517">
        <f t="shared" ref="P152" si="362">SUM(P153:P155)</f>
        <v>1490.2309999999998</v>
      </c>
      <c r="Q152" s="517">
        <f t="shared" ref="Q152" si="363">SUM(Q153:Q155)</f>
        <v>51</v>
      </c>
      <c r="R152" s="517">
        <f t="shared" ref="R152" si="364">SUM(R153:R155)</f>
        <v>25333927</v>
      </c>
      <c r="S152" s="517">
        <f t="shared" ref="S152" si="365">SUM(S153:S155)</f>
        <v>25333927</v>
      </c>
    </row>
    <row r="153" spans="1:19" x14ac:dyDescent="0.25">
      <c r="A153" s="469"/>
      <c r="C153" s="696" t="s">
        <v>713</v>
      </c>
      <c r="D153" s="474">
        <v>191</v>
      </c>
      <c r="E153" s="471">
        <v>2246</v>
      </c>
      <c r="F153" s="474" t="s">
        <v>504</v>
      </c>
      <c r="G153" s="474">
        <v>143</v>
      </c>
      <c r="H153" s="474"/>
      <c r="I153" s="474">
        <f>G153</f>
        <v>143</v>
      </c>
      <c r="J153" s="474">
        <v>4.4800000000000004</v>
      </c>
      <c r="K153" s="474">
        <f t="shared" si="347"/>
        <v>2.2400000000000002</v>
      </c>
      <c r="L153" s="474">
        <v>0.5</v>
      </c>
      <c r="M153" s="474"/>
      <c r="N153" s="474"/>
      <c r="O153" s="474"/>
      <c r="P153" s="474">
        <f t="shared" si="350"/>
        <v>320.32000000000005</v>
      </c>
      <c r="Q153" s="474">
        <v>17</v>
      </c>
      <c r="R153" s="474">
        <f t="shared" si="348"/>
        <v>5445440.0000000009</v>
      </c>
      <c r="S153" s="474">
        <f t="shared" si="349"/>
        <v>5445440.0000000009</v>
      </c>
    </row>
    <row r="154" spans="1:19" x14ac:dyDescent="0.25">
      <c r="A154" s="469"/>
      <c r="B154" s="696"/>
      <c r="C154" s="696"/>
      <c r="D154" s="474">
        <v>463</v>
      </c>
      <c r="E154" s="471"/>
      <c r="F154" s="474" t="s">
        <v>708</v>
      </c>
      <c r="G154" s="474">
        <v>347</v>
      </c>
      <c r="H154" s="474"/>
      <c r="I154" s="474">
        <f t="shared" ref="I154:I188" si="366">G154</f>
        <v>347</v>
      </c>
      <c r="J154" s="474">
        <v>5.0199999999999996</v>
      </c>
      <c r="K154" s="474">
        <f t="shared" si="347"/>
        <v>3.2629999999999999</v>
      </c>
      <c r="L154" s="474">
        <v>0.35</v>
      </c>
      <c r="M154" s="474"/>
      <c r="N154" s="474"/>
      <c r="O154" s="474"/>
      <c r="P154" s="474">
        <f t="shared" si="350"/>
        <v>609.67899999999986</v>
      </c>
      <c r="Q154" s="474">
        <v>17</v>
      </c>
      <c r="R154" s="474">
        <f t="shared" si="348"/>
        <v>10364542.999999998</v>
      </c>
      <c r="S154" s="474">
        <f t="shared" si="349"/>
        <v>10364542.999999998</v>
      </c>
    </row>
    <row r="155" spans="1:19" x14ac:dyDescent="0.25">
      <c r="A155" s="469"/>
      <c r="B155" s="696"/>
      <c r="C155" s="696"/>
      <c r="D155" s="474">
        <v>496</v>
      </c>
      <c r="E155" s="471"/>
      <c r="F155" s="474" t="s">
        <v>474</v>
      </c>
      <c r="G155" s="474">
        <v>372</v>
      </c>
      <c r="H155" s="474"/>
      <c r="I155" s="474">
        <f t="shared" si="366"/>
        <v>372</v>
      </c>
      <c r="J155" s="474">
        <v>5.0199999999999996</v>
      </c>
      <c r="K155" s="474">
        <f t="shared" si="347"/>
        <v>3.5139999999999998</v>
      </c>
      <c r="L155" s="474">
        <v>0.3</v>
      </c>
      <c r="M155" s="474"/>
      <c r="N155" s="474"/>
      <c r="O155" s="474"/>
      <c r="P155" s="474">
        <f t="shared" si="350"/>
        <v>560.23199999999997</v>
      </c>
      <c r="Q155" s="474">
        <v>17</v>
      </c>
      <c r="R155" s="474">
        <f t="shared" si="348"/>
        <v>9523944</v>
      </c>
      <c r="S155" s="474">
        <f t="shared" si="349"/>
        <v>9523944</v>
      </c>
    </row>
    <row r="156" spans="1:19" s="515" customFormat="1" x14ac:dyDescent="0.25">
      <c r="A156" s="747"/>
      <c r="B156" s="696" t="s">
        <v>570</v>
      </c>
      <c r="C156" s="748"/>
      <c r="D156" s="517">
        <f>SUM(D157:D158)</f>
        <v>695</v>
      </c>
      <c r="E156" s="517">
        <f t="shared" ref="E156" si="367">SUM(E157:E158)</f>
        <v>1547</v>
      </c>
      <c r="F156" s="517">
        <f t="shared" ref="F156" si="368">SUM(F157:F158)</f>
        <v>0</v>
      </c>
      <c r="G156" s="517">
        <f t="shared" ref="G156" si="369">SUM(G157:G158)</f>
        <v>521</v>
      </c>
      <c r="H156" s="517">
        <f t="shared" ref="H156" si="370">SUM(H157:H158)</f>
        <v>0</v>
      </c>
      <c r="I156" s="517">
        <f t="shared" ref="I156" si="371">SUM(I157:I158)</f>
        <v>521</v>
      </c>
      <c r="J156" s="517">
        <f t="shared" ref="J156" si="372">SUM(J157:J158)</f>
        <v>9.5</v>
      </c>
      <c r="K156" s="517">
        <f t="shared" ref="K156" si="373">SUM(K157:K158)</f>
        <v>5.7539999999999996</v>
      </c>
      <c r="L156" s="517">
        <f t="shared" ref="L156" si="374">SUM(L157:L158)</f>
        <v>0.8</v>
      </c>
      <c r="M156" s="517">
        <f t="shared" ref="M156" si="375">SUM(M157:M158)</f>
        <v>0</v>
      </c>
      <c r="N156" s="517">
        <f t="shared" ref="N156" si="376">SUM(N157:N158)</f>
        <v>0</v>
      </c>
      <c r="O156" s="517">
        <f t="shared" ref="O156" si="377">SUM(O157:O158)</f>
        <v>0</v>
      </c>
      <c r="P156" s="517">
        <f t="shared" ref="P156" si="378">SUM(P157:P158)</f>
        <v>1015.836</v>
      </c>
      <c r="Q156" s="517">
        <f t="shared" ref="Q156" si="379">SUM(Q157:Q158)</f>
        <v>34</v>
      </c>
      <c r="R156" s="517">
        <f t="shared" ref="R156" si="380">SUM(R157:R158)</f>
        <v>17269212</v>
      </c>
      <c r="S156" s="517">
        <f t="shared" ref="S156" si="381">SUM(S157:S158)</f>
        <v>17269212</v>
      </c>
    </row>
    <row r="157" spans="1:19" x14ac:dyDescent="0.25">
      <c r="A157" s="469"/>
      <c r="C157" s="696" t="s">
        <v>713</v>
      </c>
      <c r="D157" s="474">
        <v>420</v>
      </c>
      <c r="E157" s="471">
        <v>832</v>
      </c>
      <c r="F157" s="474" t="s">
        <v>504</v>
      </c>
      <c r="G157" s="474">
        <v>315</v>
      </c>
      <c r="H157" s="474"/>
      <c r="I157" s="474">
        <f t="shared" si="366"/>
        <v>315</v>
      </c>
      <c r="J157" s="474">
        <v>4.4800000000000004</v>
      </c>
      <c r="K157" s="474">
        <f t="shared" si="347"/>
        <v>2.2400000000000002</v>
      </c>
      <c r="L157" s="474">
        <v>0.5</v>
      </c>
      <c r="M157" s="474"/>
      <c r="N157" s="474"/>
      <c r="O157" s="474"/>
      <c r="P157" s="474">
        <f t="shared" si="350"/>
        <v>705.6</v>
      </c>
      <c r="Q157" s="474">
        <v>17</v>
      </c>
      <c r="R157" s="474">
        <f t="shared" si="348"/>
        <v>11995200</v>
      </c>
      <c r="S157" s="474">
        <f t="shared" si="349"/>
        <v>11995200</v>
      </c>
    </row>
    <row r="158" spans="1:19" x14ac:dyDescent="0.25">
      <c r="A158" s="469"/>
      <c r="B158" s="696"/>
      <c r="C158" s="696"/>
      <c r="D158" s="474">
        <v>275</v>
      </c>
      <c r="E158" s="471">
        <v>715</v>
      </c>
      <c r="F158" s="474" t="s">
        <v>474</v>
      </c>
      <c r="G158" s="474">
        <v>206</v>
      </c>
      <c r="H158" s="474"/>
      <c r="I158" s="474">
        <f t="shared" si="366"/>
        <v>206</v>
      </c>
      <c r="J158" s="474">
        <v>5.0199999999999996</v>
      </c>
      <c r="K158" s="474">
        <f t="shared" si="347"/>
        <v>3.5139999999999998</v>
      </c>
      <c r="L158" s="474">
        <v>0.3</v>
      </c>
      <c r="M158" s="474"/>
      <c r="N158" s="474"/>
      <c r="O158" s="474"/>
      <c r="P158" s="474">
        <f t="shared" si="350"/>
        <v>310.23599999999993</v>
      </c>
      <c r="Q158" s="474">
        <v>17</v>
      </c>
      <c r="R158" s="474">
        <f t="shared" si="348"/>
        <v>5274011.9999999991</v>
      </c>
      <c r="S158" s="474">
        <f t="shared" si="349"/>
        <v>5274011.9999999991</v>
      </c>
    </row>
    <row r="159" spans="1:19" s="515" customFormat="1" x14ac:dyDescent="0.25">
      <c r="A159" s="747"/>
      <c r="B159" t="s">
        <v>71</v>
      </c>
      <c r="C159" s="748"/>
      <c r="D159" s="517">
        <f>SUM(D160:D161)</f>
        <v>1446</v>
      </c>
      <c r="E159" s="517">
        <f t="shared" ref="E159" si="382">SUM(E160:E161)</f>
        <v>2470</v>
      </c>
      <c r="F159" s="517">
        <f t="shared" ref="F159" si="383">SUM(F160:F161)</f>
        <v>0</v>
      </c>
      <c r="G159" s="517">
        <f t="shared" ref="G159" si="384">SUM(G160:G161)</f>
        <v>1085</v>
      </c>
      <c r="H159" s="517">
        <f t="shared" ref="H159" si="385">SUM(H160:H161)</f>
        <v>0</v>
      </c>
      <c r="I159" s="517">
        <f t="shared" ref="I159" si="386">SUM(I160:I161)</f>
        <v>1085</v>
      </c>
      <c r="J159" s="517">
        <f t="shared" ref="J159" si="387">SUM(J160:J161)</f>
        <v>10.039999999999999</v>
      </c>
      <c r="K159" s="517">
        <f t="shared" ref="K159" si="388">SUM(K160:K161)</f>
        <v>6.7769999999999992</v>
      </c>
      <c r="L159" s="517">
        <f t="shared" ref="L159" si="389">SUM(L160:L161)</f>
        <v>0.64999999999999991</v>
      </c>
      <c r="M159" s="517">
        <f t="shared" ref="M159" si="390">SUM(M160:M161)</f>
        <v>0</v>
      </c>
      <c r="N159" s="517">
        <f t="shared" ref="N159" si="391">SUM(N160:N161)</f>
        <v>0</v>
      </c>
      <c r="O159" s="517">
        <f t="shared" ref="O159" si="392">SUM(O160:O161)</f>
        <v>0</v>
      </c>
      <c r="P159" s="517">
        <f t="shared" ref="P159" si="393">SUM(P160:P161)</f>
        <v>1753.2349999999999</v>
      </c>
      <c r="Q159" s="517">
        <f t="shared" ref="Q159" si="394">SUM(Q160:Q161)</f>
        <v>34</v>
      </c>
      <c r="R159" s="517">
        <f t="shared" ref="R159" si="395">SUM(R160:R161)</f>
        <v>29804995</v>
      </c>
      <c r="S159" s="517">
        <f t="shared" ref="S159" si="396">SUM(S160:S161)</f>
        <v>29804995</v>
      </c>
    </row>
    <row r="160" spans="1:19" x14ac:dyDescent="0.25">
      <c r="A160" s="422"/>
      <c r="C160" s="736" t="s">
        <v>713</v>
      </c>
      <c r="D160" s="511">
        <v>633</v>
      </c>
      <c r="E160" s="400">
        <v>571</v>
      </c>
      <c r="F160" s="510" t="s">
        <v>714</v>
      </c>
      <c r="G160" s="400">
        <v>475</v>
      </c>
      <c r="H160" s="400"/>
      <c r="I160" s="474">
        <f t="shared" si="366"/>
        <v>475</v>
      </c>
      <c r="J160" s="400">
        <v>5.0199999999999996</v>
      </c>
      <c r="K160" s="474">
        <f t="shared" si="347"/>
        <v>3.2629999999999999</v>
      </c>
      <c r="L160" s="400">
        <v>0.35</v>
      </c>
      <c r="M160" s="400"/>
      <c r="N160" s="400"/>
      <c r="O160" s="400"/>
      <c r="P160" s="474">
        <f t="shared" si="350"/>
        <v>834.57499999999993</v>
      </c>
      <c r="Q160" s="474">
        <v>17</v>
      </c>
      <c r="R160" s="474">
        <f t="shared" si="348"/>
        <v>14187775</v>
      </c>
      <c r="S160" s="474">
        <f t="shared" si="349"/>
        <v>14187775</v>
      </c>
    </row>
    <row r="161" spans="1:19" x14ac:dyDescent="0.25">
      <c r="A161" s="422"/>
      <c r="B161" s="510"/>
      <c r="C161" s="736" t="s">
        <v>716</v>
      </c>
      <c r="D161" s="511">
        <v>813</v>
      </c>
      <c r="E161" s="400">
        <v>1899</v>
      </c>
      <c r="F161" s="510" t="s">
        <v>717</v>
      </c>
      <c r="G161" s="400">
        <v>610</v>
      </c>
      <c r="H161" s="400"/>
      <c r="I161" s="474">
        <f t="shared" si="366"/>
        <v>610</v>
      </c>
      <c r="J161" s="400">
        <v>5.0199999999999996</v>
      </c>
      <c r="K161" s="474">
        <f t="shared" si="347"/>
        <v>3.5139999999999998</v>
      </c>
      <c r="L161" s="400">
        <v>0.3</v>
      </c>
      <c r="M161" s="400"/>
      <c r="N161" s="400"/>
      <c r="O161" s="400"/>
      <c r="P161" s="474">
        <f t="shared" si="350"/>
        <v>918.66</v>
      </c>
      <c r="Q161" s="474">
        <v>17</v>
      </c>
      <c r="R161" s="474">
        <f t="shared" si="348"/>
        <v>15617220</v>
      </c>
      <c r="S161" s="474">
        <f t="shared" si="349"/>
        <v>15617220</v>
      </c>
    </row>
    <row r="162" spans="1:19" s="515" customFormat="1" x14ac:dyDescent="0.25">
      <c r="A162" s="751"/>
      <c r="B162" s="510" t="s">
        <v>718</v>
      </c>
      <c r="C162" s="752"/>
      <c r="D162" s="517">
        <f>SUM(D163:D165)</f>
        <v>1072</v>
      </c>
      <c r="E162" s="517">
        <f t="shared" ref="E162" si="397">SUM(E163:E165)</f>
        <v>1401</v>
      </c>
      <c r="F162" s="517">
        <f t="shared" ref="F162" si="398">SUM(F163:F165)</f>
        <v>0</v>
      </c>
      <c r="G162" s="517">
        <f t="shared" ref="G162" si="399">SUM(G163:G165)</f>
        <v>804</v>
      </c>
      <c r="H162" s="517">
        <f t="shared" ref="H162" si="400">SUM(H163:H165)</f>
        <v>0</v>
      </c>
      <c r="I162" s="517">
        <f t="shared" ref="I162" si="401">SUM(I163:I165)</f>
        <v>804</v>
      </c>
      <c r="J162" s="517">
        <f t="shared" ref="J162" si="402">SUM(J163:J165)</f>
        <v>15.059999999999999</v>
      </c>
      <c r="K162" s="517">
        <f t="shared" ref="K162" si="403">SUM(K163:K165)</f>
        <v>10.290999999999999</v>
      </c>
      <c r="L162" s="517">
        <f t="shared" ref="L162" si="404">SUM(L163:L165)</f>
        <v>0.95000000000000007</v>
      </c>
      <c r="M162" s="517">
        <f t="shared" ref="M162" si="405">SUM(M163:M165)</f>
        <v>0</v>
      </c>
      <c r="N162" s="517">
        <f t="shared" ref="N162" si="406">SUM(N163:N165)</f>
        <v>0</v>
      </c>
      <c r="O162" s="517">
        <f t="shared" ref="O162" si="407">SUM(O163:O165)</f>
        <v>0</v>
      </c>
      <c r="P162" s="517">
        <f t="shared" ref="P162" si="408">SUM(P163:P165)</f>
        <v>1487.9279999999999</v>
      </c>
      <c r="Q162" s="517">
        <f t="shared" ref="Q162" si="409">SUM(Q163:Q165)</f>
        <v>51</v>
      </c>
      <c r="R162" s="517">
        <f t="shared" ref="R162" si="410">SUM(R163:R165)</f>
        <v>25294776</v>
      </c>
      <c r="S162" s="517">
        <f t="shared" ref="S162" si="411">SUM(S163:S165)</f>
        <v>25294776</v>
      </c>
    </row>
    <row r="163" spans="1:19" x14ac:dyDescent="0.25">
      <c r="A163" s="422"/>
      <c r="C163" s="510" t="s">
        <v>713</v>
      </c>
      <c r="D163" s="511">
        <v>412</v>
      </c>
      <c r="E163" s="400">
        <v>1401</v>
      </c>
      <c r="F163" s="510" t="s">
        <v>504</v>
      </c>
      <c r="G163" s="420">
        <v>309</v>
      </c>
      <c r="H163" s="510"/>
      <c r="I163" s="474">
        <f t="shared" si="366"/>
        <v>309</v>
      </c>
      <c r="J163" s="510">
        <v>5.0199999999999996</v>
      </c>
      <c r="K163" s="474">
        <f t="shared" si="347"/>
        <v>2.5099999999999998</v>
      </c>
      <c r="L163" s="514">
        <v>0.5</v>
      </c>
      <c r="M163" s="510"/>
      <c r="N163" s="400"/>
      <c r="O163" s="510"/>
      <c r="P163" s="474">
        <f t="shared" si="350"/>
        <v>775.58999999999992</v>
      </c>
      <c r="Q163" s="474">
        <v>17</v>
      </c>
      <c r="R163" s="474">
        <f t="shared" si="348"/>
        <v>13185029.999999998</v>
      </c>
      <c r="S163" s="474">
        <f t="shared" si="349"/>
        <v>13185029.999999998</v>
      </c>
    </row>
    <row r="164" spans="1:19" x14ac:dyDescent="0.25">
      <c r="A164" s="469"/>
      <c r="B164" s="696"/>
      <c r="C164" s="696"/>
      <c r="D164" s="471">
        <v>601</v>
      </c>
      <c r="E164" s="471"/>
      <c r="F164" s="471" t="s">
        <v>474</v>
      </c>
      <c r="G164" s="474">
        <v>451</v>
      </c>
      <c r="H164" s="474"/>
      <c r="I164" s="474">
        <f t="shared" si="366"/>
        <v>451</v>
      </c>
      <c r="J164" s="474">
        <v>5.0199999999999996</v>
      </c>
      <c r="K164" s="474">
        <f t="shared" si="347"/>
        <v>3.5139999999999998</v>
      </c>
      <c r="L164" s="474">
        <v>0.3</v>
      </c>
      <c r="M164" s="474"/>
      <c r="N164" s="474"/>
      <c r="O164" s="474"/>
      <c r="P164" s="474">
        <f t="shared" si="350"/>
        <v>679.20600000000002</v>
      </c>
      <c r="Q164" s="474">
        <v>17</v>
      </c>
      <c r="R164" s="474">
        <f t="shared" si="348"/>
        <v>11546502</v>
      </c>
      <c r="S164" s="474">
        <f t="shared" si="349"/>
        <v>11546502</v>
      </c>
    </row>
    <row r="165" spans="1:19" x14ac:dyDescent="0.25">
      <c r="A165" s="422"/>
      <c r="B165" s="510"/>
      <c r="C165" s="736" t="s">
        <v>713</v>
      </c>
      <c r="D165" s="511">
        <v>59</v>
      </c>
      <c r="E165" s="400"/>
      <c r="F165" s="510" t="s">
        <v>487</v>
      </c>
      <c r="G165" s="400">
        <v>44</v>
      </c>
      <c r="H165" s="400"/>
      <c r="I165" s="474">
        <f t="shared" si="366"/>
        <v>44</v>
      </c>
      <c r="J165" s="400">
        <v>5.0199999999999996</v>
      </c>
      <c r="K165" s="474">
        <f t="shared" si="347"/>
        <v>4.2669999999999995</v>
      </c>
      <c r="L165" s="400">
        <v>0.15</v>
      </c>
      <c r="M165" s="400"/>
      <c r="N165" s="400"/>
      <c r="O165" s="400"/>
      <c r="P165" s="474">
        <f t="shared" si="350"/>
        <v>33.131999999999998</v>
      </c>
      <c r="Q165" s="474">
        <v>17</v>
      </c>
      <c r="R165" s="474">
        <f t="shared" si="348"/>
        <v>563243.99999999988</v>
      </c>
      <c r="S165" s="474">
        <f t="shared" si="349"/>
        <v>563243.99999999988</v>
      </c>
    </row>
    <row r="166" spans="1:19" s="515" customFormat="1" x14ac:dyDescent="0.25">
      <c r="A166" s="751"/>
      <c r="B166" s="510" t="s">
        <v>719</v>
      </c>
      <c r="C166" s="752"/>
      <c r="D166" s="517">
        <f>SUM(D167:D169)</f>
        <v>480</v>
      </c>
      <c r="E166" s="517">
        <f t="shared" ref="E166" si="412">SUM(E167:E169)</f>
        <v>3380</v>
      </c>
      <c r="F166" s="517">
        <f t="shared" ref="F166" si="413">SUM(F167:F169)</f>
        <v>0</v>
      </c>
      <c r="G166" s="517">
        <f t="shared" ref="G166" si="414">SUM(G167:G169)</f>
        <v>360</v>
      </c>
      <c r="H166" s="517">
        <f t="shared" ref="H166" si="415">SUM(H167:H169)</f>
        <v>0</v>
      </c>
      <c r="I166" s="517">
        <f t="shared" ref="I166" si="416">SUM(I167:I169)</f>
        <v>360</v>
      </c>
      <c r="J166" s="517">
        <f t="shared" ref="J166" si="417">SUM(J167:J169)</f>
        <v>14.52</v>
      </c>
      <c r="K166" s="517">
        <f t="shared" ref="K166" si="418">SUM(K167:K169)</f>
        <v>9.0169999999999995</v>
      </c>
      <c r="L166" s="517">
        <f t="shared" ref="L166" si="419">SUM(L167:L169)</f>
        <v>1.1499999999999999</v>
      </c>
      <c r="M166" s="517">
        <f t="shared" ref="M166" si="420">SUM(M167:M169)</f>
        <v>0</v>
      </c>
      <c r="N166" s="517">
        <f t="shared" ref="N166" si="421">SUM(N167:N169)</f>
        <v>0</v>
      </c>
      <c r="O166" s="517">
        <f t="shared" ref="O166" si="422">SUM(O167:O169)</f>
        <v>0</v>
      </c>
      <c r="P166" s="517">
        <f t="shared" ref="P166" si="423">SUM(P167:P169)</f>
        <v>660.55</v>
      </c>
      <c r="Q166" s="517">
        <f t="shared" ref="Q166" si="424">SUM(Q167:Q169)</f>
        <v>51</v>
      </c>
      <c r="R166" s="517">
        <f t="shared" ref="R166" si="425">SUM(R167:R169)</f>
        <v>11229350</v>
      </c>
      <c r="S166" s="517">
        <f t="shared" ref="S166" si="426">SUM(S167:S169)</f>
        <v>11229350</v>
      </c>
    </row>
    <row r="167" spans="1:19" x14ac:dyDescent="0.25">
      <c r="A167" s="422"/>
      <c r="C167" s="736" t="s">
        <v>713</v>
      </c>
      <c r="D167" s="511">
        <v>147</v>
      </c>
      <c r="E167" s="400">
        <v>2159</v>
      </c>
      <c r="F167" s="510" t="s">
        <v>504</v>
      </c>
      <c r="G167" s="400">
        <v>110</v>
      </c>
      <c r="H167" s="400"/>
      <c r="I167" s="474">
        <f t="shared" si="366"/>
        <v>110</v>
      </c>
      <c r="J167" s="400">
        <v>4.4800000000000004</v>
      </c>
      <c r="K167" s="474">
        <f t="shared" si="347"/>
        <v>2.2400000000000002</v>
      </c>
      <c r="L167" s="400">
        <v>0.5</v>
      </c>
      <c r="M167" s="400"/>
      <c r="N167" s="400"/>
      <c r="O167" s="400"/>
      <c r="P167" s="474">
        <f t="shared" si="350"/>
        <v>246.40000000000003</v>
      </c>
      <c r="Q167" s="474">
        <v>17</v>
      </c>
      <c r="R167" s="474">
        <f t="shared" si="348"/>
        <v>4188800</v>
      </c>
      <c r="S167" s="474">
        <f t="shared" si="349"/>
        <v>4188800</v>
      </c>
    </row>
    <row r="168" spans="1:19" x14ac:dyDescent="0.25">
      <c r="A168" s="422"/>
      <c r="B168" s="510"/>
      <c r="C168" s="736"/>
      <c r="D168" s="511">
        <v>200</v>
      </c>
      <c r="E168" s="400"/>
      <c r="F168" s="510" t="s">
        <v>708</v>
      </c>
      <c r="G168" s="400">
        <v>150</v>
      </c>
      <c r="H168" s="400"/>
      <c r="I168" s="474">
        <f t="shared" si="366"/>
        <v>150</v>
      </c>
      <c r="J168" s="400">
        <v>5.0199999999999996</v>
      </c>
      <c r="K168" s="474">
        <f t="shared" si="347"/>
        <v>3.2629999999999999</v>
      </c>
      <c r="L168" s="400">
        <v>0.35</v>
      </c>
      <c r="M168" s="400"/>
      <c r="N168" s="400"/>
      <c r="O168" s="400"/>
      <c r="P168" s="474">
        <f t="shared" si="350"/>
        <v>263.54999999999995</v>
      </c>
      <c r="Q168" s="474">
        <v>17</v>
      </c>
      <c r="R168" s="474">
        <f t="shared" si="348"/>
        <v>4480349.9999999991</v>
      </c>
      <c r="S168" s="474">
        <f t="shared" si="349"/>
        <v>4480349.9999999991</v>
      </c>
    </row>
    <row r="169" spans="1:19" x14ac:dyDescent="0.25">
      <c r="A169" s="422"/>
      <c r="B169" s="510"/>
      <c r="C169" s="736"/>
      <c r="D169" s="511">
        <v>133</v>
      </c>
      <c r="E169" s="400">
        <v>1221</v>
      </c>
      <c r="F169" s="510" t="s">
        <v>474</v>
      </c>
      <c r="G169" s="400">
        <v>100</v>
      </c>
      <c r="H169" s="400"/>
      <c r="I169" s="474">
        <f t="shared" si="366"/>
        <v>100</v>
      </c>
      <c r="J169" s="400">
        <v>5.0199999999999996</v>
      </c>
      <c r="K169" s="474">
        <f t="shared" si="347"/>
        <v>3.5139999999999998</v>
      </c>
      <c r="L169" s="400">
        <v>0.3</v>
      </c>
      <c r="M169" s="400"/>
      <c r="N169" s="400"/>
      <c r="O169" s="400"/>
      <c r="P169" s="474">
        <f t="shared" si="350"/>
        <v>150.59999999999997</v>
      </c>
      <c r="Q169" s="474">
        <v>17</v>
      </c>
      <c r="R169" s="474">
        <f t="shared" si="348"/>
        <v>2560199.9999999995</v>
      </c>
      <c r="S169" s="474">
        <f t="shared" si="349"/>
        <v>2560199.9999999995</v>
      </c>
    </row>
    <row r="170" spans="1:19" s="515" customFormat="1" x14ac:dyDescent="0.25">
      <c r="A170" s="751"/>
      <c r="B170" s="510" t="s">
        <v>720</v>
      </c>
      <c r="C170" s="752"/>
      <c r="D170" s="517">
        <f>SUM(D171:D173)</f>
        <v>700</v>
      </c>
      <c r="E170" s="517">
        <f t="shared" ref="E170" si="427">SUM(E171:E173)</f>
        <v>1157</v>
      </c>
      <c r="F170" s="517">
        <f t="shared" ref="F170" si="428">SUM(F171:F173)</f>
        <v>0</v>
      </c>
      <c r="G170" s="517">
        <f t="shared" ref="G170" si="429">SUM(G171:G173)</f>
        <v>525</v>
      </c>
      <c r="H170" s="517">
        <f t="shared" ref="H170" si="430">SUM(H171:H173)</f>
        <v>0</v>
      </c>
      <c r="I170" s="517">
        <f t="shared" ref="I170" si="431">SUM(I171:I173)</f>
        <v>525</v>
      </c>
      <c r="J170" s="517">
        <f t="shared" ref="J170" si="432">SUM(J171:J173)</f>
        <v>15.059999999999999</v>
      </c>
      <c r="K170" s="517">
        <f t="shared" ref="K170" si="433">SUM(K171:K173)</f>
        <v>9.286999999999999</v>
      </c>
      <c r="L170" s="517">
        <f t="shared" ref="L170" si="434">SUM(L171:L173)</f>
        <v>1.1499999999999999</v>
      </c>
      <c r="M170" s="517">
        <f t="shared" ref="M170" si="435">SUM(M171:M173)</f>
        <v>0</v>
      </c>
      <c r="N170" s="517">
        <f t="shared" ref="N170" si="436">SUM(N171:N173)</f>
        <v>0</v>
      </c>
      <c r="O170" s="517">
        <f t="shared" ref="O170" si="437">SUM(O171:O173)</f>
        <v>0</v>
      </c>
      <c r="P170" s="517">
        <f t="shared" ref="P170" si="438">SUM(P171:P173)</f>
        <v>857.66699999999992</v>
      </c>
      <c r="Q170" s="517">
        <f t="shared" ref="Q170" si="439">SUM(Q171:Q173)</f>
        <v>51</v>
      </c>
      <c r="R170" s="517">
        <f t="shared" ref="R170" si="440">SUM(R171:R173)</f>
        <v>14580338.999999998</v>
      </c>
      <c r="S170" s="517">
        <f t="shared" ref="S170" si="441">SUM(S171:S173)</f>
        <v>14580338.999999998</v>
      </c>
    </row>
    <row r="171" spans="1:19" x14ac:dyDescent="0.25">
      <c r="A171" s="422"/>
      <c r="C171" s="736" t="s">
        <v>713</v>
      </c>
      <c r="D171" s="511">
        <v>7</v>
      </c>
      <c r="E171" s="400">
        <v>849</v>
      </c>
      <c r="F171" s="510" t="s">
        <v>504</v>
      </c>
      <c r="G171" s="400">
        <v>5</v>
      </c>
      <c r="H171" s="400"/>
      <c r="I171" s="474">
        <f t="shared" si="366"/>
        <v>5</v>
      </c>
      <c r="J171" s="400">
        <v>5.0199999999999996</v>
      </c>
      <c r="K171" s="474">
        <f t="shared" si="347"/>
        <v>2.5099999999999998</v>
      </c>
      <c r="L171" s="400">
        <v>0.5</v>
      </c>
      <c r="M171" s="400"/>
      <c r="N171" s="400"/>
      <c r="O171" s="400"/>
      <c r="P171" s="474">
        <f t="shared" si="350"/>
        <v>12.549999999999999</v>
      </c>
      <c r="Q171" s="474">
        <v>17</v>
      </c>
      <c r="R171" s="474">
        <f t="shared" si="348"/>
        <v>213350</v>
      </c>
      <c r="S171" s="474">
        <f t="shared" si="349"/>
        <v>213350</v>
      </c>
    </row>
    <row r="172" spans="1:19" x14ac:dyDescent="0.25">
      <c r="A172" s="422"/>
      <c r="B172" s="510"/>
      <c r="C172" s="736"/>
      <c r="D172" s="511">
        <v>329</v>
      </c>
      <c r="E172" s="400"/>
      <c r="F172" s="510" t="s">
        <v>714</v>
      </c>
      <c r="G172" s="400">
        <v>247</v>
      </c>
      <c r="H172" s="400"/>
      <c r="I172" s="474">
        <f t="shared" si="366"/>
        <v>247</v>
      </c>
      <c r="J172" s="400">
        <v>5.0199999999999996</v>
      </c>
      <c r="K172" s="474">
        <f t="shared" si="347"/>
        <v>3.2629999999999999</v>
      </c>
      <c r="L172" s="400">
        <v>0.35</v>
      </c>
      <c r="M172" s="400"/>
      <c r="N172" s="400"/>
      <c r="O172" s="400"/>
      <c r="P172" s="474">
        <f t="shared" si="350"/>
        <v>433.97899999999993</v>
      </c>
      <c r="Q172" s="474">
        <v>17</v>
      </c>
      <c r="R172" s="474">
        <f t="shared" si="348"/>
        <v>7377642.9999999991</v>
      </c>
      <c r="S172" s="474">
        <f t="shared" si="349"/>
        <v>7377642.9999999991</v>
      </c>
    </row>
    <row r="173" spans="1:19" x14ac:dyDescent="0.25">
      <c r="A173" s="422"/>
      <c r="B173" s="510"/>
      <c r="C173" s="736"/>
      <c r="D173" s="511">
        <v>364</v>
      </c>
      <c r="E173" s="400">
        <v>308</v>
      </c>
      <c r="F173" s="510" t="s">
        <v>474</v>
      </c>
      <c r="G173" s="400">
        <v>273</v>
      </c>
      <c r="H173" s="400"/>
      <c r="I173" s="474">
        <f t="shared" si="366"/>
        <v>273</v>
      </c>
      <c r="J173" s="400">
        <v>5.0199999999999996</v>
      </c>
      <c r="K173" s="474">
        <f t="shared" si="347"/>
        <v>3.5139999999999998</v>
      </c>
      <c r="L173" s="400">
        <v>0.3</v>
      </c>
      <c r="M173" s="400"/>
      <c r="N173" s="400"/>
      <c r="O173" s="400"/>
      <c r="P173" s="474">
        <f t="shared" si="350"/>
        <v>411.13799999999992</v>
      </c>
      <c r="Q173" s="474">
        <v>17</v>
      </c>
      <c r="R173" s="474">
        <f t="shared" si="348"/>
        <v>6989345.9999999991</v>
      </c>
      <c r="S173" s="474">
        <f t="shared" si="349"/>
        <v>6989345.9999999991</v>
      </c>
    </row>
    <row r="174" spans="1:19" s="515" customFormat="1" x14ac:dyDescent="0.25">
      <c r="A174" s="751"/>
      <c r="B174" s="510" t="s">
        <v>721</v>
      </c>
      <c r="C174" s="752"/>
      <c r="D174" s="517">
        <f>SUM(D175:D177)</f>
        <v>1427</v>
      </c>
      <c r="E174" s="517">
        <f t="shared" ref="E174" si="442">SUM(E175:E177)</f>
        <v>1158</v>
      </c>
      <c r="F174" s="517">
        <f t="shared" ref="F174" si="443">SUM(F175:F177)</f>
        <v>0</v>
      </c>
      <c r="G174" s="517">
        <f t="shared" ref="G174" si="444">SUM(G175:G177)</f>
        <v>1070</v>
      </c>
      <c r="H174" s="517">
        <f t="shared" ref="H174" si="445">SUM(H175:H177)</f>
        <v>0</v>
      </c>
      <c r="I174" s="517">
        <f t="shared" ref="I174" si="446">SUM(I175:I177)</f>
        <v>1070</v>
      </c>
      <c r="J174" s="517">
        <f t="shared" ref="J174" si="447">SUM(J175:J177)</f>
        <v>13.98</v>
      </c>
      <c r="K174" s="517">
        <f t="shared" ref="K174" si="448">SUM(K175:K177)</f>
        <v>8.89</v>
      </c>
      <c r="L174" s="517">
        <f t="shared" ref="L174" si="449">SUM(L175:L177)</f>
        <v>1.1000000000000001</v>
      </c>
      <c r="M174" s="517">
        <f t="shared" ref="M174" si="450">SUM(M175:M177)</f>
        <v>0</v>
      </c>
      <c r="N174" s="517">
        <f t="shared" ref="N174" si="451">SUM(N175:N177)</f>
        <v>0</v>
      </c>
      <c r="O174" s="517">
        <f t="shared" ref="O174" si="452">SUM(O175:O177)</f>
        <v>0</v>
      </c>
      <c r="P174" s="517">
        <f t="shared" ref="P174" si="453">SUM(P175:P177)</f>
        <v>1971.9399999999998</v>
      </c>
      <c r="Q174" s="517">
        <f t="shared" ref="Q174" si="454">SUM(Q175:Q177)</f>
        <v>51</v>
      </c>
      <c r="R174" s="517">
        <f t="shared" ref="R174" si="455">SUM(R175:R177)</f>
        <v>33522980</v>
      </c>
      <c r="S174" s="517">
        <f t="shared" ref="S174" si="456">SUM(S175:S177)</f>
        <v>33522980</v>
      </c>
    </row>
    <row r="175" spans="1:19" x14ac:dyDescent="0.25">
      <c r="A175" s="422"/>
      <c r="C175" s="736" t="s">
        <v>713</v>
      </c>
      <c r="D175" s="511">
        <v>667</v>
      </c>
      <c r="E175" s="400">
        <v>1158</v>
      </c>
      <c r="F175" s="510" t="s">
        <v>504</v>
      </c>
      <c r="G175" s="400">
        <v>500</v>
      </c>
      <c r="H175" s="400"/>
      <c r="I175" s="474">
        <f t="shared" si="366"/>
        <v>500</v>
      </c>
      <c r="J175" s="400">
        <v>4.4800000000000004</v>
      </c>
      <c r="K175" s="474">
        <f t="shared" si="347"/>
        <v>2.2400000000000002</v>
      </c>
      <c r="L175" s="400">
        <v>0.5</v>
      </c>
      <c r="M175" s="400"/>
      <c r="N175" s="400"/>
      <c r="O175" s="400"/>
      <c r="P175" s="474">
        <f t="shared" si="350"/>
        <v>1120</v>
      </c>
      <c r="Q175" s="474">
        <v>17</v>
      </c>
      <c r="R175" s="474">
        <f t="shared" si="348"/>
        <v>19040000</v>
      </c>
      <c r="S175" s="474">
        <f t="shared" si="349"/>
        <v>19040000</v>
      </c>
    </row>
    <row r="176" spans="1:19" x14ac:dyDescent="0.25">
      <c r="A176" s="422"/>
      <c r="B176" s="510"/>
      <c r="C176" s="736" t="s">
        <v>722</v>
      </c>
      <c r="D176" s="511">
        <v>707</v>
      </c>
      <c r="E176" s="400"/>
      <c r="F176" s="510" t="s">
        <v>474</v>
      </c>
      <c r="G176" s="400">
        <v>530</v>
      </c>
      <c r="H176" s="400"/>
      <c r="I176" s="474">
        <f t="shared" si="366"/>
        <v>530</v>
      </c>
      <c r="J176" s="400">
        <v>5.0199999999999996</v>
      </c>
      <c r="K176" s="474">
        <f t="shared" si="347"/>
        <v>3.5139999999999998</v>
      </c>
      <c r="L176" s="400">
        <v>0.3</v>
      </c>
      <c r="M176" s="400"/>
      <c r="N176" s="400"/>
      <c r="O176" s="400"/>
      <c r="P176" s="474">
        <f t="shared" si="350"/>
        <v>798.18</v>
      </c>
      <c r="Q176" s="474">
        <v>17</v>
      </c>
      <c r="R176" s="474">
        <f t="shared" si="348"/>
        <v>13569060</v>
      </c>
      <c r="S176" s="474">
        <f t="shared" si="349"/>
        <v>13569060</v>
      </c>
    </row>
    <row r="177" spans="1:19" x14ac:dyDescent="0.25">
      <c r="A177" s="422"/>
      <c r="B177" s="510"/>
      <c r="C177" s="736" t="s">
        <v>716</v>
      </c>
      <c r="D177" s="511">
        <v>53</v>
      </c>
      <c r="E177" s="400"/>
      <c r="F177" s="510" t="s">
        <v>474</v>
      </c>
      <c r="G177" s="400">
        <v>40</v>
      </c>
      <c r="H177" s="400"/>
      <c r="I177" s="474">
        <f t="shared" si="366"/>
        <v>40</v>
      </c>
      <c r="J177" s="400">
        <v>4.4800000000000004</v>
      </c>
      <c r="K177" s="474">
        <f t="shared" si="347"/>
        <v>3.1360000000000001</v>
      </c>
      <c r="L177" s="400">
        <v>0.3</v>
      </c>
      <c r="M177" s="400"/>
      <c r="N177" s="400"/>
      <c r="O177" s="400"/>
      <c r="P177" s="474">
        <f t="shared" si="350"/>
        <v>53.760000000000005</v>
      </c>
      <c r="Q177" s="474">
        <v>17</v>
      </c>
      <c r="R177" s="474">
        <f t="shared" si="348"/>
        <v>913920.00000000012</v>
      </c>
      <c r="S177" s="474">
        <f t="shared" si="349"/>
        <v>913920.00000000012</v>
      </c>
    </row>
    <row r="178" spans="1:19" s="515" customFormat="1" x14ac:dyDescent="0.25">
      <c r="A178" s="751"/>
      <c r="B178" s="510" t="s">
        <v>723</v>
      </c>
      <c r="C178" s="752"/>
      <c r="D178" s="517">
        <f>SUM(D179:D180)</f>
        <v>2121</v>
      </c>
      <c r="E178" s="517">
        <f t="shared" ref="E178" si="457">SUM(E179:E180)</f>
        <v>2665</v>
      </c>
      <c r="F178" s="517">
        <f t="shared" ref="F178" si="458">SUM(F179:F180)</f>
        <v>0</v>
      </c>
      <c r="G178" s="517">
        <f t="shared" ref="G178" si="459">SUM(G179:G180)</f>
        <v>1591</v>
      </c>
      <c r="H178" s="517">
        <f t="shared" ref="H178" si="460">SUM(H179:H180)</f>
        <v>0</v>
      </c>
      <c r="I178" s="517">
        <f t="shared" ref="I178" si="461">SUM(I179:I180)</f>
        <v>1591</v>
      </c>
      <c r="J178" s="517">
        <f t="shared" ref="J178" si="462">SUM(J179:J180)</f>
        <v>9.5</v>
      </c>
      <c r="K178" s="517">
        <f t="shared" ref="K178" si="463">SUM(K179:K180)</f>
        <v>6.4260000000000002</v>
      </c>
      <c r="L178" s="517">
        <f t="shared" ref="L178" si="464">SUM(L179:L180)</f>
        <v>0.64999999999999991</v>
      </c>
      <c r="M178" s="517">
        <f t="shared" ref="M178" si="465">SUM(M179:M180)</f>
        <v>0</v>
      </c>
      <c r="N178" s="517">
        <f t="shared" ref="N178" si="466">SUM(N179:N180)</f>
        <v>0</v>
      </c>
      <c r="O178" s="517">
        <f t="shared" ref="O178" si="467">SUM(O179:O180)</f>
        <v>0</v>
      </c>
      <c r="P178" s="517">
        <f t="shared" ref="P178" si="468">SUM(P179:P180)</f>
        <v>2426.1779999999999</v>
      </c>
      <c r="Q178" s="517">
        <f t="shared" ref="Q178" si="469">SUM(Q179:Q180)</f>
        <v>34</v>
      </c>
      <c r="R178" s="517">
        <f t="shared" ref="R178" si="470">SUM(R179:R180)</f>
        <v>41245026</v>
      </c>
      <c r="S178" s="517">
        <f t="shared" ref="S178" si="471">SUM(S179:S180)</f>
        <v>41245026</v>
      </c>
    </row>
    <row r="179" spans="1:19" x14ac:dyDescent="0.25">
      <c r="A179" s="422"/>
      <c r="C179" s="736" t="s">
        <v>713</v>
      </c>
      <c r="D179" s="511">
        <v>648</v>
      </c>
      <c r="E179" s="400">
        <v>2665</v>
      </c>
      <c r="F179" s="510" t="s">
        <v>708</v>
      </c>
      <c r="G179" s="400">
        <v>486</v>
      </c>
      <c r="H179" s="400"/>
      <c r="I179" s="474">
        <f t="shared" si="366"/>
        <v>486</v>
      </c>
      <c r="J179" s="400">
        <v>4.4800000000000004</v>
      </c>
      <c r="K179" s="474">
        <f t="shared" si="347"/>
        <v>2.9120000000000004</v>
      </c>
      <c r="L179" s="400">
        <v>0.35</v>
      </c>
      <c r="M179" s="400"/>
      <c r="N179" s="400"/>
      <c r="O179" s="400"/>
      <c r="P179" s="474">
        <f t="shared" si="350"/>
        <v>762.048</v>
      </c>
      <c r="Q179" s="474">
        <v>17</v>
      </c>
      <c r="R179" s="474">
        <f t="shared" si="348"/>
        <v>12954816</v>
      </c>
      <c r="S179" s="474">
        <f t="shared" si="349"/>
        <v>12954816</v>
      </c>
    </row>
    <row r="180" spans="1:19" x14ac:dyDescent="0.25">
      <c r="A180" s="422"/>
      <c r="B180" s="510"/>
      <c r="C180" s="736"/>
      <c r="D180" s="511">
        <v>1473</v>
      </c>
      <c r="E180" s="400"/>
      <c r="F180" s="510" t="s">
        <v>474</v>
      </c>
      <c r="G180" s="400">
        <v>1105</v>
      </c>
      <c r="H180" s="400"/>
      <c r="I180" s="474">
        <f t="shared" si="366"/>
        <v>1105</v>
      </c>
      <c r="J180" s="400">
        <v>5.0199999999999996</v>
      </c>
      <c r="K180" s="474">
        <f t="shared" si="347"/>
        <v>3.5139999999999998</v>
      </c>
      <c r="L180" s="400">
        <v>0.3</v>
      </c>
      <c r="M180" s="400"/>
      <c r="N180" s="400"/>
      <c r="O180" s="400"/>
      <c r="P180" s="474">
        <f t="shared" si="350"/>
        <v>1664.1299999999999</v>
      </c>
      <c r="Q180" s="474">
        <v>17</v>
      </c>
      <c r="R180" s="474">
        <f t="shared" si="348"/>
        <v>28290210</v>
      </c>
      <c r="S180" s="474">
        <f t="shared" si="349"/>
        <v>28290210</v>
      </c>
    </row>
    <row r="181" spans="1:19" s="515" customFormat="1" x14ac:dyDescent="0.25">
      <c r="A181" s="751"/>
      <c r="B181" s="510" t="s">
        <v>724</v>
      </c>
      <c r="C181" s="752"/>
      <c r="D181" s="517">
        <f>SUM(D182:D186)</f>
        <v>2077</v>
      </c>
      <c r="E181" s="517">
        <f t="shared" ref="E181:S181" si="472">SUM(E182:E186)</f>
        <v>1577</v>
      </c>
      <c r="F181" s="517">
        <f t="shared" si="472"/>
        <v>0</v>
      </c>
      <c r="G181" s="517">
        <f t="shared" si="472"/>
        <v>1071</v>
      </c>
      <c r="H181" s="517">
        <f t="shared" si="472"/>
        <v>0</v>
      </c>
      <c r="I181" s="517">
        <f t="shared" si="472"/>
        <v>1071</v>
      </c>
      <c r="J181" s="517">
        <f t="shared" si="472"/>
        <v>22.94</v>
      </c>
      <c r="K181" s="517">
        <f t="shared" si="472"/>
        <v>15.61</v>
      </c>
      <c r="L181" s="517">
        <f t="shared" si="472"/>
        <v>1.6</v>
      </c>
      <c r="M181" s="517">
        <f t="shared" si="472"/>
        <v>0</v>
      </c>
      <c r="N181" s="517">
        <f t="shared" si="472"/>
        <v>0</v>
      </c>
      <c r="O181" s="517">
        <f t="shared" si="472"/>
        <v>0</v>
      </c>
      <c r="P181" s="517">
        <f t="shared" si="472"/>
        <v>1788.94</v>
      </c>
      <c r="Q181" s="517">
        <f t="shared" si="472"/>
        <v>85</v>
      </c>
      <c r="R181" s="517">
        <f t="shared" si="472"/>
        <v>30411980</v>
      </c>
      <c r="S181" s="517">
        <f t="shared" si="472"/>
        <v>30411980</v>
      </c>
    </row>
    <row r="182" spans="1:19" x14ac:dyDescent="0.25">
      <c r="A182" s="422"/>
      <c r="C182" s="736" t="s">
        <v>713</v>
      </c>
      <c r="D182" s="511">
        <v>133</v>
      </c>
      <c r="E182" s="400">
        <v>1577</v>
      </c>
      <c r="F182" s="510" t="s">
        <v>487</v>
      </c>
      <c r="G182" s="400">
        <v>100</v>
      </c>
      <c r="H182" s="400"/>
      <c r="I182" s="474">
        <f t="shared" si="366"/>
        <v>100</v>
      </c>
      <c r="J182" s="400">
        <v>4.4800000000000004</v>
      </c>
      <c r="K182" s="474">
        <f t="shared" si="347"/>
        <v>3.8080000000000003</v>
      </c>
      <c r="L182" s="400">
        <v>0.15</v>
      </c>
      <c r="M182" s="400"/>
      <c r="N182" s="400"/>
      <c r="O182" s="400"/>
      <c r="P182" s="474">
        <f t="shared" si="350"/>
        <v>67.2</v>
      </c>
      <c r="Q182" s="474">
        <v>17</v>
      </c>
      <c r="R182" s="474">
        <f t="shared" si="348"/>
        <v>1142400</v>
      </c>
      <c r="S182" s="474">
        <f t="shared" si="349"/>
        <v>1142400</v>
      </c>
    </row>
    <row r="183" spans="1:19" x14ac:dyDescent="0.25">
      <c r="A183" s="422"/>
      <c r="B183" s="510"/>
      <c r="C183" s="736"/>
      <c r="D183" s="511">
        <v>711</v>
      </c>
      <c r="E183" s="400"/>
      <c r="F183" s="510" t="s">
        <v>725</v>
      </c>
      <c r="G183" s="400">
        <v>355</v>
      </c>
      <c r="H183" s="400"/>
      <c r="I183" s="474">
        <f t="shared" si="366"/>
        <v>355</v>
      </c>
      <c r="J183" s="400">
        <v>4.4800000000000004</v>
      </c>
      <c r="K183" s="474">
        <f t="shared" si="347"/>
        <v>2.2400000000000002</v>
      </c>
      <c r="L183" s="400">
        <v>0.5</v>
      </c>
      <c r="M183" s="400"/>
      <c r="N183" s="400"/>
      <c r="O183" s="400"/>
      <c r="P183" s="474">
        <f t="shared" si="350"/>
        <v>795.2</v>
      </c>
      <c r="Q183" s="474">
        <v>17</v>
      </c>
      <c r="R183" s="474">
        <f t="shared" si="348"/>
        <v>13518400.000000002</v>
      </c>
      <c r="S183" s="474">
        <f t="shared" si="349"/>
        <v>13518400.000000002</v>
      </c>
    </row>
    <row r="184" spans="1:19" x14ac:dyDescent="0.25">
      <c r="A184" s="422"/>
      <c r="B184" s="510"/>
      <c r="C184" s="736"/>
      <c r="D184" s="511">
        <v>225</v>
      </c>
      <c r="E184" s="400"/>
      <c r="F184" s="510" t="s">
        <v>708</v>
      </c>
      <c r="G184" s="400">
        <v>112</v>
      </c>
      <c r="H184" s="400"/>
      <c r="I184" s="474">
        <f t="shared" si="366"/>
        <v>112</v>
      </c>
      <c r="J184" s="400">
        <v>4.4800000000000004</v>
      </c>
      <c r="K184" s="474">
        <f t="shared" si="347"/>
        <v>2.9120000000000004</v>
      </c>
      <c r="L184" s="400">
        <v>0.35</v>
      </c>
      <c r="M184" s="400"/>
      <c r="N184" s="400"/>
      <c r="O184" s="400"/>
      <c r="P184" s="474">
        <f t="shared" si="350"/>
        <v>175.61600000000001</v>
      </c>
      <c r="Q184" s="474">
        <v>17</v>
      </c>
      <c r="R184" s="474">
        <f t="shared" si="348"/>
        <v>2985472</v>
      </c>
      <c r="S184" s="474">
        <f t="shared" si="349"/>
        <v>2985472</v>
      </c>
    </row>
    <row r="185" spans="1:19" x14ac:dyDescent="0.25">
      <c r="A185" s="422"/>
      <c r="B185" s="510"/>
      <c r="C185" s="736"/>
      <c r="D185" s="511">
        <v>908</v>
      </c>
      <c r="E185" s="400"/>
      <c r="F185" s="510" t="s">
        <v>474</v>
      </c>
      <c r="G185" s="400">
        <v>454</v>
      </c>
      <c r="H185" s="400"/>
      <c r="I185" s="474">
        <f t="shared" si="366"/>
        <v>454</v>
      </c>
      <c r="J185" s="400">
        <v>5.0199999999999996</v>
      </c>
      <c r="K185" s="474">
        <f t="shared" si="347"/>
        <v>3.5139999999999998</v>
      </c>
      <c r="L185" s="400">
        <v>0.3</v>
      </c>
      <c r="M185" s="400"/>
      <c r="N185" s="400"/>
      <c r="O185" s="400"/>
      <c r="P185" s="474">
        <f t="shared" si="350"/>
        <v>683.72399999999993</v>
      </c>
      <c r="Q185" s="474">
        <v>17</v>
      </c>
      <c r="R185" s="474">
        <f t="shared" si="348"/>
        <v>11623308</v>
      </c>
      <c r="S185" s="474">
        <f t="shared" si="349"/>
        <v>11623308</v>
      </c>
    </row>
    <row r="186" spans="1:19" x14ac:dyDescent="0.25">
      <c r="A186" s="422"/>
      <c r="B186" s="510"/>
      <c r="C186" s="736"/>
      <c r="D186" s="511">
        <v>100</v>
      </c>
      <c r="E186" s="400"/>
      <c r="F186" s="510" t="s">
        <v>474</v>
      </c>
      <c r="G186" s="400">
        <v>50</v>
      </c>
      <c r="H186" s="400"/>
      <c r="I186" s="474">
        <f t="shared" si="366"/>
        <v>50</v>
      </c>
      <c r="J186" s="400">
        <v>4.4800000000000004</v>
      </c>
      <c r="K186" s="474">
        <f t="shared" si="347"/>
        <v>3.1360000000000001</v>
      </c>
      <c r="L186" s="400">
        <v>0.3</v>
      </c>
      <c r="M186" s="400"/>
      <c r="N186" s="400"/>
      <c r="O186" s="400"/>
      <c r="P186" s="474">
        <f t="shared" si="350"/>
        <v>67.2</v>
      </c>
      <c r="Q186" s="474">
        <v>17</v>
      </c>
      <c r="R186" s="474">
        <f t="shared" si="348"/>
        <v>1142400</v>
      </c>
      <c r="S186" s="474">
        <f t="shared" si="349"/>
        <v>1142400</v>
      </c>
    </row>
    <row r="187" spans="1:19" x14ac:dyDescent="0.25">
      <c r="A187" s="422"/>
      <c r="B187" s="510" t="s">
        <v>726</v>
      </c>
      <c r="C187" s="736" t="s">
        <v>713</v>
      </c>
      <c r="D187" s="511">
        <v>77</v>
      </c>
      <c r="E187" s="400">
        <v>72</v>
      </c>
      <c r="F187" s="510" t="s">
        <v>474</v>
      </c>
      <c r="G187" s="400">
        <v>58</v>
      </c>
      <c r="H187" s="400"/>
      <c r="I187" s="474">
        <f t="shared" si="366"/>
        <v>58</v>
      </c>
      <c r="J187" s="400">
        <v>4.4800000000000004</v>
      </c>
      <c r="K187" s="474">
        <f t="shared" si="347"/>
        <v>3.1360000000000001</v>
      </c>
      <c r="L187" s="400">
        <v>0.3</v>
      </c>
      <c r="M187" s="400"/>
      <c r="N187" s="400"/>
      <c r="O187" s="400"/>
      <c r="P187" s="474">
        <f t="shared" si="350"/>
        <v>77.952000000000012</v>
      </c>
      <c r="Q187" s="474">
        <v>17</v>
      </c>
      <c r="R187" s="474">
        <f t="shared" si="348"/>
        <v>1325184.0000000002</v>
      </c>
      <c r="S187" s="474">
        <f t="shared" si="349"/>
        <v>1325184.0000000002</v>
      </c>
    </row>
    <row r="188" spans="1:19" x14ac:dyDescent="0.25">
      <c r="A188" s="422"/>
      <c r="B188" s="510" t="s">
        <v>727</v>
      </c>
      <c r="C188" s="736" t="s">
        <v>713</v>
      </c>
      <c r="D188" s="511">
        <v>220</v>
      </c>
      <c r="E188" s="400">
        <v>170</v>
      </c>
      <c r="F188" s="510" t="s">
        <v>474</v>
      </c>
      <c r="G188" s="400">
        <v>165</v>
      </c>
      <c r="H188" s="400"/>
      <c r="I188" s="474">
        <f t="shared" si="366"/>
        <v>165</v>
      </c>
      <c r="J188" s="400">
        <v>5.0199999999999996</v>
      </c>
      <c r="K188" s="474">
        <f t="shared" si="347"/>
        <v>3.5139999999999998</v>
      </c>
      <c r="L188" s="400">
        <v>0.3</v>
      </c>
      <c r="M188" s="400"/>
      <c r="N188" s="400"/>
      <c r="O188" s="400"/>
      <c r="P188" s="474">
        <f t="shared" si="350"/>
        <v>248.48999999999998</v>
      </c>
      <c r="Q188" s="474">
        <v>17</v>
      </c>
      <c r="R188" s="474">
        <f t="shared" si="348"/>
        <v>4224330</v>
      </c>
      <c r="S188" s="474">
        <f t="shared" si="349"/>
        <v>4224330</v>
      </c>
    </row>
    <row r="189" spans="1:19" x14ac:dyDescent="0.25">
      <c r="A189" s="422"/>
      <c r="B189" s="510"/>
      <c r="C189" s="736"/>
      <c r="D189" s="511"/>
      <c r="E189" s="400"/>
      <c r="F189" s="510"/>
      <c r="G189" s="400"/>
      <c r="H189" s="400"/>
      <c r="I189" s="400"/>
      <c r="J189" s="400"/>
      <c r="K189" s="400"/>
      <c r="L189" s="400"/>
      <c r="M189" s="400"/>
      <c r="N189" s="400"/>
      <c r="O189" s="400"/>
      <c r="P189" s="474">
        <f t="shared" si="350"/>
        <v>0</v>
      </c>
      <c r="Q189" s="400"/>
      <c r="R189" s="400"/>
      <c r="S189" s="400"/>
    </row>
    <row r="190" spans="1:19" x14ac:dyDescent="0.25">
      <c r="A190" s="732"/>
      <c r="B190" s="733" t="s">
        <v>475</v>
      </c>
      <c r="C190" s="733"/>
      <c r="D190" s="734">
        <f>SUM(D192:D308)</f>
        <v>197054</v>
      </c>
      <c r="E190" s="734">
        <f>SUM(E192:E308)</f>
        <v>1007647</v>
      </c>
      <c r="F190" s="734">
        <f>SUM(F397:F402)</f>
        <v>0</v>
      </c>
      <c r="G190" s="734">
        <f>SUM(G192:G308)</f>
        <v>288039.09999999998</v>
      </c>
      <c r="H190" s="734">
        <f>SUM(H192:H331)</f>
        <v>32998.400000000001</v>
      </c>
      <c r="I190" s="734">
        <f>SUM(I192:I232)</f>
        <v>23540.5</v>
      </c>
      <c r="J190" s="734"/>
      <c r="K190" s="734"/>
      <c r="L190" s="734"/>
      <c r="M190" s="734">
        <f>SUM(M192:M331)</f>
        <v>17827.199999999997</v>
      </c>
      <c r="N190" s="734"/>
      <c r="O190" s="734">
        <f>SUM(O192:O331)</f>
        <v>138801728</v>
      </c>
      <c r="P190" s="734">
        <f>SUM(P192:P331)</f>
        <v>404188.74659999978</v>
      </c>
      <c r="Q190" s="734"/>
      <c r="R190" s="734">
        <f>SUM(R192:R331)</f>
        <v>5876456548.2000008</v>
      </c>
      <c r="S190" s="734">
        <f>SUM(S192:S331)</f>
        <v>6084658516.2000008</v>
      </c>
    </row>
    <row r="191" spans="1:19" s="515" customFormat="1" x14ac:dyDescent="0.25">
      <c r="A191" s="747"/>
      <c r="B191" s="510" t="s">
        <v>728</v>
      </c>
      <c r="C191" s="750"/>
      <c r="D191" s="517">
        <f>SUM(D192:D194)</f>
        <v>990</v>
      </c>
      <c r="E191" s="517">
        <f t="shared" ref="E191" si="473">SUM(E192:E194)</f>
        <v>1553</v>
      </c>
      <c r="F191" s="517">
        <f t="shared" ref="F191" si="474">SUM(F192:F194)</f>
        <v>0</v>
      </c>
      <c r="G191" s="517">
        <f t="shared" ref="G191" si="475">SUM(G192:G194)</f>
        <v>743</v>
      </c>
      <c r="H191" s="517">
        <f t="shared" ref="H191" si="476">SUM(H192:H194)</f>
        <v>0</v>
      </c>
      <c r="I191" s="517">
        <f t="shared" ref="I191" si="477">SUM(I192:I194)</f>
        <v>743</v>
      </c>
      <c r="J191" s="517">
        <f t="shared" ref="J191" si="478">SUM(J192:J194)</f>
        <v>13.98</v>
      </c>
      <c r="K191" s="517">
        <f t="shared" ref="K191" si="479">SUM(K192:K194)</f>
        <v>8.6389999999999993</v>
      </c>
      <c r="L191" s="517">
        <f t="shared" ref="L191" si="480">SUM(L192:L194)</f>
        <v>1.1499999999999999</v>
      </c>
      <c r="M191" s="517">
        <f t="shared" ref="M191" si="481">SUM(M192:M194)</f>
        <v>0</v>
      </c>
      <c r="N191" s="517">
        <f t="shared" ref="N191" si="482">SUM(N192:N194)</f>
        <v>0</v>
      </c>
      <c r="O191" s="517">
        <f t="shared" ref="O191" si="483">SUM(O192:O194)</f>
        <v>0</v>
      </c>
      <c r="P191" s="517">
        <f t="shared" ref="P191" si="484">SUM(P192:P194)</f>
        <v>1248.6950000000002</v>
      </c>
      <c r="Q191" s="517">
        <f t="shared" ref="Q191" si="485">SUM(Q192:Q194)</f>
        <v>51</v>
      </c>
      <c r="R191" s="517">
        <f t="shared" ref="R191" si="486">SUM(R192:R194)</f>
        <v>21227815</v>
      </c>
      <c r="S191" s="517">
        <f t="shared" ref="S191" si="487">SUM(S192:S194)</f>
        <v>21227815</v>
      </c>
    </row>
    <row r="192" spans="1:19" x14ac:dyDescent="0.25">
      <c r="A192" s="422"/>
      <c r="C192" s="736" t="s">
        <v>713</v>
      </c>
      <c r="D192" s="511">
        <v>272</v>
      </c>
      <c r="E192" s="400">
        <v>1553</v>
      </c>
      <c r="F192" s="510" t="s">
        <v>504</v>
      </c>
      <c r="G192" s="400">
        <v>204</v>
      </c>
      <c r="H192" s="400"/>
      <c r="I192" s="474">
        <f t="shared" ref="I192:I232" si="488">G192</f>
        <v>204</v>
      </c>
      <c r="J192" s="400">
        <v>4.4800000000000004</v>
      </c>
      <c r="K192" s="474">
        <f t="shared" ref="K192:K232" si="489">J192-J192*L192</f>
        <v>2.2400000000000002</v>
      </c>
      <c r="L192" s="400">
        <v>0.5</v>
      </c>
      <c r="M192" s="400"/>
      <c r="N192" s="400"/>
      <c r="O192" s="400"/>
      <c r="P192" s="474">
        <f t="shared" si="350"/>
        <v>456.96000000000004</v>
      </c>
      <c r="Q192" s="474">
        <v>17</v>
      </c>
      <c r="R192" s="474">
        <f t="shared" ref="R192:R232" si="490">P192*Q192*1000</f>
        <v>7768320.0000000009</v>
      </c>
      <c r="S192" s="474">
        <f t="shared" ref="S192:S232" si="491">R192</f>
        <v>7768320.0000000009</v>
      </c>
    </row>
    <row r="193" spans="1:19" x14ac:dyDescent="0.25">
      <c r="A193" s="422"/>
      <c r="B193" s="510"/>
      <c r="C193" s="736"/>
      <c r="D193" s="511">
        <v>217</v>
      </c>
      <c r="E193" s="400"/>
      <c r="F193" s="510" t="s">
        <v>708</v>
      </c>
      <c r="G193" s="400">
        <v>163</v>
      </c>
      <c r="H193" s="400"/>
      <c r="I193" s="474">
        <f t="shared" si="488"/>
        <v>163</v>
      </c>
      <c r="J193" s="400">
        <v>5.0199999999999996</v>
      </c>
      <c r="K193" s="474">
        <f t="shared" si="489"/>
        <v>3.2629999999999999</v>
      </c>
      <c r="L193" s="400">
        <v>0.35</v>
      </c>
      <c r="M193" s="400"/>
      <c r="N193" s="400"/>
      <c r="O193" s="400"/>
      <c r="P193" s="474">
        <f t="shared" si="350"/>
        <v>286.39099999999996</v>
      </c>
      <c r="Q193" s="474">
        <v>17</v>
      </c>
      <c r="R193" s="474">
        <f t="shared" si="490"/>
        <v>4868646.9999999991</v>
      </c>
      <c r="S193" s="474">
        <f t="shared" si="491"/>
        <v>4868646.9999999991</v>
      </c>
    </row>
    <row r="194" spans="1:19" x14ac:dyDescent="0.25">
      <c r="A194" s="422"/>
      <c r="B194" s="510"/>
      <c r="C194" s="736"/>
      <c r="D194" s="511">
        <v>501</v>
      </c>
      <c r="E194" s="400"/>
      <c r="F194" s="510" t="s">
        <v>474</v>
      </c>
      <c r="G194" s="400">
        <v>376</v>
      </c>
      <c r="H194" s="400"/>
      <c r="I194" s="474">
        <f t="shared" si="488"/>
        <v>376</v>
      </c>
      <c r="J194" s="400">
        <v>4.4800000000000004</v>
      </c>
      <c r="K194" s="474">
        <f t="shared" si="489"/>
        <v>3.1360000000000001</v>
      </c>
      <c r="L194" s="400">
        <v>0.3</v>
      </c>
      <c r="M194" s="400"/>
      <c r="N194" s="400"/>
      <c r="O194" s="400"/>
      <c r="P194" s="474">
        <f t="shared" si="350"/>
        <v>505.34400000000005</v>
      </c>
      <c r="Q194" s="474">
        <v>17</v>
      </c>
      <c r="R194" s="474">
        <f t="shared" si="490"/>
        <v>8590848.0000000019</v>
      </c>
      <c r="S194" s="474">
        <f t="shared" si="491"/>
        <v>8590848.0000000019</v>
      </c>
    </row>
    <row r="195" spans="1:19" s="515" customFormat="1" x14ac:dyDescent="0.25">
      <c r="A195" s="751"/>
      <c r="B195" s="510" t="s">
        <v>729</v>
      </c>
      <c r="C195" s="752"/>
      <c r="D195" s="517">
        <f>SUM(D196:D202)</f>
        <v>1901</v>
      </c>
      <c r="E195" s="517">
        <f t="shared" ref="E195:S195" si="492">SUM(E196:E202)</f>
        <v>1938</v>
      </c>
      <c r="F195" s="517">
        <f t="shared" si="492"/>
        <v>0</v>
      </c>
      <c r="G195" s="517">
        <f t="shared" si="492"/>
        <v>1426.25</v>
      </c>
      <c r="H195" s="517">
        <f t="shared" si="492"/>
        <v>0</v>
      </c>
      <c r="I195" s="517">
        <f t="shared" si="492"/>
        <v>1426.25</v>
      </c>
      <c r="J195" s="517">
        <f t="shared" si="492"/>
        <v>33.519999999999996</v>
      </c>
      <c r="K195" s="517">
        <f t="shared" si="492"/>
        <v>22.513999999999999</v>
      </c>
      <c r="L195" s="517">
        <f t="shared" si="492"/>
        <v>2.2999999999999998</v>
      </c>
      <c r="M195" s="517">
        <f t="shared" si="492"/>
        <v>0</v>
      </c>
      <c r="N195" s="517">
        <f t="shared" si="492"/>
        <v>0</v>
      </c>
      <c r="O195" s="517">
        <f t="shared" si="492"/>
        <v>0</v>
      </c>
      <c r="P195" s="517">
        <f t="shared" si="492"/>
        <v>2414.6495</v>
      </c>
      <c r="Q195" s="517">
        <f t="shared" si="492"/>
        <v>119</v>
      </c>
      <c r="R195" s="517">
        <f t="shared" si="492"/>
        <v>41049041.5</v>
      </c>
      <c r="S195" s="517">
        <f t="shared" si="492"/>
        <v>41049041.5</v>
      </c>
    </row>
    <row r="196" spans="1:19" x14ac:dyDescent="0.25">
      <c r="A196" s="422"/>
      <c r="C196" s="736" t="s">
        <v>713</v>
      </c>
      <c r="D196" s="511">
        <v>20</v>
      </c>
      <c r="E196" s="400">
        <v>1938</v>
      </c>
      <c r="F196" s="510" t="s">
        <v>487</v>
      </c>
      <c r="G196" s="400">
        <v>15</v>
      </c>
      <c r="H196" s="400"/>
      <c r="I196" s="474">
        <f t="shared" si="488"/>
        <v>15</v>
      </c>
      <c r="J196" s="400">
        <v>5.0199999999999996</v>
      </c>
      <c r="K196" s="474">
        <f t="shared" si="489"/>
        <v>4.2669999999999995</v>
      </c>
      <c r="L196" s="400">
        <v>0.15</v>
      </c>
      <c r="M196" s="400"/>
      <c r="N196" s="400"/>
      <c r="O196" s="400"/>
      <c r="P196" s="474">
        <f t="shared" si="350"/>
        <v>11.295</v>
      </c>
      <c r="Q196" s="474">
        <v>17</v>
      </c>
      <c r="R196" s="474">
        <f t="shared" si="490"/>
        <v>192015</v>
      </c>
      <c r="S196" s="474">
        <f t="shared" si="491"/>
        <v>192015</v>
      </c>
    </row>
    <row r="197" spans="1:19" x14ac:dyDescent="0.25">
      <c r="A197" s="422"/>
      <c r="B197" s="510"/>
      <c r="C197" s="736" t="s">
        <v>716</v>
      </c>
      <c r="D197" s="511">
        <v>84</v>
      </c>
      <c r="E197" s="400"/>
      <c r="F197" s="510" t="s">
        <v>730</v>
      </c>
      <c r="G197" s="400">
        <v>63</v>
      </c>
      <c r="H197" s="400"/>
      <c r="I197" s="474">
        <f t="shared" si="488"/>
        <v>63</v>
      </c>
      <c r="J197" s="400">
        <v>4.4800000000000004</v>
      </c>
      <c r="K197" s="474">
        <f t="shared" si="489"/>
        <v>3.8080000000000003</v>
      </c>
      <c r="L197" s="400">
        <v>0.15</v>
      </c>
      <c r="M197" s="400"/>
      <c r="N197" s="400"/>
      <c r="O197" s="400"/>
      <c r="P197" s="474">
        <f t="shared" si="350"/>
        <v>42.335999999999999</v>
      </c>
      <c r="Q197" s="474">
        <v>17</v>
      </c>
      <c r="R197" s="474">
        <f t="shared" si="490"/>
        <v>719712</v>
      </c>
      <c r="S197" s="474">
        <f t="shared" si="491"/>
        <v>719712</v>
      </c>
    </row>
    <row r="198" spans="1:19" x14ac:dyDescent="0.25">
      <c r="A198" s="422"/>
      <c r="B198" s="510"/>
      <c r="C198" s="736" t="s">
        <v>713</v>
      </c>
      <c r="D198" s="511">
        <v>61</v>
      </c>
      <c r="E198" s="400"/>
      <c r="F198" s="510" t="s">
        <v>504</v>
      </c>
      <c r="G198" s="400">
        <v>46</v>
      </c>
      <c r="H198" s="400"/>
      <c r="I198" s="474">
        <f t="shared" si="488"/>
        <v>46</v>
      </c>
      <c r="J198" s="400">
        <v>5.0199999999999996</v>
      </c>
      <c r="K198" s="474">
        <f t="shared" si="489"/>
        <v>2.5099999999999998</v>
      </c>
      <c r="L198" s="400">
        <v>0.5</v>
      </c>
      <c r="M198" s="400"/>
      <c r="N198" s="400"/>
      <c r="O198" s="400"/>
      <c r="P198" s="400">
        <f t="shared" si="350"/>
        <v>115.46</v>
      </c>
      <c r="Q198" s="474">
        <v>17</v>
      </c>
      <c r="R198" s="474">
        <f t="shared" si="490"/>
        <v>1962820</v>
      </c>
      <c r="S198" s="474">
        <f t="shared" si="491"/>
        <v>1962820</v>
      </c>
    </row>
    <row r="199" spans="1:19" x14ac:dyDescent="0.25">
      <c r="A199" s="422"/>
      <c r="B199" s="510"/>
      <c r="C199" s="736" t="s">
        <v>716</v>
      </c>
      <c r="D199" s="511">
        <v>135</v>
      </c>
      <c r="E199" s="400"/>
      <c r="F199" s="510" t="s">
        <v>707</v>
      </c>
      <c r="G199" s="400">
        <v>101</v>
      </c>
      <c r="H199" s="400"/>
      <c r="I199" s="474">
        <f t="shared" si="488"/>
        <v>101</v>
      </c>
      <c r="J199" s="400">
        <v>4.4800000000000004</v>
      </c>
      <c r="K199" s="474">
        <f t="shared" si="489"/>
        <v>2.2400000000000002</v>
      </c>
      <c r="L199" s="400">
        <v>0.5</v>
      </c>
      <c r="M199" s="400"/>
      <c r="N199" s="400"/>
      <c r="O199" s="400"/>
      <c r="P199" s="400">
        <f t="shared" si="350"/>
        <v>226.24</v>
      </c>
      <c r="Q199" s="474">
        <v>17</v>
      </c>
      <c r="R199" s="474">
        <f t="shared" si="490"/>
        <v>3846080</v>
      </c>
      <c r="S199" s="474">
        <f t="shared" si="491"/>
        <v>3846080</v>
      </c>
    </row>
    <row r="200" spans="1:19" x14ac:dyDescent="0.25">
      <c r="A200" s="422"/>
      <c r="B200" s="510"/>
      <c r="C200" s="736" t="s">
        <v>713</v>
      </c>
      <c r="D200" s="511">
        <v>1072</v>
      </c>
      <c r="E200" s="400"/>
      <c r="F200" s="510" t="s">
        <v>708</v>
      </c>
      <c r="G200" s="400">
        <v>804</v>
      </c>
      <c r="H200" s="400"/>
      <c r="I200" s="474">
        <f t="shared" si="488"/>
        <v>804</v>
      </c>
      <c r="J200" s="400">
        <v>5.0199999999999996</v>
      </c>
      <c r="K200" s="474">
        <f t="shared" si="489"/>
        <v>3.2629999999999999</v>
      </c>
      <c r="L200" s="400">
        <v>0.35</v>
      </c>
      <c r="M200" s="400"/>
      <c r="N200" s="400"/>
      <c r="O200" s="400"/>
      <c r="P200" s="400">
        <f t="shared" si="350"/>
        <v>1412.6279999999997</v>
      </c>
      <c r="Q200" s="474">
        <v>17</v>
      </c>
      <c r="R200" s="474">
        <f t="shared" si="490"/>
        <v>24014675.999999996</v>
      </c>
      <c r="S200" s="474">
        <f t="shared" si="491"/>
        <v>24014675.999999996</v>
      </c>
    </row>
    <row r="201" spans="1:19" x14ac:dyDescent="0.25">
      <c r="A201" s="422"/>
      <c r="B201" s="510"/>
      <c r="C201" s="736" t="s">
        <v>716</v>
      </c>
      <c r="D201" s="511">
        <v>181</v>
      </c>
      <c r="E201" s="400"/>
      <c r="F201" s="510" t="s">
        <v>708</v>
      </c>
      <c r="G201" s="400">
        <v>136</v>
      </c>
      <c r="H201" s="400"/>
      <c r="I201" s="474">
        <f t="shared" si="488"/>
        <v>136</v>
      </c>
      <c r="J201" s="400">
        <v>4.4800000000000004</v>
      </c>
      <c r="K201" s="474">
        <f t="shared" si="489"/>
        <v>2.9120000000000004</v>
      </c>
      <c r="L201" s="400">
        <v>0.35</v>
      </c>
      <c r="M201" s="400"/>
      <c r="N201" s="400"/>
      <c r="O201" s="400"/>
      <c r="P201" s="400">
        <f t="shared" si="350"/>
        <v>213.24800000000002</v>
      </c>
      <c r="Q201" s="474">
        <v>17</v>
      </c>
      <c r="R201" s="474">
        <f t="shared" si="490"/>
        <v>3625216.0000000005</v>
      </c>
      <c r="S201" s="474">
        <f t="shared" si="491"/>
        <v>3625216.0000000005</v>
      </c>
    </row>
    <row r="202" spans="1:19" x14ac:dyDescent="0.25">
      <c r="A202" s="422"/>
      <c r="B202" s="510"/>
      <c r="C202" s="736" t="s">
        <v>713</v>
      </c>
      <c r="D202" s="511">
        <v>348</v>
      </c>
      <c r="E202" s="400"/>
      <c r="F202" s="510" t="s">
        <v>474</v>
      </c>
      <c r="G202" s="400">
        <v>261.25</v>
      </c>
      <c r="H202" s="400"/>
      <c r="I202" s="400">
        <f t="shared" si="488"/>
        <v>261.25</v>
      </c>
      <c r="J202" s="400">
        <v>5.0199999999999996</v>
      </c>
      <c r="K202" s="400">
        <f t="shared" si="489"/>
        <v>3.5139999999999998</v>
      </c>
      <c r="L202" s="400">
        <v>0.3</v>
      </c>
      <c r="M202" s="400"/>
      <c r="N202" s="400"/>
      <c r="O202" s="400"/>
      <c r="P202" s="400">
        <f t="shared" si="350"/>
        <v>393.44249999999994</v>
      </c>
      <c r="Q202" s="400">
        <v>17</v>
      </c>
      <c r="R202" s="400">
        <f t="shared" si="490"/>
        <v>6688522.4999999991</v>
      </c>
      <c r="S202" s="400">
        <f t="shared" si="491"/>
        <v>6688522.4999999991</v>
      </c>
    </row>
    <row r="203" spans="1:19" s="515" customFormat="1" x14ac:dyDescent="0.25">
      <c r="A203" s="751"/>
      <c r="B203" s="510" t="s">
        <v>731</v>
      </c>
      <c r="C203" s="752"/>
      <c r="D203" s="517">
        <f>SUM(D204:D206)</f>
        <v>5958</v>
      </c>
      <c r="E203" s="517">
        <f t="shared" ref="E203" si="493">SUM(E204:E206)</f>
        <v>4151</v>
      </c>
      <c r="F203" s="517">
        <f t="shared" ref="F203" si="494">SUM(F204:F206)</f>
        <v>0</v>
      </c>
      <c r="G203" s="517">
        <f t="shared" ref="G203" si="495">SUM(G204:G206)</f>
        <v>4108</v>
      </c>
      <c r="H203" s="517">
        <f t="shared" ref="H203" si="496">SUM(H204:H206)</f>
        <v>0</v>
      </c>
      <c r="I203" s="517">
        <f t="shared" ref="I203" si="497">SUM(I204:I206)</f>
        <v>4108</v>
      </c>
      <c r="J203" s="517">
        <f t="shared" ref="J203" si="498">SUM(J204:J206)</f>
        <v>14.16</v>
      </c>
      <c r="K203" s="517">
        <f t="shared" ref="K203" si="499">SUM(K204:K206)</f>
        <v>9.9480000000000004</v>
      </c>
      <c r="L203" s="517">
        <f t="shared" ref="L203" si="500">SUM(L204:L206)</f>
        <v>0.9</v>
      </c>
      <c r="M203" s="517">
        <f t="shared" ref="M203" si="501">SUM(M204:M206)</f>
        <v>0</v>
      </c>
      <c r="N203" s="517">
        <f t="shared" ref="N203" si="502">SUM(N204:N206)</f>
        <v>0</v>
      </c>
      <c r="O203" s="517">
        <f t="shared" ref="O203" si="503">SUM(O204:O206)</f>
        <v>0</v>
      </c>
      <c r="P203" s="517">
        <f t="shared" ref="P203" si="504">SUM(P204:P206)</f>
        <v>5276.8280000000004</v>
      </c>
      <c r="Q203" s="517">
        <f t="shared" ref="Q203" si="505">SUM(Q204:Q206)</f>
        <v>51</v>
      </c>
      <c r="R203" s="517">
        <f t="shared" ref="R203" si="506">SUM(R204:R206)</f>
        <v>89706076</v>
      </c>
      <c r="S203" s="517">
        <f t="shared" ref="S203" si="507">SUM(S204:S206)</f>
        <v>89706076</v>
      </c>
    </row>
    <row r="204" spans="1:19" x14ac:dyDescent="0.25">
      <c r="A204" s="422"/>
      <c r="C204" s="736" t="s">
        <v>716</v>
      </c>
      <c r="D204" s="511">
        <v>2472</v>
      </c>
      <c r="E204" s="400">
        <v>3016</v>
      </c>
      <c r="F204" s="510" t="s">
        <v>487</v>
      </c>
      <c r="G204" s="400">
        <v>1854</v>
      </c>
      <c r="H204" s="400"/>
      <c r="I204" s="400">
        <f t="shared" si="488"/>
        <v>1854</v>
      </c>
      <c r="J204" s="400">
        <v>4.4800000000000004</v>
      </c>
      <c r="K204" s="400">
        <f t="shared" si="489"/>
        <v>3.8080000000000003</v>
      </c>
      <c r="L204" s="400">
        <v>0.15</v>
      </c>
      <c r="M204" s="400"/>
      <c r="N204" s="400"/>
      <c r="O204" s="400"/>
      <c r="P204" s="400">
        <f t="shared" si="350"/>
        <v>1245.8879999999999</v>
      </c>
      <c r="Q204" s="400">
        <v>17</v>
      </c>
      <c r="R204" s="400">
        <f t="shared" si="490"/>
        <v>21180095.999999996</v>
      </c>
      <c r="S204" s="400">
        <f t="shared" si="491"/>
        <v>21180095.999999996</v>
      </c>
    </row>
    <row r="205" spans="1:19" x14ac:dyDescent="0.25">
      <c r="A205" s="422"/>
      <c r="B205" s="510"/>
      <c r="C205" s="736" t="s">
        <v>716</v>
      </c>
      <c r="D205" s="511">
        <v>1561</v>
      </c>
      <c r="E205" s="400"/>
      <c r="F205" s="510" t="s">
        <v>504</v>
      </c>
      <c r="G205" s="400">
        <v>1171</v>
      </c>
      <c r="H205" s="400"/>
      <c r="I205" s="400">
        <f t="shared" si="488"/>
        <v>1171</v>
      </c>
      <c r="J205" s="400">
        <v>4.4800000000000004</v>
      </c>
      <c r="K205" s="400">
        <f t="shared" si="489"/>
        <v>2.2400000000000002</v>
      </c>
      <c r="L205" s="400">
        <v>0.5</v>
      </c>
      <c r="M205" s="400"/>
      <c r="N205" s="400"/>
      <c r="O205" s="400"/>
      <c r="P205" s="400">
        <f t="shared" si="350"/>
        <v>2623.0400000000004</v>
      </c>
      <c r="Q205" s="400">
        <v>17</v>
      </c>
      <c r="R205" s="400">
        <f t="shared" si="490"/>
        <v>44591680.000000007</v>
      </c>
      <c r="S205" s="400">
        <f t="shared" si="491"/>
        <v>44591680.000000007</v>
      </c>
    </row>
    <row r="206" spans="1:19" x14ac:dyDescent="0.25">
      <c r="A206" s="422"/>
      <c r="B206" s="510"/>
      <c r="C206" s="736" t="s">
        <v>713</v>
      </c>
      <c r="D206" s="511">
        <v>1925</v>
      </c>
      <c r="E206" s="400">
        <v>1135</v>
      </c>
      <c r="F206" s="510" t="s">
        <v>474</v>
      </c>
      <c r="G206" s="400">
        <v>1083</v>
      </c>
      <c r="H206" s="400"/>
      <c r="I206" s="400">
        <f t="shared" si="488"/>
        <v>1083</v>
      </c>
      <c r="J206" s="400">
        <v>5.2</v>
      </c>
      <c r="K206" s="400">
        <f t="shared" si="489"/>
        <v>3.9000000000000004</v>
      </c>
      <c r="L206" s="400">
        <v>0.25</v>
      </c>
      <c r="M206" s="400"/>
      <c r="N206" s="400"/>
      <c r="O206" s="400"/>
      <c r="P206" s="400">
        <f t="shared" si="350"/>
        <v>1407.9</v>
      </c>
      <c r="Q206" s="400">
        <v>17</v>
      </c>
      <c r="R206" s="400">
        <f t="shared" si="490"/>
        <v>23934300.000000004</v>
      </c>
      <c r="S206" s="400">
        <f t="shared" si="491"/>
        <v>23934300.000000004</v>
      </c>
    </row>
    <row r="207" spans="1:19" s="515" customFormat="1" x14ac:dyDescent="0.25">
      <c r="A207" s="751"/>
      <c r="B207" s="510" t="s">
        <v>732</v>
      </c>
      <c r="C207" s="752"/>
      <c r="D207" s="517">
        <f>SUM(D208:D209)</f>
        <v>664</v>
      </c>
      <c r="E207" s="517">
        <f t="shared" ref="E207" si="508">SUM(E208:E209)</f>
        <v>6690</v>
      </c>
      <c r="F207" s="517">
        <f t="shared" ref="F207" si="509">SUM(F208:F209)</f>
        <v>0</v>
      </c>
      <c r="G207" s="517">
        <f t="shared" ref="G207" si="510">SUM(G208:G209)</f>
        <v>498</v>
      </c>
      <c r="H207" s="517">
        <f t="shared" ref="H207" si="511">SUM(H208:H209)</f>
        <v>0</v>
      </c>
      <c r="I207" s="517">
        <f t="shared" ref="I207" si="512">SUM(I208:I209)</f>
        <v>498</v>
      </c>
      <c r="J207" s="517">
        <f t="shared" ref="J207" si="513">SUM(J208:J209)</f>
        <v>8.9600000000000009</v>
      </c>
      <c r="K207" s="517">
        <f t="shared" ref="K207" si="514">SUM(K208:K209)</f>
        <v>5.3760000000000003</v>
      </c>
      <c r="L207" s="517">
        <f t="shared" ref="L207" si="515">SUM(L208:L209)</f>
        <v>0.8</v>
      </c>
      <c r="M207" s="517">
        <f t="shared" ref="M207" si="516">SUM(M208:M209)</f>
        <v>0</v>
      </c>
      <c r="N207" s="517">
        <f t="shared" ref="N207" si="517">SUM(N208:N209)</f>
        <v>0</v>
      </c>
      <c r="O207" s="517">
        <f t="shared" ref="O207" si="518">SUM(O208:O209)</f>
        <v>0</v>
      </c>
      <c r="P207" s="517">
        <f t="shared" ref="P207" si="519">SUM(P208:P209)</f>
        <v>970.36800000000017</v>
      </c>
      <c r="Q207" s="517">
        <f t="shared" ref="Q207" si="520">SUM(Q208:Q209)</f>
        <v>34</v>
      </c>
      <c r="R207" s="517">
        <f t="shared" ref="R207" si="521">SUM(R208:R209)</f>
        <v>16496256.000000002</v>
      </c>
      <c r="S207" s="517">
        <f t="shared" ref="S207" si="522">SUM(S208:S209)</f>
        <v>16496256.000000002</v>
      </c>
    </row>
    <row r="208" spans="1:19" x14ac:dyDescent="0.25">
      <c r="A208" s="422"/>
      <c r="C208" s="736" t="s">
        <v>716</v>
      </c>
      <c r="D208" s="511">
        <v>448</v>
      </c>
      <c r="E208" s="400">
        <v>6690</v>
      </c>
      <c r="F208" s="510" t="s">
        <v>504</v>
      </c>
      <c r="G208" s="400">
        <v>336</v>
      </c>
      <c r="H208" s="400"/>
      <c r="I208" s="400">
        <f t="shared" si="488"/>
        <v>336</v>
      </c>
      <c r="J208" s="400">
        <v>4.4800000000000004</v>
      </c>
      <c r="K208" s="400">
        <f t="shared" si="489"/>
        <v>2.2400000000000002</v>
      </c>
      <c r="L208" s="400">
        <v>0.5</v>
      </c>
      <c r="M208" s="400"/>
      <c r="N208" s="400"/>
      <c r="O208" s="400"/>
      <c r="P208" s="400">
        <f t="shared" si="350"/>
        <v>752.6400000000001</v>
      </c>
      <c r="Q208" s="400">
        <v>17</v>
      </c>
      <c r="R208" s="400">
        <f t="shared" si="490"/>
        <v>12794880.000000002</v>
      </c>
      <c r="S208" s="400">
        <f t="shared" si="491"/>
        <v>12794880.000000002</v>
      </c>
    </row>
    <row r="209" spans="1:19" x14ac:dyDescent="0.25">
      <c r="A209" s="422"/>
      <c r="B209" s="510"/>
      <c r="C209" s="510" t="s">
        <v>716</v>
      </c>
      <c r="D209" s="511">
        <v>216</v>
      </c>
      <c r="E209" s="400"/>
      <c r="F209" s="510" t="s">
        <v>474</v>
      </c>
      <c r="G209" s="420">
        <v>162</v>
      </c>
      <c r="H209" s="510"/>
      <c r="I209" s="510">
        <f t="shared" si="488"/>
        <v>162</v>
      </c>
      <c r="J209" s="510">
        <v>4.4800000000000004</v>
      </c>
      <c r="K209" s="400">
        <f t="shared" si="489"/>
        <v>3.1360000000000001</v>
      </c>
      <c r="L209" s="514">
        <v>0.3</v>
      </c>
      <c r="M209" s="510"/>
      <c r="N209" s="400"/>
      <c r="O209" s="510"/>
      <c r="P209" s="513">
        <f t="shared" si="350"/>
        <v>217.72800000000004</v>
      </c>
      <c r="Q209" s="400">
        <v>17</v>
      </c>
      <c r="R209" s="400">
        <f t="shared" si="490"/>
        <v>3701376.0000000005</v>
      </c>
      <c r="S209" s="400">
        <f t="shared" si="491"/>
        <v>3701376.0000000005</v>
      </c>
    </row>
    <row r="210" spans="1:19" s="515" customFormat="1" x14ac:dyDescent="0.25">
      <c r="A210" s="751"/>
      <c r="B210" s="753" t="s">
        <v>733</v>
      </c>
      <c r="C210" s="516"/>
      <c r="D210" s="517">
        <f>SUM(D211:D212)</f>
        <v>1000</v>
      </c>
      <c r="E210" s="517">
        <f t="shared" ref="E210" si="523">SUM(E211:E212)</f>
        <v>1459</v>
      </c>
      <c r="F210" s="517">
        <f t="shared" ref="F210" si="524">SUM(F211:F212)</f>
        <v>0</v>
      </c>
      <c r="G210" s="517">
        <f t="shared" ref="G210" si="525">SUM(G211:G212)</f>
        <v>750</v>
      </c>
      <c r="H210" s="517">
        <f t="shared" ref="H210" si="526">SUM(H211:H212)</f>
        <v>0</v>
      </c>
      <c r="I210" s="517">
        <f t="shared" ref="I210" si="527">SUM(I211:I212)</f>
        <v>750</v>
      </c>
      <c r="J210" s="517">
        <f t="shared" ref="J210" si="528">SUM(J211:J212)</f>
        <v>10.039999999999999</v>
      </c>
      <c r="K210" s="517">
        <f t="shared" ref="K210" si="529">SUM(K211:K212)</f>
        <v>6.0239999999999991</v>
      </c>
      <c r="L210" s="517">
        <f t="shared" ref="L210" si="530">SUM(L211:L212)</f>
        <v>0.8</v>
      </c>
      <c r="M210" s="517">
        <f t="shared" ref="M210" si="531">SUM(M211:M212)</f>
        <v>0</v>
      </c>
      <c r="N210" s="517">
        <f t="shared" ref="N210" si="532">SUM(N211:N212)</f>
        <v>0</v>
      </c>
      <c r="O210" s="517">
        <f t="shared" ref="O210" si="533">SUM(O211:O212)</f>
        <v>0</v>
      </c>
      <c r="P210" s="517">
        <f t="shared" ref="P210" si="534">SUM(P211:P212)</f>
        <v>1430.6999999999998</v>
      </c>
      <c r="Q210" s="517">
        <f t="shared" ref="Q210" si="535">SUM(Q211:Q212)</f>
        <v>34</v>
      </c>
      <c r="R210" s="517">
        <f t="shared" ref="R210" si="536">SUM(R211:R212)</f>
        <v>24321900</v>
      </c>
      <c r="S210" s="517">
        <f t="shared" ref="S210" si="537">SUM(S211:S212)</f>
        <v>24321900</v>
      </c>
    </row>
    <row r="211" spans="1:19" x14ac:dyDescent="0.25">
      <c r="A211" s="422"/>
      <c r="C211" s="753" t="s">
        <v>713</v>
      </c>
      <c r="D211" s="754">
        <v>400</v>
      </c>
      <c r="E211" s="400">
        <v>506</v>
      </c>
      <c r="F211" s="753" t="s">
        <v>504</v>
      </c>
      <c r="G211" s="420">
        <v>300</v>
      </c>
      <c r="H211" s="753"/>
      <c r="I211" s="753">
        <f t="shared" si="488"/>
        <v>300</v>
      </c>
      <c r="J211" s="753">
        <v>5.0199999999999996</v>
      </c>
      <c r="K211" s="400">
        <f t="shared" si="489"/>
        <v>2.5099999999999998</v>
      </c>
      <c r="L211" s="755">
        <v>0.5</v>
      </c>
      <c r="M211" s="753"/>
      <c r="N211" s="400"/>
      <c r="O211" s="753"/>
      <c r="P211" s="756">
        <f t="shared" si="350"/>
        <v>752.99999999999989</v>
      </c>
      <c r="Q211" s="400">
        <v>17</v>
      </c>
      <c r="R211" s="400">
        <f t="shared" si="490"/>
        <v>12800999.999999998</v>
      </c>
      <c r="S211" s="400">
        <f t="shared" si="491"/>
        <v>12800999.999999998</v>
      </c>
    </row>
    <row r="212" spans="1:19" x14ac:dyDescent="0.25">
      <c r="A212" s="422"/>
      <c r="B212" s="510"/>
      <c r="C212" s="510"/>
      <c r="D212" s="511">
        <v>600</v>
      </c>
      <c r="E212" s="400">
        <v>953</v>
      </c>
      <c r="F212" s="510" t="s">
        <v>474</v>
      </c>
      <c r="G212" s="420">
        <v>450</v>
      </c>
      <c r="H212" s="510"/>
      <c r="I212" s="510">
        <f t="shared" si="488"/>
        <v>450</v>
      </c>
      <c r="J212" s="510">
        <v>5.0199999999999996</v>
      </c>
      <c r="K212" s="400">
        <f t="shared" si="489"/>
        <v>3.5139999999999998</v>
      </c>
      <c r="L212" s="514">
        <v>0.3</v>
      </c>
      <c r="M212" s="510"/>
      <c r="N212" s="400"/>
      <c r="O212" s="510"/>
      <c r="P212" s="513">
        <f t="shared" si="350"/>
        <v>677.69999999999993</v>
      </c>
      <c r="Q212" s="400">
        <v>17</v>
      </c>
      <c r="R212" s="400">
        <f t="shared" si="490"/>
        <v>11520900</v>
      </c>
      <c r="S212" s="400">
        <f t="shared" si="491"/>
        <v>11520900</v>
      </c>
    </row>
    <row r="213" spans="1:19" s="515" customFormat="1" x14ac:dyDescent="0.25">
      <c r="A213" s="751"/>
      <c r="B213" s="510" t="s">
        <v>734</v>
      </c>
      <c r="C213" s="516"/>
      <c r="D213" s="517">
        <f>SUM(D214:D216)</f>
        <v>393</v>
      </c>
      <c r="E213" s="517">
        <f t="shared" ref="E213" si="538">SUM(E214:E216)</f>
        <v>443</v>
      </c>
      <c r="F213" s="517">
        <f t="shared" ref="F213" si="539">SUM(F214:F216)</f>
        <v>0</v>
      </c>
      <c r="G213" s="517">
        <f t="shared" ref="G213" si="540">SUM(G214:G216)</f>
        <v>295</v>
      </c>
      <c r="H213" s="517">
        <f t="shared" ref="H213" si="541">SUM(H214:H216)</f>
        <v>0</v>
      </c>
      <c r="I213" s="517">
        <f t="shared" ref="I213" si="542">SUM(I214:I216)</f>
        <v>295</v>
      </c>
      <c r="J213" s="517">
        <f t="shared" ref="J213" si="543">SUM(J214:J216)</f>
        <v>13.98</v>
      </c>
      <c r="K213" s="517">
        <f t="shared" ref="K213" si="544">SUM(K214:K216)</f>
        <v>8.6389999999999993</v>
      </c>
      <c r="L213" s="517">
        <f t="shared" ref="L213" si="545">SUM(L214:L216)</f>
        <v>1.1499999999999999</v>
      </c>
      <c r="M213" s="517">
        <f t="shared" ref="M213" si="546">SUM(M214:M216)</f>
        <v>0</v>
      </c>
      <c r="N213" s="517">
        <f t="shared" ref="N213" si="547">SUM(N214:N216)</f>
        <v>0</v>
      </c>
      <c r="O213" s="517">
        <f t="shared" ref="O213" si="548">SUM(O214:O216)</f>
        <v>0</v>
      </c>
      <c r="P213" s="517">
        <f t="shared" ref="P213" si="549">SUM(P214:P216)</f>
        <v>506.50599999999997</v>
      </c>
      <c r="Q213" s="517">
        <f t="shared" ref="Q213" si="550">SUM(Q214:Q216)</f>
        <v>51</v>
      </c>
      <c r="R213" s="517">
        <f t="shared" ref="R213" si="551">SUM(R214:R216)</f>
        <v>8610602</v>
      </c>
      <c r="S213" s="517">
        <f t="shared" ref="S213" si="552">SUM(S214:S216)</f>
        <v>8610602</v>
      </c>
    </row>
    <row r="214" spans="1:19" x14ac:dyDescent="0.25">
      <c r="A214" s="422"/>
      <c r="C214" s="510" t="s">
        <v>713</v>
      </c>
      <c r="D214" s="511">
        <v>113</v>
      </c>
      <c r="E214" s="400">
        <v>148</v>
      </c>
      <c r="F214" s="510" t="s">
        <v>504</v>
      </c>
      <c r="G214" s="420">
        <v>85</v>
      </c>
      <c r="H214" s="510"/>
      <c r="I214" s="510">
        <f t="shared" si="488"/>
        <v>85</v>
      </c>
      <c r="J214" s="510">
        <v>4.4800000000000004</v>
      </c>
      <c r="K214" s="400">
        <f t="shared" si="489"/>
        <v>2.2400000000000002</v>
      </c>
      <c r="L214" s="514">
        <v>0.5</v>
      </c>
      <c r="M214" s="510"/>
      <c r="N214" s="400"/>
      <c r="O214" s="510"/>
      <c r="P214" s="513">
        <f t="shared" si="350"/>
        <v>190.4</v>
      </c>
      <c r="Q214" s="400">
        <v>17</v>
      </c>
      <c r="R214" s="400">
        <f t="shared" si="490"/>
        <v>3236800</v>
      </c>
      <c r="S214" s="400">
        <f t="shared" si="491"/>
        <v>3236800</v>
      </c>
    </row>
    <row r="215" spans="1:19" x14ac:dyDescent="0.25">
      <c r="A215" s="422"/>
      <c r="B215" s="510"/>
      <c r="C215" s="510"/>
      <c r="D215" s="511">
        <v>109</v>
      </c>
      <c r="E215" s="400"/>
      <c r="F215" s="510" t="s">
        <v>708</v>
      </c>
      <c r="G215" s="420">
        <v>82</v>
      </c>
      <c r="H215" s="510"/>
      <c r="I215" s="510">
        <f t="shared" si="488"/>
        <v>82</v>
      </c>
      <c r="J215" s="510">
        <v>5.0199999999999996</v>
      </c>
      <c r="K215" s="400">
        <f t="shared" si="489"/>
        <v>3.2629999999999999</v>
      </c>
      <c r="L215" s="514">
        <v>0.35</v>
      </c>
      <c r="M215" s="510"/>
      <c r="N215" s="400"/>
      <c r="O215" s="510"/>
      <c r="P215" s="513">
        <f t="shared" si="350"/>
        <v>144.07399999999998</v>
      </c>
      <c r="Q215" s="400">
        <v>17</v>
      </c>
      <c r="R215" s="400">
        <f t="shared" si="490"/>
        <v>2449258</v>
      </c>
      <c r="S215" s="400">
        <f t="shared" si="491"/>
        <v>2449258</v>
      </c>
    </row>
    <row r="216" spans="1:19" x14ac:dyDescent="0.25">
      <c r="A216" s="422"/>
      <c r="B216" s="510"/>
      <c r="C216" s="510"/>
      <c r="D216" s="511">
        <v>171</v>
      </c>
      <c r="E216" s="400">
        <v>295</v>
      </c>
      <c r="F216" s="510" t="s">
        <v>474</v>
      </c>
      <c r="G216" s="420">
        <v>128</v>
      </c>
      <c r="H216" s="510"/>
      <c r="I216" s="510">
        <f t="shared" si="488"/>
        <v>128</v>
      </c>
      <c r="J216" s="510">
        <v>4.4800000000000004</v>
      </c>
      <c r="K216" s="400">
        <f t="shared" si="489"/>
        <v>3.1360000000000001</v>
      </c>
      <c r="L216" s="514">
        <v>0.3</v>
      </c>
      <c r="M216" s="510"/>
      <c r="N216" s="400"/>
      <c r="O216" s="510"/>
      <c r="P216" s="513">
        <f t="shared" si="350"/>
        <v>172.03200000000001</v>
      </c>
      <c r="Q216" s="400">
        <v>17</v>
      </c>
      <c r="R216" s="400">
        <f t="shared" si="490"/>
        <v>2924544.0000000005</v>
      </c>
      <c r="S216" s="400">
        <f t="shared" si="491"/>
        <v>2924544.0000000005</v>
      </c>
    </row>
    <row r="217" spans="1:19" s="515" customFormat="1" x14ac:dyDescent="0.25">
      <c r="A217" s="751"/>
      <c r="B217" s="510" t="s">
        <v>735</v>
      </c>
      <c r="C217" s="516"/>
      <c r="D217" s="517">
        <f>SUM(D218:D220)</f>
        <v>1812</v>
      </c>
      <c r="E217" s="517">
        <f t="shared" ref="E217" si="553">SUM(E218:E220)</f>
        <v>2129</v>
      </c>
      <c r="F217" s="517">
        <f t="shared" ref="F217" si="554">SUM(F218:F220)</f>
        <v>0</v>
      </c>
      <c r="G217" s="517">
        <f t="shared" ref="G217" si="555">SUM(G218:G220)</f>
        <v>2109</v>
      </c>
      <c r="H217" s="517">
        <f t="shared" ref="H217" si="556">SUM(H218:H220)</f>
        <v>0</v>
      </c>
      <c r="I217" s="517">
        <f t="shared" ref="I217" si="557">SUM(I218:I220)</f>
        <v>2109</v>
      </c>
      <c r="J217" s="517">
        <f t="shared" ref="J217" si="558">SUM(J218:J220)</f>
        <v>13.98</v>
      </c>
      <c r="K217" s="517">
        <f t="shared" ref="K217" si="559">SUM(K218:K220)</f>
        <v>8.6660000000000004</v>
      </c>
      <c r="L217" s="517">
        <f t="shared" ref="L217" si="560">SUM(L218:L220)</f>
        <v>1.1499999999999999</v>
      </c>
      <c r="M217" s="517">
        <f t="shared" ref="M217" si="561">SUM(M218:M220)</f>
        <v>0</v>
      </c>
      <c r="N217" s="517">
        <f t="shared" ref="N217" si="562">SUM(N218:N220)</f>
        <v>0</v>
      </c>
      <c r="O217" s="517">
        <f t="shared" ref="O217" si="563">SUM(O218:O220)</f>
        <v>0</v>
      </c>
      <c r="P217" s="517">
        <f t="shared" ref="P217" si="564">SUM(P218:P220)</f>
        <v>3676.9</v>
      </c>
      <c r="Q217" s="517">
        <f t="shared" ref="Q217" si="565">SUM(Q218:Q220)</f>
        <v>51</v>
      </c>
      <c r="R217" s="517">
        <f t="shared" ref="R217" si="566">SUM(R218:R220)</f>
        <v>62507300</v>
      </c>
      <c r="S217" s="517">
        <f t="shared" ref="S217" si="567">SUM(S218:S220)</f>
        <v>62507300</v>
      </c>
    </row>
    <row r="218" spans="1:19" x14ac:dyDescent="0.25">
      <c r="A218" s="422"/>
      <c r="C218" s="510" t="s">
        <v>716</v>
      </c>
      <c r="D218" s="511">
        <v>839</v>
      </c>
      <c r="E218" s="400">
        <v>2129</v>
      </c>
      <c r="F218" s="510" t="s">
        <v>504</v>
      </c>
      <c r="G218" s="420">
        <v>629</v>
      </c>
      <c r="H218" s="510"/>
      <c r="I218" s="510">
        <f t="shared" si="488"/>
        <v>629</v>
      </c>
      <c r="J218" s="510">
        <v>4.4800000000000004</v>
      </c>
      <c r="K218" s="400">
        <f t="shared" si="489"/>
        <v>2.2400000000000002</v>
      </c>
      <c r="L218" s="514">
        <v>0.5</v>
      </c>
      <c r="M218" s="510"/>
      <c r="N218" s="400"/>
      <c r="O218" s="510"/>
      <c r="P218" s="513">
        <f t="shared" si="350"/>
        <v>1408.96</v>
      </c>
      <c r="Q218" s="400">
        <v>17</v>
      </c>
      <c r="R218" s="400">
        <f t="shared" si="490"/>
        <v>23952320</v>
      </c>
      <c r="S218" s="400">
        <f t="shared" si="491"/>
        <v>23952320</v>
      </c>
    </row>
    <row r="219" spans="1:19" x14ac:dyDescent="0.25">
      <c r="A219" s="422"/>
      <c r="B219" s="510"/>
      <c r="C219" s="510" t="s">
        <v>716</v>
      </c>
      <c r="D219" s="511">
        <v>840</v>
      </c>
      <c r="E219" s="400"/>
      <c r="F219" s="510" t="s">
        <v>714</v>
      </c>
      <c r="G219" s="420">
        <v>630</v>
      </c>
      <c r="H219" s="510"/>
      <c r="I219" s="510">
        <f t="shared" si="488"/>
        <v>630</v>
      </c>
      <c r="J219" s="510">
        <v>4.4800000000000004</v>
      </c>
      <c r="K219" s="400">
        <f t="shared" si="489"/>
        <v>2.9120000000000004</v>
      </c>
      <c r="L219" s="514">
        <v>0.35</v>
      </c>
      <c r="M219" s="510"/>
      <c r="N219" s="400"/>
      <c r="O219" s="510"/>
      <c r="P219" s="513">
        <f t="shared" si="350"/>
        <v>987.83999999999992</v>
      </c>
      <c r="Q219" s="400">
        <v>17</v>
      </c>
      <c r="R219" s="400">
        <f t="shared" si="490"/>
        <v>16793280</v>
      </c>
      <c r="S219" s="400">
        <f t="shared" si="491"/>
        <v>16793280</v>
      </c>
    </row>
    <row r="220" spans="1:19" x14ac:dyDescent="0.25">
      <c r="A220" s="422"/>
      <c r="B220" s="510"/>
      <c r="C220" s="510" t="s">
        <v>713</v>
      </c>
      <c r="D220" s="511">
        <v>133</v>
      </c>
      <c r="E220" s="400"/>
      <c r="F220" s="510" t="s">
        <v>717</v>
      </c>
      <c r="G220" s="420">
        <v>850</v>
      </c>
      <c r="H220" s="510"/>
      <c r="I220" s="510">
        <f t="shared" si="488"/>
        <v>850</v>
      </c>
      <c r="J220" s="510">
        <v>5.0199999999999996</v>
      </c>
      <c r="K220" s="400">
        <f t="shared" si="489"/>
        <v>3.5139999999999998</v>
      </c>
      <c r="L220" s="514">
        <v>0.3</v>
      </c>
      <c r="M220" s="510"/>
      <c r="N220" s="400"/>
      <c r="O220" s="510"/>
      <c r="P220" s="513">
        <f t="shared" si="350"/>
        <v>1280.0999999999999</v>
      </c>
      <c r="Q220" s="400">
        <v>17</v>
      </c>
      <c r="R220" s="400">
        <f t="shared" si="490"/>
        <v>21761699.999999996</v>
      </c>
      <c r="S220" s="400">
        <f t="shared" si="491"/>
        <v>21761699.999999996</v>
      </c>
    </row>
    <row r="221" spans="1:19" s="515" customFormat="1" x14ac:dyDescent="0.25">
      <c r="A221" s="751"/>
      <c r="B221" s="510" t="s">
        <v>736</v>
      </c>
      <c r="C221" s="516"/>
      <c r="D221" s="517">
        <f>SUM(D222:D223)</f>
        <v>3000</v>
      </c>
      <c r="E221" s="517">
        <f t="shared" ref="E221" si="568">SUM(E222:E223)</f>
        <v>1485</v>
      </c>
      <c r="F221" s="517">
        <f t="shared" ref="F221" si="569">SUM(F222:F223)</f>
        <v>0</v>
      </c>
      <c r="G221" s="517">
        <f t="shared" ref="G221" si="570">SUM(G222:G223)</f>
        <v>1197</v>
      </c>
      <c r="H221" s="517">
        <f t="shared" ref="H221" si="571">SUM(H222:H223)</f>
        <v>0</v>
      </c>
      <c r="I221" s="517">
        <f t="shared" ref="I221" si="572">SUM(I222:I223)</f>
        <v>1197</v>
      </c>
      <c r="J221" s="517">
        <f t="shared" ref="J221" si="573">SUM(J222:J223)</f>
        <v>8.9600000000000009</v>
      </c>
      <c r="K221" s="517">
        <f t="shared" ref="K221" si="574">SUM(K222:K223)</f>
        <v>5.3760000000000003</v>
      </c>
      <c r="L221" s="517">
        <f t="shared" ref="L221" si="575">SUM(L222:L223)</f>
        <v>0.8</v>
      </c>
      <c r="M221" s="517">
        <f t="shared" ref="M221" si="576">SUM(M222:M223)</f>
        <v>0</v>
      </c>
      <c r="N221" s="517">
        <f t="shared" ref="N221" si="577">SUM(N222:N223)</f>
        <v>0</v>
      </c>
      <c r="O221" s="517">
        <f t="shared" ref="O221" si="578">SUM(O222:O223)</f>
        <v>0</v>
      </c>
      <c r="P221" s="517">
        <f t="shared" ref="P221" si="579">SUM(P222:P223)</f>
        <v>1967.1680000000001</v>
      </c>
      <c r="Q221" s="517">
        <f t="shared" ref="Q221" si="580">SUM(Q222:Q223)</f>
        <v>34</v>
      </c>
      <c r="R221" s="517">
        <f t="shared" ref="R221" si="581">SUM(R222:R223)</f>
        <v>33441856.000000007</v>
      </c>
      <c r="S221" s="517">
        <f t="shared" ref="S221" si="582">SUM(S222:S223)</f>
        <v>33441856.000000007</v>
      </c>
    </row>
    <row r="222" spans="1:19" x14ac:dyDescent="0.25">
      <c r="A222" s="422"/>
      <c r="C222" s="510" t="s">
        <v>716</v>
      </c>
      <c r="D222" s="511">
        <v>1160</v>
      </c>
      <c r="E222" s="400">
        <v>1485</v>
      </c>
      <c r="F222" s="510" t="s">
        <v>504</v>
      </c>
      <c r="G222" s="420">
        <v>400</v>
      </c>
      <c r="H222" s="510"/>
      <c r="I222" s="510">
        <f t="shared" si="488"/>
        <v>400</v>
      </c>
      <c r="J222" s="510">
        <v>4.4800000000000004</v>
      </c>
      <c r="K222" s="400">
        <f t="shared" si="489"/>
        <v>2.2400000000000002</v>
      </c>
      <c r="L222" s="514">
        <v>0.5</v>
      </c>
      <c r="M222" s="510"/>
      <c r="N222" s="400"/>
      <c r="O222" s="510"/>
      <c r="P222" s="513">
        <f t="shared" si="350"/>
        <v>896.00000000000011</v>
      </c>
      <c r="Q222" s="400">
        <v>17</v>
      </c>
      <c r="R222" s="400">
        <f t="shared" si="490"/>
        <v>15232000.000000002</v>
      </c>
      <c r="S222" s="400">
        <f t="shared" si="491"/>
        <v>15232000.000000002</v>
      </c>
    </row>
    <row r="223" spans="1:19" x14ac:dyDescent="0.25">
      <c r="A223" s="422"/>
      <c r="B223" s="510"/>
      <c r="C223" s="510" t="s">
        <v>716</v>
      </c>
      <c r="D223" s="511">
        <v>1840</v>
      </c>
      <c r="E223" s="400"/>
      <c r="F223" s="510" t="s">
        <v>474</v>
      </c>
      <c r="G223" s="420">
        <v>797</v>
      </c>
      <c r="H223" s="510"/>
      <c r="I223" s="510">
        <f t="shared" si="488"/>
        <v>797</v>
      </c>
      <c r="J223" s="510">
        <v>4.4800000000000004</v>
      </c>
      <c r="K223" s="400">
        <f t="shared" si="489"/>
        <v>3.1360000000000001</v>
      </c>
      <c r="L223" s="514">
        <v>0.3</v>
      </c>
      <c r="M223" s="510"/>
      <c r="N223" s="400"/>
      <c r="O223" s="510"/>
      <c r="P223" s="513">
        <f t="shared" si="350"/>
        <v>1071.1680000000001</v>
      </c>
      <c r="Q223" s="400">
        <v>17</v>
      </c>
      <c r="R223" s="400">
        <f t="shared" si="490"/>
        <v>18209856.000000004</v>
      </c>
      <c r="S223" s="400">
        <f t="shared" si="491"/>
        <v>18209856.000000004</v>
      </c>
    </row>
    <row r="224" spans="1:19" s="515" customFormat="1" x14ac:dyDescent="0.25">
      <c r="A224" s="751"/>
      <c r="B224" s="510" t="s">
        <v>737</v>
      </c>
      <c r="C224" s="516"/>
      <c r="D224" s="517">
        <f>SUM(D225:D228)</f>
        <v>1071</v>
      </c>
      <c r="E224" s="517">
        <f t="shared" ref="E224:S224" si="583">SUM(E225:E228)</f>
        <v>2323</v>
      </c>
      <c r="F224" s="517">
        <f t="shared" si="583"/>
        <v>0</v>
      </c>
      <c r="G224" s="517">
        <f t="shared" si="583"/>
        <v>803</v>
      </c>
      <c r="H224" s="517">
        <f t="shared" si="583"/>
        <v>0</v>
      </c>
      <c r="I224" s="517">
        <f t="shared" si="583"/>
        <v>803</v>
      </c>
      <c r="J224" s="517">
        <f t="shared" si="583"/>
        <v>19</v>
      </c>
      <c r="K224" s="517">
        <f t="shared" si="583"/>
        <v>11.399999999999999</v>
      </c>
      <c r="L224" s="517">
        <f t="shared" si="583"/>
        <v>1.6</v>
      </c>
      <c r="M224" s="517">
        <f t="shared" si="583"/>
        <v>0</v>
      </c>
      <c r="N224" s="517">
        <f t="shared" si="583"/>
        <v>0</v>
      </c>
      <c r="O224" s="517">
        <f t="shared" si="583"/>
        <v>0</v>
      </c>
      <c r="P224" s="517">
        <f t="shared" si="583"/>
        <v>1680.1139999999998</v>
      </c>
      <c r="Q224" s="517">
        <f t="shared" si="583"/>
        <v>68</v>
      </c>
      <c r="R224" s="517">
        <f t="shared" si="583"/>
        <v>28561938</v>
      </c>
      <c r="S224" s="517">
        <f t="shared" si="583"/>
        <v>28561938</v>
      </c>
    </row>
    <row r="225" spans="1:19" x14ac:dyDescent="0.25">
      <c r="A225" s="422"/>
      <c r="C225" s="510" t="s">
        <v>713</v>
      </c>
      <c r="D225" s="511">
        <v>187</v>
      </c>
      <c r="E225" s="400">
        <v>2323</v>
      </c>
      <c r="F225" s="510" t="s">
        <v>504</v>
      </c>
      <c r="G225" s="420">
        <v>140</v>
      </c>
      <c r="H225" s="510"/>
      <c r="I225" s="510">
        <f t="shared" si="488"/>
        <v>140</v>
      </c>
      <c r="J225" s="510">
        <v>5.0199999999999996</v>
      </c>
      <c r="K225" s="400">
        <f t="shared" si="489"/>
        <v>3.5139999999999998</v>
      </c>
      <c r="L225" s="514">
        <v>0.3</v>
      </c>
      <c r="M225" s="510"/>
      <c r="N225" s="400"/>
      <c r="O225" s="510"/>
      <c r="P225" s="513">
        <f t="shared" si="350"/>
        <v>210.83999999999997</v>
      </c>
      <c r="Q225" s="400">
        <v>17</v>
      </c>
      <c r="R225" s="400">
        <f t="shared" si="490"/>
        <v>3584279.9999999995</v>
      </c>
      <c r="S225" s="400">
        <f t="shared" si="491"/>
        <v>3584279.9999999995</v>
      </c>
    </row>
    <row r="226" spans="1:19" x14ac:dyDescent="0.25">
      <c r="A226" s="422"/>
      <c r="B226" s="510"/>
      <c r="C226" s="510" t="s">
        <v>716</v>
      </c>
      <c r="D226" s="511">
        <v>64</v>
      </c>
      <c r="E226" s="400"/>
      <c r="F226" s="510" t="s">
        <v>504</v>
      </c>
      <c r="G226" s="420">
        <v>48</v>
      </c>
      <c r="H226" s="510"/>
      <c r="I226" s="510">
        <f t="shared" si="488"/>
        <v>48</v>
      </c>
      <c r="J226" s="510">
        <v>4.4800000000000004</v>
      </c>
      <c r="K226" s="400">
        <f t="shared" si="489"/>
        <v>2.2400000000000002</v>
      </c>
      <c r="L226" s="514">
        <v>0.5</v>
      </c>
      <c r="M226" s="510"/>
      <c r="N226" s="400"/>
      <c r="O226" s="510"/>
      <c r="P226" s="513">
        <f t="shared" si="350"/>
        <v>107.52000000000001</v>
      </c>
      <c r="Q226" s="400">
        <v>17</v>
      </c>
      <c r="R226" s="400">
        <f t="shared" si="490"/>
        <v>1827840.0000000002</v>
      </c>
      <c r="S226" s="400">
        <f t="shared" si="491"/>
        <v>1827840.0000000002</v>
      </c>
    </row>
    <row r="227" spans="1:19" x14ac:dyDescent="0.25">
      <c r="A227" s="422"/>
      <c r="B227" s="510"/>
      <c r="C227" s="510" t="s">
        <v>713</v>
      </c>
      <c r="D227" s="511">
        <v>612</v>
      </c>
      <c r="E227" s="400"/>
      <c r="F227" s="510" t="s">
        <v>474</v>
      </c>
      <c r="G227" s="420">
        <v>459</v>
      </c>
      <c r="H227" s="510"/>
      <c r="I227" s="510">
        <f t="shared" si="488"/>
        <v>459</v>
      </c>
      <c r="J227" s="510">
        <v>5.0199999999999996</v>
      </c>
      <c r="K227" s="400">
        <f t="shared" si="489"/>
        <v>2.5099999999999998</v>
      </c>
      <c r="L227" s="514">
        <v>0.5</v>
      </c>
      <c r="M227" s="510"/>
      <c r="N227" s="400"/>
      <c r="O227" s="510"/>
      <c r="P227" s="513">
        <f t="shared" si="350"/>
        <v>1152.0899999999999</v>
      </c>
      <c r="Q227" s="400">
        <v>17</v>
      </c>
      <c r="R227" s="400">
        <f t="shared" si="490"/>
        <v>19585530</v>
      </c>
      <c r="S227" s="400">
        <f t="shared" si="491"/>
        <v>19585530</v>
      </c>
    </row>
    <row r="228" spans="1:19" x14ac:dyDescent="0.25">
      <c r="A228" s="422"/>
      <c r="B228" s="510"/>
      <c r="C228" s="510" t="s">
        <v>716</v>
      </c>
      <c r="D228" s="511">
        <v>208</v>
      </c>
      <c r="E228" s="400"/>
      <c r="F228" s="510" t="s">
        <v>474</v>
      </c>
      <c r="G228" s="420">
        <v>156</v>
      </c>
      <c r="H228" s="510"/>
      <c r="I228" s="510">
        <f t="shared" si="488"/>
        <v>156</v>
      </c>
      <c r="J228" s="510">
        <v>4.4800000000000004</v>
      </c>
      <c r="K228" s="400">
        <f t="shared" si="489"/>
        <v>3.1360000000000001</v>
      </c>
      <c r="L228" s="514">
        <v>0.3</v>
      </c>
      <c r="M228" s="510"/>
      <c r="N228" s="400"/>
      <c r="O228" s="510"/>
      <c r="P228" s="513">
        <f t="shared" si="350"/>
        <v>209.66400000000002</v>
      </c>
      <c r="Q228" s="400">
        <v>17</v>
      </c>
      <c r="R228" s="400">
        <f t="shared" si="490"/>
        <v>3564288.0000000005</v>
      </c>
      <c r="S228" s="400">
        <f t="shared" si="491"/>
        <v>3564288.0000000005</v>
      </c>
    </row>
    <row r="229" spans="1:19" s="515" customFormat="1" x14ac:dyDescent="0.25">
      <c r="A229" s="751"/>
      <c r="B229" s="510" t="s">
        <v>655</v>
      </c>
      <c r="C229" s="516"/>
      <c r="D229" s="517">
        <f>SUM(D230:D231)</f>
        <v>240</v>
      </c>
      <c r="E229" s="517">
        <f t="shared" ref="E229" si="584">SUM(E230:E231)</f>
        <v>1162</v>
      </c>
      <c r="F229" s="517">
        <f t="shared" ref="F229" si="585">SUM(F230:F231)</f>
        <v>0</v>
      </c>
      <c r="G229" s="517">
        <f t="shared" ref="G229" si="586">SUM(G230:G231)</f>
        <v>180</v>
      </c>
      <c r="H229" s="517">
        <f t="shared" ref="H229" si="587">SUM(H230:H231)</f>
        <v>0</v>
      </c>
      <c r="I229" s="517">
        <f t="shared" ref="I229" si="588">SUM(I230:I231)</f>
        <v>180</v>
      </c>
      <c r="J229" s="517">
        <f t="shared" ref="J229" si="589">SUM(J230:J231)</f>
        <v>10.039999999999999</v>
      </c>
      <c r="K229" s="517">
        <f t="shared" ref="K229" si="590">SUM(K230:K231)</f>
        <v>6.7769999999999992</v>
      </c>
      <c r="L229" s="517">
        <f t="shared" ref="L229" si="591">SUM(L230:L231)</f>
        <v>0.64999999999999991</v>
      </c>
      <c r="M229" s="517">
        <f t="shared" ref="M229" si="592">SUM(M230:M231)</f>
        <v>0</v>
      </c>
      <c r="N229" s="517">
        <f t="shared" ref="N229" si="593">SUM(N230:N231)</f>
        <v>0</v>
      </c>
      <c r="O229" s="517">
        <f t="shared" ref="O229" si="594">SUM(O230:O231)</f>
        <v>0</v>
      </c>
      <c r="P229" s="517">
        <f t="shared" ref="P229" si="595">SUM(P230:P231)</f>
        <v>311.23999999999995</v>
      </c>
      <c r="Q229" s="517">
        <f t="shared" ref="Q229" si="596">SUM(Q230:Q231)</f>
        <v>34</v>
      </c>
      <c r="R229" s="517">
        <f t="shared" ref="R229" si="597">SUM(R230:R231)</f>
        <v>5291079.9999999991</v>
      </c>
      <c r="S229" s="517">
        <f t="shared" ref="S229" si="598">SUM(S230:S231)</f>
        <v>5291079.9999999991</v>
      </c>
    </row>
    <row r="230" spans="1:19" x14ac:dyDescent="0.25">
      <c r="A230" s="422"/>
      <c r="C230" s="510" t="s">
        <v>713</v>
      </c>
      <c r="D230" s="511">
        <v>27</v>
      </c>
      <c r="E230" s="400">
        <v>1162</v>
      </c>
      <c r="F230" s="510" t="s">
        <v>504</v>
      </c>
      <c r="G230" s="420">
        <v>20</v>
      </c>
      <c r="H230" s="510"/>
      <c r="I230" s="510">
        <f t="shared" si="488"/>
        <v>20</v>
      </c>
      <c r="J230" s="510">
        <v>5.0199999999999996</v>
      </c>
      <c r="K230" s="400">
        <f t="shared" si="489"/>
        <v>3.5139999999999998</v>
      </c>
      <c r="L230" s="514">
        <v>0.3</v>
      </c>
      <c r="M230" s="510"/>
      <c r="N230" s="400"/>
      <c r="O230" s="510"/>
      <c r="P230" s="513">
        <f t="shared" si="350"/>
        <v>30.119999999999997</v>
      </c>
      <c r="Q230" s="400">
        <v>17</v>
      </c>
      <c r="R230" s="400">
        <f t="shared" si="490"/>
        <v>512039.99999999994</v>
      </c>
      <c r="S230" s="400">
        <f t="shared" si="491"/>
        <v>512039.99999999994</v>
      </c>
    </row>
    <row r="231" spans="1:19" x14ac:dyDescent="0.25">
      <c r="A231" s="422"/>
      <c r="B231" s="510"/>
      <c r="C231" s="510" t="s">
        <v>713</v>
      </c>
      <c r="D231" s="511">
        <v>213</v>
      </c>
      <c r="E231" s="400"/>
      <c r="F231" s="510" t="s">
        <v>497</v>
      </c>
      <c r="G231" s="420">
        <v>160</v>
      </c>
      <c r="H231" s="510"/>
      <c r="I231" s="510">
        <f t="shared" si="488"/>
        <v>160</v>
      </c>
      <c r="J231" s="510">
        <v>5.0199999999999996</v>
      </c>
      <c r="K231" s="400">
        <f t="shared" si="489"/>
        <v>3.2629999999999999</v>
      </c>
      <c r="L231" s="514">
        <v>0.35</v>
      </c>
      <c r="M231" s="510"/>
      <c r="N231" s="400"/>
      <c r="O231" s="510"/>
      <c r="P231" s="513">
        <f t="shared" si="350"/>
        <v>281.11999999999995</v>
      </c>
      <c r="Q231" s="400">
        <v>17</v>
      </c>
      <c r="R231" s="400">
        <f t="shared" si="490"/>
        <v>4779039.9999999991</v>
      </c>
      <c r="S231" s="400">
        <f t="shared" si="491"/>
        <v>4779039.9999999991</v>
      </c>
    </row>
    <row r="232" spans="1:19" x14ac:dyDescent="0.25">
      <c r="A232" s="422"/>
      <c r="B232" s="510" t="s">
        <v>738</v>
      </c>
      <c r="C232" s="510" t="s">
        <v>713</v>
      </c>
      <c r="D232" s="511">
        <v>87</v>
      </c>
      <c r="E232" s="400">
        <v>630</v>
      </c>
      <c r="F232" s="510" t="s">
        <v>474</v>
      </c>
      <c r="G232" s="420">
        <v>65</v>
      </c>
      <c r="H232" s="510"/>
      <c r="I232" s="510">
        <f t="shared" si="488"/>
        <v>65</v>
      </c>
      <c r="J232" s="510">
        <v>5.0199999999999996</v>
      </c>
      <c r="K232" s="400">
        <f t="shared" si="489"/>
        <v>3.5139999999999998</v>
      </c>
      <c r="L232" s="514">
        <v>0.3</v>
      </c>
      <c r="M232" s="510"/>
      <c r="N232" s="400"/>
      <c r="O232" s="510"/>
      <c r="P232" s="513">
        <f t="shared" si="350"/>
        <v>97.889999999999986</v>
      </c>
      <c r="Q232" s="400">
        <v>17</v>
      </c>
      <c r="R232" s="400">
        <f t="shared" si="490"/>
        <v>1664129.9999999998</v>
      </c>
      <c r="S232" s="400">
        <f t="shared" si="491"/>
        <v>1664129.9999999998</v>
      </c>
    </row>
    <row r="233" spans="1:19" x14ac:dyDescent="0.25">
      <c r="A233" s="422"/>
      <c r="B233" s="510"/>
      <c r="C233" s="510"/>
      <c r="D233" s="511"/>
      <c r="E233" s="400"/>
      <c r="F233" s="510"/>
      <c r="G233" s="420"/>
      <c r="H233" s="510"/>
      <c r="I233" s="510"/>
      <c r="J233" s="510"/>
      <c r="K233" s="400"/>
      <c r="L233" s="514"/>
      <c r="M233" s="510"/>
      <c r="N233" s="400"/>
      <c r="O233" s="510"/>
      <c r="P233" s="513"/>
      <c r="Q233" s="510"/>
      <c r="R233" s="400"/>
      <c r="S233" s="400"/>
    </row>
    <row r="234" spans="1:19" x14ac:dyDescent="0.25">
      <c r="A234" s="428"/>
      <c r="B234" s="429" t="s">
        <v>271</v>
      </c>
      <c r="C234" s="429"/>
      <c r="D234" s="430"/>
      <c r="E234" s="430"/>
      <c r="F234" s="430"/>
      <c r="G234" s="432">
        <f>SUM(G235)</f>
        <v>87911.2</v>
      </c>
      <c r="H234" s="432"/>
      <c r="I234" s="432">
        <f t="shared" ref="I234" si="599">SUM(I235)</f>
        <v>71556.000000000015</v>
      </c>
      <c r="J234" s="432"/>
      <c r="K234" s="432"/>
      <c r="L234" s="432"/>
      <c r="M234" s="432"/>
      <c r="N234" s="432"/>
      <c r="O234" s="432"/>
      <c r="P234" s="432">
        <f>SUM(P235)</f>
        <v>121944.27070000004</v>
      </c>
      <c r="Q234" s="432"/>
      <c r="R234" s="432">
        <f>SUM(R235)</f>
        <v>1741468553.9000001</v>
      </c>
      <c r="S234" s="432">
        <f>SUM(S235)</f>
        <v>1810869209.9000001</v>
      </c>
    </row>
    <row r="235" spans="1:19" x14ac:dyDescent="0.25">
      <c r="A235" s="732"/>
      <c r="B235" s="733" t="s">
        <v>471</v>
      </c>
      <c r="C235" s="733"/>
      <c r="D235" s="734">
        <f>SUM(D237:D343)</f>
        <v>81868</v>
      </c>
      <c r="E235" s="734">
        <f>SUM(E237:E343)</f>
        <v>477029</v>
      </c>
      <c r="F235" s="734">
        <f>SUM(F432:F437)</f>
        <v>0</v>
      </c>
      <c r="G235" s="734">
        <f>SUM(G237:G343)</f>
        <v>87911.2</v>
      </c>
      <c r="H235" s="734">
        <f>SUM(H237:H366)</f>
        <v>16499.2</v>
      </c>
      <c r="I235" s="734">
        <f>SUM(I237:I343)</f>
        <v>71556.000000000015</v>
      </c>
      <c r="J235" s="734"/>
      <c r="K235" s="734"/>
      <c r="L235" s="734"/>
      <c r="M235" s="734">
        <f>SUM(M237:M366)</f>
        <v>8913.6</v>
      </c>
      <c r="N235" s="734">
        <f ca="1">SUM(N235:N237)</f>
        <v>0</v>
      </c>
      <c r="O235" s="734">
        <f>SUM(O237:O366)</f>
        <v>69400864</v>
      </c>
      <c r="P235" s="734">
        <f>SUM(P237:P366)</f>
        <v>121944.27070000004</v>
      </c>
      <c r="Q235" s="734"/>
      <c r="R235" s="734">
        <f>SUM(R237:R366)</f>
        <v>1741468553.9000001</v>
      </c>
      <c r="S235" s="734">
        <f>SUM(S237:S366)</f>
        <v>1810869209.9000001</v>
      </c>
    </row>
    <row r="236" spans="1:19" s="515" customFormat="1" x14ac:dyDescent="0.25">
      <c r="A236" s="747"/>
      <c r="B236" s="383" t="s">
        <v>279</v>
      </c>
      <c r="C236" s="750"/>
      <c r="D236" s="517">
        <f>SUM(D237:D239)</f>
        <v>163</v>
      </c>
      <c r="E236" s="517">
        <f t="shared" ref="E236" si="600">SUM(E237:E239)</f>
        <v>7846</v>
      </c>
      <c r="F236" s="517">
        <f t="shared" ref="F236" si="601">SUM(F237:F239)</f>
        <v>0</v>
      </c>
      <c r="G236" s="517">
        <f t="shared" ref="G236" si="602">SUM(G237:G239)</f>
        <v>765</v>
      </c>
      <c r="H236" s="517">
        <f t="shared" ref="H236" si="603">SUM(H237:H239)</f>
        <v>0</v>
      </c>
      <c r="I236" s="517">
        <f t="shared" ref="I236" si="604">SUM(I237:I239)</f>
        <v>765</v>
      </c>
      <c r="J236" s="517">
        <f t="shared" ref="J236" si="605">SUM(J237:J239)</f>
        <v>14.190000000000001</v>
      </c>
      <c r="K236" s="517">
        <f t="shared" ref="K236" si="606">SUM(K237:K239)</f>
        <v>12.298000000000002</v>
      </c>
      <c r="L236" s="517">
        <f t="shared" ref="L236" si="607">SUM(L237:L239)</f>
        <v>0.4</v>
      </c>
      <c r="M236" s="517">
        <f t="shared" ref="M236" si="608">SUM(M237:M239)</f>
        <v>0</v>
      </c>
      <c r="N236" s="517">
        <f t="shared" ref="N236" si="609">SUM(N237:N239)</f>
        <v>0</v>
      </c>
      <c r="O236" s="517">
        <f t="shared" ref="O236" si="610">SUM(O237:O239)</f>
        <v>0</v>
      </c>
      <c r="P236" s="517">
        <f t="shared" ref="P236" si="611">SUM(P237:P239)</f>
        <v>540.40250000000003</v>
      </c>
      <c r="Q236" s="517">
        <f t="shared" ref="Q236" si="612">SUM(Q237:Q239)</f>
        <v>51</v>
      </c>
      <c r="R236" s="517">
        <f t="shared" ref="R236" si="613">SUM(R237:R239)</f>
        <v>9186842.5</v>
      </c>
      <c r="S236" s="517">
        <f t="shared" ref="S236" si="614">SUM(S237:S239)</f>
        <v>9186842.5</v>
      </c>
    </row>
    <row r="237" spans="1:19" x14ac:dyDescent="0.25">
      <c r="A237" s="422"/>
      <c r="C237" s="510" t="s">
        <v>473</v>
      </c>
      <c r="D237" s="511">
        <v>163</v>
      </c>
      <c r="E237" s="400">
        <v>50</v>
      </c>
      <c r="F237" s="510" t="s">
        <v>539</v>
      </c>
      <c r="G237" s="420">
        <v>5</v>
      </c>
      <c r="H237" s="510"/>
      <c r="I237" s="510">
        <f t="shared" ref="I237:I251" si="615">G237</f>
        <v>5</v>
      </c>
      <c r="J237" s="510">
        <v>4.7300000000000004</v>
      </c>
      <c r="K237" s="400">
        <f t="shared" ref="K237:K251" si="616">J237-J237*L237</f>
        <v>4.0205000000000002</v>
      </c>
      <c r="L237" s="514">
        <v>0.15</v>
      </c>
      <c r="M237" s="510"/>
      <c r="N237" s="400"/>
      <c r="O237" s="510"/>
      <c r="P237" s="513">
        <f t="shared" ref="P237:P251" si="617">G237*J237*L237</f>
        <v>3.5475000000000003</v>
      </c>
      <c r="Q237" s="400">
        <v>17</v>
      </c>
      <c r="R237" s="400">
        <f t="shared" ref="R237:R251" si="618">P237*Q237*1000</f>
        <v>60307.500000000007</v>
      </c>
      <c r="S237" s="400">
        <f t="shared" ref="S237:S251" si="619">R237</f>
        <v>60307.500000000007</v>
      </c>
    </row>
    <row r="238" spans="1:19" x14ac:dyDescent="0.25">
      <c r="A238" s="422"/>
      <c r="B238" s="510"/>
      <c r="C238" s="510"/>
      <c r="D238" s="511"/>
      <c r="E238" s="400">
        <v>92</v>
      </c>
      <c r="F238" s="510" t="s">
        <v>586</v>
      </c>
      <c r="G238" s="420">
        <v>750</v>
      </c>
      <c r="H238" s="510"/>
      <c r="I238" s="510">
        <f t="shared" si="615"/>
        <v>750</v>
      </c>
      <c r="J238" s="510">
        <v>4.7300000000000004</v>
      </c>
      <c r="K238" s="400">
        <f t="shared" si="616"/>
        <v>4.0205000000000002</v>
      </c>
      <c r="L238" s="514">
        <v>0.15</v>
      </c>
      <c r="M238" s="510"/>
      <c r="N238" s="400"/>
      <c r="O238" s="510"/>
      <c r="P238" s="513">
        <f t="shared" si="617"/>
        <v>532.125</v>
      </c>
      <c r="Q238" s="400">
        <v>17</v>
      </c>
      <c r="R238" s="400">
        <f t="shared" si="618"/>
        <v>9046125</v>
      </c>
      <c r="S238" s="400">
        <f t="shared" si="619"/>
        <v>9046125</v>
      </c>
    </row>
    <row r="239" spans="1:19" x14ac:dyDescent="0.25">
      <c r="A239" s="422"/>
      <c r="B239" s="510"/>
      <c r="C239" s="510"/>
      <c r="D239" s="511"/>
      <c r="E239" s="400">
        <v>7704</v>
      </c>
      <c r="F239" s="510" t="s">
        <v>474</v>
      </c>
      <c r="G239" s="420">
        <v>10</v>
      </c>
      <c r="H239" s="510"/>
      <c r="I239" s="510">
        <f t="shared" si="615"/>
        <v>10</v>
      </c>
      <c r="J239" s="510">
        <v>4.7300000000000004</v>
      </c>
      <c r="K239" s="400">
        <f t="shared" si="616"/>
        <v>4.2570000000000006</v>
      </c>
      <c r="L239" s="514">
        <v>0.1</v>
      </c>
      <c r="M239" s="510"/>
      <c r="N239" s="400"/>
      <c r="O239" s="510"/>
      <c r="P239" s="513">
        <f t="shared" si="617"/>
        <v>4.7300000000000004</v>
      </c>
      <c r="Q239" s="400">
        <v>17</v>
      </c>
      <c r="R239" s="400">
        <f t="shared" si="618"/>
        <v>80410.000000000015</v>
      </c>
      <c r="S239" s="400">
        <f t="shared" si="619"/>
        <v>80410.000000000015</v>
      </c>
    </row>
    <row r="240" spans="1:19" s="515" customFormat="1" x14ac:dyDescent="0.25">
      <c r="A240" s="751"/>
      <c r="B240" s="510" t="s">
        <v>618</v>
      </c>
      <c r="C240" s="516"/>
      <c r="D240" s="517">
        <f>SUM(D241:D242)</f>
        <v>685</v>
      </c>
      <c r="E240" s="517">
        <f t="shared" ref="E240" si="620">SUM(E241:E242)</f>
        <v>304</v>
      </c>
      <c r="F240" s="517">
        <f t="shared" ref="F240" si="621">SUM(F241:F242)</f>
        <v>0</v>
      </c>
      <c r="G240" s="517">
        <f t="shared" ref="G240" si="622">SUM(G241:G242)</f>
        <v>435</v>
      </c>
      <c r="H240" s="517">
        <f t="shared" ref="H240" si="623">SUM(H241:H242)</f>
        <v>0</v>
      </c>
      <c r="I240" s="517">
        <f t="shared" ref="I240" si="624">SUM(I241:I242)</f>
        <v>435</v>
      </c>
      <c r="J240" s="517">
        <f t="shared" ref="J240" si="625">SUM(J241:J242)</f>
        <v>9.4600000000000009</v>
      </c>
      <c r="K240" s="517">
        <f t="shared" ref="K240" si="626">SUM(K241:K242)</f>
        <v>6.1490000000000009</v>
      </c>
      <c r="L240" s="517">
        <f t="shared" ref="L240" si="627">SUM(L241:L242)</f>
        <v>0.7</v>
      </c>
      <c r="M240" s="517">
        <f t="shared" ref="M240" si="628">SUM(M241:M242)</f>
        <v>0</v>
      </c>
      <c r="N240" s="517">
        <f t="shared" ref="N240" si="629">SUM(N241:N242)</f>
        <v>0</v>
      </c>
      <c r="O240" s="517">
        <f t="shared" ref="O240" si="630">SUM(O241:O242)</f>
        <v>0</v>
      </c>
      <c r="P240" s="517">
        <f t="shared" ref="P240" si="631">SUM(P241:P242)</f>
        <v>720.14250000000004</v>
      </c>
      <c r="Q240" s="517">
        <f t="shared" ref="Q240" si="632">SUM(Q241:Q242)</f>
        <v>34</v>
      </c>
      <c r="R240" s="517">
        <f t="shared" ref="R240" si="633">SUM(R241:R242)</f>
        <v>12242422.5</v>
      </c>
      <c r="S240" s="517">
        <f t="shared" ref="S240" si="634">SUM(S241:S242)</f>
        <v>12242422.5</v>
      </c>
    </row>
    <row r="241" spans="1:19" x14ac:dyDescent="0.25">
      <c r="A241" s="422"/>
      <c r="C241" s="510" t="s">
        <v>473</v>
      </c>
      <c r="D241" s="511">
        <v>685</v>
      </c>
      <c r="E241" s="400"/>
      <c r="F241" s="510" t="s">
        <v>707</v>
      </c>
      <c r="G241" s="420">
        <v>92</v>
      </c>
      <c r="H241" s="510"/>
      <c r="I241" s="510">
        <f t="shared" si="615"/>
        <v>92</v>
      </c>
      <c r="J241" s="510">
        <v>4.7300000000000004</v>
      </c>
      <c r="K241" s="400">
        <f t="shared" si="616"/>
        <v>3.0745000000000005</v>
      </c>
      <c r="L241" s="514">
        <v>0.35</v>
      </c>
      <c r="M241" s="510"/>
      <c r="N241" s="400"/>
      <c r="O241" s="510"/>
      <c r="P241" s="513">
        <f t="shared" si="617"/>
        <v>152.30600000000001</v>
      </c>
      <c r="Q241" s="400">
        <v>17</v>
      </c>
      <c r="R241" s="400">
        <f t="shared" si="618"/>
        <v>2589202</v>
      </c>
      <c r="S241" s="400">
        <f t="shared" si="619"/>
        <v>2589202</v>
      </c>
    </row>
    <row r="242" spans="1:19" x14ac:dyDescent="0.25">
      <c r="A242" s="422"/>
      <c r="B242" s="510"/>
      <c r="C242" s="510"/>
      <c r="D242" s="511"/>
      <c r="E242" s="400">
        <v>304</v>
      </c>
      <c r="F242" s="510" t="s">
        <v>501</v>
      </c>
      <c r="G242" s="420">
        <v>343</v>
      </c>
      <c r="H242" s="510"/>
      <c r="I242" s="510">
        <f t="shared" si="615"/>
        <v>343</v>
      </c>
      <c r="J242" s="510">
        <v>4.7300000000000004</v>
      </c>
      <c r="K242" s="400">
        <f t="shared" si="616"/>
        <v>3.0745000000000005</v>
      </c>
      <c r="L242" s="514">
        <v>0.35</v>
      </c>
      <c r="M242" s="510"/>
      <c r="N242" s="400"/>
      <c r="O242" s="510"/>
      <c r="P242" s="513">
        <f t="shared" si="617"/>
        <v>567.8365</v>
      </c>
      <c r="Q242" s="400">
        <v>17</v>
      </c>
      <c r="R242" s="400">
        <f t="shared" si="618"/>
        <v>9653220.5</v>
      </c>
      <c r="S242" s="400">
        <f t="shared" si="619"/>
        <v>9653220.5</v>
      </c>
    </row>
    <row r="243" spans="1:19" x14ac:dyDescent="0.25">
      <c r="A243" s="422"/>
      <c r="B243" s="510" t="s">
        <v>739</v>
      </c>
      <c r="C243" s="510" t="s">
        <v>473</v>
      </c>
      <c r="D243" s="511"/>
      <c r="E243" s="400">
        <v>91</v>
      </c>
      <c r="F243" s="510" t="s">
        <v>586</v>
      </c>
      <c r="G243" s="420">
        <v>1125</v>
      </c>
      <c r="H243" s="510"/>
      <c r="I243" s="510">
        <f t="shared" si="615"/>
        <v>1125</v>
      </c>
      <c r="J243" s="510">
        <v>4.7300000000000004</v>
      </c>
      <c r="K243" s="400">
        <f t="shared" si="616"/>
        <v>4.0205000000000002</v>
      </c>
      <c r="L243" s="514">
        <v>0.15</v>
      </c>
      <c r="M243" s="510"/>
      <c r="N243" s="400"/>
      <c r="O243" s="510"/>
      <c r="P243" s="513">
        <f t="shared" si="617"/>
        <v>798.18750000000011</v>
      </c>
      <c r="Q243" s="400">
        <v>17</v>
      </c>
      <c r="R243" s="400">
        <f t="shared" si="618"/>
        <v>13569187.500000002</v>
      </c>
      <c r="S243" s="400">
        <f t="shared" si="619"/>
        <v>13569187.500000002</v>
      </c>
    </row>
    <row r="244" spans="1:19" s="515" customFormat="1" x14ac:dyDescent="0.25">
      <c r="A244" s="751"/>
      <c r="B244" s="510" t="s">
        <v>617</v>
      </c>
      <c r="C244" s="516"/>
      <c r="D244" s="517">
        <f>SUM(D245:D246)</f>
        <v>307</v>
      </c>
      <c r="E244" s="517">
        <f t="shared" ref="E244" si="635">SUM(E245:E246)</f>
        <v>3566</v>
      </c>
      <c r="F244" s="517">
        <f t="shared" ref="F244" si="636">SUM(F245:F246)</f>
        <v>0</v>
      </c>
      <c r="G244" s="517">
        <f t="shared" ref="G244" si="637">SUM(G245:G246)</f>
        <v>1459</v>
      </c>
      <c r="H244" s="517">
        <f t="shared" ref="H244" si="638">SUM(H245:H246)</f>
        <v>0</v>
      </c>
      <c r="I244" s="517">
        <f t="shared" ref="I244" si="639">SUM(I245:I246)</f>
        <v>1459</v>
      </c>
      <c r="J244" s="517">
        <f t="shared" ref="J244" si="640">SUM(J245:J246)</f>
        <v>9.4600000000000009</v>
      </c>
      <c r="K244" s="517">
        <f t="shared" ref="K244" si="641">SUM(K245:K246)</f>
        <v>8.2774999999999999</v>
      </c>
      <c r="L244" s="517">
        <f t="shared" ref="L244" si="642">SUM(L245:L246)</f>
        <v>0.25</v>
      </c>
      <c r="M244" s="517">
        <f t="shared" ref="M244" si="643">SUM(M245:M246)</f>
        <v>0</v>
      </c>
      <c r="N244" s="517">
        <f t="shared" ref="N244" si="644">SUM(N245:N246)</f>
        <v>0</v>
      </c>
      <c r="O244" s="517">
        <f t="shared" ref="O244" si="645">SUM(O245:O246)</f>
        <v>0</v>
      </c>
      <c r="P244" s="517">
        <f t="shared" ref="P244" si="646">SUM(P245:P246)</f>
        <v>818.99950000000013</v>
      </c>
      <c r="Q244" s="517">
        <f t="shared" ref="Q244" si="647">SUM(Q245:Q246)</f>
        <v>34</v>
      </c>
      <c r="R244" s="517">
        <f t="shared" ref="R244" si="648">SUM(R245:R246)</f>
        <v>13922991.500000002</v>
      </c>
      <c r="S244" s="517">
        <f t="shared" ref="S244" si="649">SUM(S245:S246)</f>
        <v>13922991.500000002</v>
      </c>
    </row>
    <row r="245" spans="1:19" x14ac:dyDescent="0.25">
      <c r="A245" s="422"/>
      <c r="C245" s="510" t="s">
        <v>473</v>
      </c>
      <c r="D245" s="511">
        <v>307</v>
      </c>
      <c r="E245" s="400">
        <v>126</v>
      </c>
      <c r="F245" s="510" t="s">
        <v>707</v>
      </c>
      <c r="G245" s="420">
        <v>545</v>
      </c>
      <c r="H245" s="510"/>
      <c r="I245" s="510">
        <f t="shared" si="615"/>
        <v>545</v>
      </c>
      <c r="J245" s="510">
        <v>4.7300000000000004</v>
      </c>
      <c r="K245" s="400">
        <f t="shared" si="616"/>
        <v>4.0205000000000002</v>
      </c>
      <c r="L245" s="514">
        <v>0.15</v>
      </c>
      <c r="M245" s="510"/>
      <c r="N245" s="400"/>
      <c r="O245" s="510"/>
      <c r="P245" s="513">
        <f t="shared" si="617"/>
        <v>386.67750000000007</v>
      </c>
      <c r="Q245" s="400">
        <v>17</v>
      </c>
      <c r="R245" s="400">
        <f t="shared" si="618"/>
        <v>6573517.5000000009</v>
      </c>
      <c r="S245" s="400">
        <f t="shared" si="619"/>
        <v>6573517.5000000009</v>
      </c>
    </row>
    <row r="246" spans="1:19" x14ac:dyDescent="0.25">
      <c r="A246" s="422"/>
      <c r="B246" s="510"/>
      <c r="C246" s="510"/>
      <c r="D246" s="511"/>
      <c r="E246" s="400">
        <v>3440</v>
      </c>
      <c r="F246" s="510" t="s">
        <v>474</v>
      </c>
      <c r="G246" s="420">
        <v>914</v>
      </c>
      <c r="H246" s="510"/>
      <c r="I246" s="510">
        <f t="shared" si="615"/>
        <v>914</v>
      </c>
      <c r="J246" s="510">
        <v>4.7300000000000004</v>
      </c>
      <c r="K246" s="400">
        <f t="shared" si="616"/>
        <v>4.2570000000000006</v>
      </c>
      <c r="L246" s="514">
        <v>0.1</v>
      </c>
      <c r="M246" s="510"/>
      <c r="N246" s="400"/>
      <c r="O246" s="510"/>
      <c r="P246" s="513">
        <f t="shared" si="617"/>
        <v>432.32200000000006</v>
      </c>
      <c r="Q246" s="400">
        <v>17</v>
      </c>
      <c r="R246" s="400">
        <f t="shared" si="618"/>
        <v>7349474.0000000009</v>
      </c>
      <c r="S246" s="400">
        <f t="shared" si="619"/>
        <v>7349474.0000000009</v>
      </c>
    </row>
    <row r="247" spans="1:19" s="515" customFormat="1" x14ac:dyDescent="0.25">
      <c r="A247" s="751"/>
      <c r="B247" s="510" t="s">
        <v>616</v>
      </c>
      <c r="C247" s="516"/>
      <c r="D247" s="517">
        <f>SUM(D248:D249)</f>
        <v>380</v>
      </c>
      <c r="E247" s="517">
        <f t="shared" ref="E247" si="650">SUM(E248:E249)</f>
        <v>4399</v>
      </c>
      <c r="F247" s="517">
        <f t="shared" ref="F247" si="651">SUM(F248:F249)</f>
        <v>0</v>
      </c>
      <c r="G247" s="517">
        <f t="shared" ref="G247" si="652">SUM(G248:G249)</f>
        <v>1425</v>
      </c>
      <c r="H247" s="517">
        <f t="shared" ref="H247" si="653">SUM(H248:H249)</f>
        <v>0</v>
      </c>
      <c r="I247" s="517">
        <f t="shared" ref="I247" si="654">SUM(I248:I249)</f>
        <v>1425</v>
      </c>
      <c r="J247" s="517">
        <f t="shared" ref="J247" si="655">SUM(J248:J249)</f>
        <v>9.4600000000000009</v>
      </c>
      <c r="K247" s="517">
        <f t="shared" ref="K247" si="656">SUM(K248:K249)</f>
        <v>8.2774999999999999</v>
      </c>
      <c r="L247" s="517">
        <f t="shared" ref="L247" si="657">SUM(L248:L249)</f>
        <v>0.25</v>
      </c>
      <c r="M247" s="517">
        <f t="shared" ref="M247" si="658">SUM(M248:M249)</f>
        <v>0</v>
      </c>
      <c r="N247" s="517">
        <f t="shared" ref="N247" si="659">SUM(N248:N249)</f>
        <v>0</v>
      </c>
      <c r="O247" s="517">
        <f t="shared" ref="O247" si="660">SUM(O248:O249)</f>
        <v>0</v>
      </c>
      <c r="P247" s="517">
        <f t="shared" ref="P247" si="661">SUM(P248:P249)</f>
        <v>798.1875</v>
      </c>
      <c r="Q247" s="517">
        <f t="shared" ref="Q247" si="662">SUM(Q248:Q249)</f>
        <v>34</v>
      </c>
      <c r="R247" s="517">
        <f t="shared" ref="R247" si="663">SUM(R248:R249)</f>
        <v>13569187.5</v>
      </c>
      <c r="S247" s="517">
        <f t="shared" ref="S247" si="664">SUM(S248:S249)</f>
        <v>13569187.5</v>
      </c>
    </row>
    <row r="248" spans="1:19" x14ac:dyDescent="0.25">
      <c r="A248" s="422"/>
      <c r="C248" s="510" t="s">
        <v>473</v>
      </c>
      <c r="D248" s="511">
        <v>380</v>
      </c>
      <c r="E248" s="400"/>
      <c r="F248" s="510" t="s">
        <v>586</v>
      </c>
      <c r="G248" s="420">
        <v>525</v>
      </c>
      <c r="H248" s="510"/>
      <c r="I248" s="510">
        <f t="shared" si="615"/>
        <v>525</v>
      </c>
      <c r="J248" s="510">
        <v>4.7300000000000004</v>
      </c>
      <c r="K248" s="400">
        <f t="shared" si="616"/>
        <v>4.0205000000000002</v>
      </c>
      <c r="L248" s="514">
        <v>0.15</v>
      </c>
      <c r="M248" s="510"/>
      <c r="N248" s="400"/>
      <c r="O248" s="510"/>
      <c r="P248" s="513">
        <f t="shared" si="617"/>
        <v>372.48750000000001</v>
      </c>
      <c r="Q248" s="400">
        <v>17</v>
      </c>
      <c r="R248" s="400">
        <f t="shared" si="618"/>
        <v>6332287.5</v>
      </c>
      <c r="S248" s="400">
        <f t="shared" si="619"/>
        <v>6332287.5</v>
      </c>
    </row>
    <row r="249" spans="1:19" x14ac:dyDescent="0.25">
      <c r="A249" s="422"/>
      <c r="B249" s="510"/>
      <c r="C249" s="510"/>
      <c r="D249" s="511"/>
      <c r="E249" s="400">
        <v>4399</v>
      </c>
      <c r="F249" s="510" t="s">
        <v>474</v>
      </c>
      <c r="G249" s="420">
        <v>900</v>
      </c>
      <c r="H249" s="510"/>
      <c r="I249" s="510">
        <f t="shared" si="615"/>
        <v>900</v>
      </c>
      <c r="J249" s="510">
        <v>4.7300000000000004</v>
      </c>
      <c r="K249" s="400">
        <f t="shared" si="616"/>
        <v>4.2570000000000006</v>
      </c>
      <c r="L249" s="514">
        <v>0.1</v>
      </c>
      <c r="M249" s="510"/>
      <c r="N249" s="400"/>
      <c r="O249" s="510"/>
      <c r="P249" s="513">
        <f t="shared" si="617"/>
        <v>425.70000000000005</v>
      </c>
      <c r="Q249" s="400">
        <v>17</v>
      </c>
      <c r="R249" s="400">
        <f t="shared" si="618"/>
        <v>7236900.0000000009</v>
      </c>
      <c r="S249" s="400">
        <f t="shared" si="619"/>
        <v>7236900.0000000009</v>
      </c>
    </row>
    <row r="250" spans="1:19" x14ac:dyDescent="0.25">
      <c r="A250" s="422"/>
      <c r="B250" s="510" t="s">
        <v>614</v>
      </c>
      <c r="C250" s="510" t="s">
        <v>473</v>
      </c>
      <c r="D250" s="511">
        <v>47</v>
      </c>
      <c r="E250" s="400">
        <v>2114</v>
      </c>
      <c r="F250" s="510" t="s">
        <v>501</v>
      </c>
      <c r="G250" s="420">
        <v>50</v>
      </c>
      <c r="H250" s="510"/>
      <c r="I250" s="510">
        <f t="shared" si="615"/>
        <v>50</v>
      </c>
      <c r="J250" s="510">
        <v>4.7300000000000004</v>
      </c>
      <c r="K250" s="400">
        <f t="shared" si="616"/>
        <v>4.0205000000000002</v>
      </c>
      <c r="L250" s="514">
        <v>0.15</v>
      </c>
      <c r="M250" s="510"/>
      <c r="N250" s="400"/>
      <c r="O250" s="510"/>
      <c r="P250" s="513">
        <f t="shared" si="617"/>
        <v>35.475000000000001</v>
      </c>
      <c r="Q250" s="400">
        <v>17</v>
      </c>
      <c r="R250" s="400">
        <f t="shared" si="618"/>
        <v>603075</v>
      </c>
      <c r="S250" s="400">
        <f t="shared" si="619"/>
        <v>603075</v>
      </c>
    </row>
    <row r="251" spans="1:19" x14ac:dyDescent="0.25">
      <c r="A251" s="422"/>
      <c r="B251" s="510" t="s">
        <v>613</v>
      </c>
      <c r="C251" s="510" t="s">
        <v>473</v>
      </c>
      <c r="D251" s="511">
        <v>120</v>
      </c>
      <c r="E251" s="400">
        <v>1651</v>
      </c>
      <c r="F251" s="510" t="s">
        <v>474</v>
      </c>
      <c r="G251" s="420">
        <v>105</v>
      </c>
      <c r="H251" s="510"/>
      <c r="I251" s="510">
        <f t="shared" si="615"/>
        <v>105</v>
      </c>
      <c r="J251" s="510">
        <v>4.7300000000000004</v>
      </c>
      <c r="K251" s="400">
        <f t="shared" si="616"/>
        <v>4.2570000000000006</v>
      </c>
      <c r="L251" s="514">
        <v>0.1</v>
      </c>
      <c r="M251" s="510"/>
      <c r="N251" s="400"/>
      <c r="O251" s="510"/>
      <c r="P251" s="513">
        <f t="shared" si="617"/>
        <v>49.665000000000006</v>
      </c>
      <c r="Q251" s="400">
        <v>17</v>
      </c>
      <c r="R251" s="400">
        <f t="shared" si="618"/>
        <v>844305.00000000012</v>
      </c>
      <c r="S251" s="400">
        <f t="shared" si="619"/>
        <v>844305.00000000012</v>
      </c>
    </row>
    <row r="252" spans="1:19" x14ac:dyDescent="0.25">
      <c r="A252" s="422"/>
      <c r="B252" s="510"/>
      <c r="C252" s="510"/>
      <c r="D252" s="511"/>
      <c r="E252" s="400"/>
      <c r="F252" s="510"/>
      <c r="G252" s="420"/>
      <c r="H252" s="510"/>
      <c r="I252" s="510"/>
      <c r="J252" s="510"/>
      <c r="K252" s="400"/>
      <c r="L252" s="514"/>
      <c r="M252" s="510"/>
      <c r="N252" s="400"/>
      <c r="O252" s="510"/>
      <c r="P252" s="513"/>
      <c r="Q252" s="510"/>
      <c r="R252" s="400"/>
      <c r="S252" s="400"/>
    </row>
    <row r="253" spans="1:19" x14ac:dyDescent="0.25">
      <c r="A253" s="732"/>
      <c r="B253" s="733" t="s">
        <v>475</v>
      </c>
      <c r="C253" s="733"/>
      <c r="D253" s="734">
        <f>SUM(D255:D357)</f>
        <v>39354</v>
      </c>
      <c r="E253" s="734">
        <f>SUM(E255:E357)</f>
        <v>223863</v>
      </c>
      <c r="F253" s="734">
        <f>SUM(F446:F451)</f>
        <v>0</v>
      </c>
      <c r="G253" s="734">
        <f>SUM(G255:G357)</f>
        <v>39455.599999999999</v>
      </c>
      <c r="H253" s="734">
        <f>SUM(H255:H380)</f>
        <v>8249.6000000000022</v>
      </c>
      <c r="I253" s="734">
        <f>SUM(I255:I357)</f>
        <v>31278</v>
      </c>
      <c r="J253" s="734"/>
      <c r="K253" s="734"/>
      <c r="L253" s="734"/>
      <c r="M253" s="734">
        <f>SUM(M255:M380)</f>
        <v>4456.7999999999993</v>
      </c>
      <c r="N253" s="734">
        <f>SUM(N255)</f>
        <v>0</v>
      </c>
      <c r="O253" s="734">
        <f>SUM(O255:O380)</f>
        <v>34700432</v>
      </c>
      <c r="P253" s="734">
        <f>SUM(P255:P380)</f>
        <v>57810.485100000013</v>
      </c>
      <c r="Q253" s="734"/>
      <c r="R253" s="734">
        <f>SUM(R255:R380)</f>
        <v>816986222.70000005</v>
      </c>
      <c r="S253" s="734">
        <f>SUM(S255:S380)</f>
        <v>851686550.70000005</v>
      </c>
    </row>
    <row r="254" spans="1:19" s="515" customFormat="1" x14ac:dyDescent="0.25">
      <c r="A254" s="747"/>
      <c r="B254" s="510" t="s">
        <v>486</v>
      </c>
      <c r="C254" s="750"/>
      <c r="D254" s="517">
        <f>SUM(D255:D256)</f>
        <v>86</v>
      </c>
      <c r="E254" s="517">
        <f t="shared" ref="E254" si="665">SUM(E255:E256)</f>
        <v>1063</v>
      </c>
      <c r="F254" s="517">
        <f t="shared" ref="F254" si="666">SUM(F255:F256)</f>
        <v>0</v>
      </c>
      <c r="G254" s="517">
        <f t="shared" ref="G254" si="667">SUM(G255:G256)</f>
        <v>317</v>
      </c>
      <c r="H254" s="517">
        <f t="shared" ref="H254" si="668">SUM(H255:H256)</f>
        <v>0</v>
      </c>
      <c r="I254" s="517">
        <f t="shared" ref="I254" si="669">SUM(I255:I256)</f>
        <v>317</v>
      </c>
      <c r="J254" s="517">
        <f t="shared" ref="J254" si="670">SUM(J255:J256)</f>
        <v>9.4600000000000009</v>
      </c>
      <c r="K254" s="517">
        <f t="shared" ref="K254" si="671">SUM(K255:K256)</f>
        <v>8.0410000000000004</v>
      </c>
      <c r="L254" s="517">
        <f t="shared" ref="L254" si="672">SUM(L255:L256)</f>
        <v>0.3</v>
      </c>
      <c r="M254" s="517">
        <f t="shared" ref="M254" si="673">SUM(M255:M256)</f>
        <v>0</v>
      </c>
      <c r="N254" s="517">
        <f t="shared" ref="N254" si="674">SUM(N255:N256)</f>
        <v>0</v>
      </c>
      <c r="O254" s="517">
        <f t="shared" ref="O254" si="675">SUM(O255:O256)</f>
        <v>0</v>
      </c>
      <c r="P254" s="517">
        <f t="shared" ref="P254" si="676">SUM(P255:P256)</f>
        <v>224.91149999999999</v>
      </c>
      <c r="Q254" s="517">
        <f t="shared" ref="Q254" si="677">SUM(Q255:Q256)</f>
        <v>34</v>
      </c>
      <c r="R254" s="517">
        <f t="shared" ref="R254" si="678">SUM(R255:R256)</f>
        <v>3823495.5</v>
      </c>
      <c r="S254" s="517">
        <f t="shared" ref="S254" si="679">SUM(S255:S256)</f>
        <v>3823495.5</v>
      </c>
    </row>
    <row r="255" spans="1:19" x14ac:dyDescent="0.25">
      <c r="A255" s="422"/>
      <c r="C255" s="510" t="s">
        <v>473</v>
      </c>
      <c r="D255" s="511">
        <v>86</v>
      </c>
      <c r="E255" s="400">
        <v>1063</v>
      </c>
      <c r="F255" s="510" t="s">
        <v>740</v>
      </c>
      <c r="G255" s="420">
        <v>202</v>
      </c>
      <c r="H255" s="510"/>
      <c r="I255" s="510">
        <f t="shared" ref="I255:I260" si="680">G255</f>
        <v>202</v>
      </c>
      <c r="J255" s="510">
        <v>4.7300000000000004</v>
      </c>
      <c r="K255" s="400">
        <f t="shared" ref="K255:K269" si="681">J255-J255*L255</f>
        <v>4.0205000000000002</v>
      </c>
      <c r="L255" s="514">
        <v>0.15</v>
      </c>
      <c r="M255" s="510"/>
      <c r="N255" s="400"/>
      <c r="O255" s="510"/>
      <c r="P255" s="513">
        <f t="shared" ref="P255:P274" si="682">G255*J255*L255</f>
        <v>143.31899999999999</v>
      </c>
      <c r="Q255" s="510">
        <v>17</v>
      </c>
      <c r="R255" s="400">
        <f t="shared" ref="R255:R274" si="683">P255*Q255*1000</f>
        <v>2436423</v>
      </c>
      <c r="S255" s="400">
        <f t="shared" ref="S255:S273" si="684">R255</f>
        <v>2436423</v>
      </c>
    </row>
    <row r="256" spans="1:19" x14ac:dyDescent="0.25">
      <c r="A256" s="422"/>
      <c r="B256" s="510"/>
      <c r="C256" s="510"/>
      <c r="D256" s="511"/>
      <c r="E256" s="400"/>
      <c r="F256" s="510" t="s">
        <v>741</v>
      </c>
      <c r="G256" s="420">
        <v>115</v>
      </c>
      <c r="H256" s="510"/>
      <c r="I256" s="510">
        <f t="shared" si="680"/>
        <v>115</v>
      </c>
      <c r="J256" s="510">
        <v>4.7300000000000004</v>
      </c>
      <c r="K256" s="400">
        <f t="shared" si="681"/>
        <v>4.0205000000000002</v>
      </c>
      <c r="L256" s="514">
        <v>0.15</v>
      </c>
      <c r="M256" s="510"/>
      <c r="N256" s="400"/>
      <c r="O256" s="510"/>
      <c r="P256" s="513">
        <f t="shared" si="682"/>
        <v>81.592500000000001</v>
      </c>
      <c r="Q256" s="510">
        <v>17</v>
      </c>
      <c r="R256" s="400">
        <f t="shared" si="683"/>
        <v>1387072.5</v>
      </c>
      <c r="S256" s="400">
        <f t="shared" si="684"/>
        <v>1387072.5</v>
      </c>
    </row>
    <row r="257" spans="1:19" s="515" customFormat="1" x14ac:dyDescent="0.25">
      <c r="A257" s="751"/>
      <c r="B257" s="510" t="s">
        <v>624</v>
      </c>
      <c r="C257" s="516"/>
      <c r="D257" s="517">
        <f>SUM(D258:D260)</f>
        <v>870</v>
      </c>
      <c r="E257" s="517">
        <f t="shared" ref="E257:S257" si="685">SUM(E258:E260)</f>
        <v>5302</v>
      </c>
      <c r="F257" s="517">
        <f t="shared" si="685"/>
        <v>0</v>
      </c>
      <c r="G257" s="517">
        <f t="shared" si="685"/>
        <v>399.5</v>
      </c>
      <c r="H257" s="517">
        <f t="shared" si="685"/>
        <v>0</v>
      </c>
      <c r="I257" s="517">
        <f t="shared" si="685"/>
        <v>399.5</v>
      </c>
      <c r="J257" s="517">
        <f t="shared" si="685"/>
        <v>14.190000000000001</v>
      </c>
      <c r="K257" s="517">
        <f t="shared" si="685"/>
        <v>12.298000000000002</v>
      </c>
      <c r="L257" s="517">
        <f t="shared" si="685"/>
        <v>0.4</v>
      </c>
      <c r="M257" s="517">
        <f t="shared" si="685"/>
        <v>0</v>
      </c>
      <c r="N257" s="517">
        <f t="shared" si="685"/>
        <v>0</v>
      </c>
      <c r="O257" s="517">
        <f t="shared" si="685"/>
        <v>0</v>
      </c>
      <c r="P257" s="517">
        <f t="shared" si="685"/>
        <v>237.09125</v>
      </c>
      <c r="Q257" s="517">
        <f t="shared" si="685"/>
        <v>51</v>
      </c>
      <c r="R257" s="517">
        <f t="shared" si="685"/>
        <v>4030551.25</v>
      </c>
      <c r="S257" s="517">
        <f t="shared" si="685"/>
        <v>4030551.25</v>
      </c>
    </row>
    <row r="258" spans="1:19" x14ac:dyDescent="0.25">
      <c r="A258" s="422"/>
      <c r="C258" s="510" t="s">
        <v>742</v>
      </c>
      <c r="D258" s="511">
        <v>870</v>
      </c>
      <c r="E258" s="400"/>
      <c r="F258" s="510" t="s">
        <v>482</v>
      </c>
      <c r="G258" s="420">
        <v>57</v>
      </c>
      <c r="H258" s="510"/>
      <c r="I258" s="510">
        <f t="shared" si="680"/>
        <v>57</v>
      </c>
      <c r="J258" s="510">
        <v>4.7300000000000004</v>
      </c>
      <c r="K258" s="400">
        <f t="shared" si="681"/>
        <v>4.0205000000000002</v>
      </c>
      <c r="L258" s="514">
        <v>0.15</v>
      </c>
      <c r="M258" s="510"/>
      <c r="N258" s="400"/>
      <c r="O258" s="510"/>
      <c r="P258" s="513">
        <f t="shared" si="682"/>
        <v>40.441499999999998</v>
      </c>
      <c r="Q258" s="510">
        <v>17</v>
      </c>
      <c r="R258" s="400">
        <f t="shared" si="683"/>
        <v>687505.5</v>
      </c>
      <c r="S258" s="400">
        <f t="shared" si="684"/>
        <v>687505.5</v>
      </c>
    </row>
    <row r="259" spans="1:19" x14ac:dyDescent="0.25">
      <c r="A259" s="422"/>
      <c r="B259" s="510"/>
      <c r="C259" s="510"/>
      <c r="D259" s="511"/>
      <c r="E259" s="400">
        <v>3279</v>
      </c>
      <c r="F259" s="510" t="s">
        <v>743</v>
      </c>
      <c r="G259" s="420">
        <v>146.5</v>
      </c>
      <c r="H259" s="510"/>
      <c r="I259" s="510">
        <f t="shared" si="680"/>
        <v>146.5</v>
      </c>
      <c r="J259" s="510">
        <v>4.7300000000000004</v>
      </c>
      <c r="K259" s="400">
        <f t="shared" si="681"/>
        <v>4.0205000000000002</v>
      </c>
      <c r="L259" s="514">
        <v>0.15</v>
      </c>
      <c r="M259" s="510"/>
      <c r="N259" s="400"/>
      <c r="O259" s="510"/>
      <c r="P259" s="513">
        <f t="shared" si="682"/>
        <v>103.94175</v>
      </c>
      <c r="Q259" s="510">
        <v>17</v>
      </c>
      <c r="R259" s="400">
        <f t="shared" si="683"/>
        <v>1767009.75</v>
      </c>
      <c r="S259" s="400">
        <f t="shared" si="684"/>
        <v>1767009.75</v>
      </c>
    </row>
    <row r="260" spans="1:19" x14ac:dyDescent="0.25">
      <c r="A260" s="422"/>
      <c r="B260" s="510"/>
      <c r="C260" s="510"/>
      <c r="D260" s="511"/>
      <c r="E260" s="400">
        <v>2023</v>
      </c>
      <c r="F260" s="510" t="s">
        <v>474</v>
      </c>
      <c r="G260" s="420">
        <v>196</v>
      </c>
      <c r="H260" s="510"/>
      <c r="I260" s="510">
        <f t="shared" si="680"/>
        <v>196</v>
      </c>
      <c r="J260" s="510">
        <v>4.7300000000000004</v>
      </c>
      <c r="K260" s="400">
        <f t="shared" si="681"/>
        <v>4.2570000000000006</v>
      </c>
      <c r="L260" s="514">
        <v>0.1</v>
      </c>
      <c r="M260" s="510"/>
      <c r="N260" s="400"/>
      <c r="O260" s="510"/>
      <c r="P260" s="513">
        <f t="shared" si="682"/>
        <v>92.708000000000013</v>
      </c>
      <c r="Q260" s="510">
        <v>17</v>
      </c>
      <c r="R260" s="400">
        <f t="shared" si="683"/>
        <v>1576036.0000000002</v>
      </c>
      <c r="S260" s="400">
        <f t="shared" si="684"/>
        <v>1576036.0000000002</v>
      </c>
    </row>
    <row r="261" spans="1:19" x14ac:dyDescent="0.25">
      <c r="A261" s="732"/>
      <c r="B261" s="733" t="s">
        <v>489</v>
      </c>
      <c r="C261" s="733"/>
      <c r="D261" s="734">
        <f>SUM(D263:D363)</f>
        <v>18744</v>
      </c>
      <c r="E261" s="734">
        <f>SUM(E263:E363)</f>
        <v>105860</v>
      </c>
      <c r="F261" s="734">
        <f>SUM(F452:F457)</f>
        <v>0</v>
      </c>
      <c r="G261" s="734">
        <f>SUM(G263:G363)</f>
        <v>19143.299999999996</v>
      </c>
      <c r="H261" s="734">
        <f>SUM(H263:H386)</f>
        <v>4124.8</v>
      </c>
      <c r="I261" s="734">
        <f>SUM(I263:I363)</f>
        <v>15054.5</v>
      </c>
      <c r="J261" s="734"/>
      <c r="K261" s="734"/>
      <c r="L261" s="734"/>
      <c r="M261" s="734">
        <f>SUM(M263:M386)</f>
        <v>2228.4</v>
      </c>
      <c r="N261" s="734">
        <f>SUM(N263)</f>
        <v>0</v>
      </c>
      <c r="O261" s="734">
        <f>SUM(O263:O386)</f>
        <v>17350216</v>
      </c>
      <c r="P261" s="734">
        <f>SUM(P263:P386)</f>
        <v>28542.569799999994</v>
      </c>
      <c r="Q261" s="734"/>
      <c r="R261" s="734">
        <f>SUM(R263:R386)</f>
        <v>402327674.60000002</v>
      </c>
      <c r="S261" s="734">
        <f>SUM(S263:S386)</f>
        <v>419677838.60000002</v>
      </c>
    </row>
    <row r="262" spans="1:19" s="515" customFormat="1" x14ac:dyDescent="0.25">
      <c r="A262" s="747"/>
      <c r="B262" s="510" t="s">
        <v>628</v>
      </c>
      <c r="C262" s="750"/>
      <c r="D262" s="517">
        <f>SUM(D263:D264)</f>
        <v>40</v>
      </c>
      <c r="E262" s="517">
        <f t="shared" ref="E262" si="686">SUM(E263:E264)</f>
        <v>476</v>
      </c>
      <c r="F262" s="517">
        <f t="shared" ref="F262" si="687">SUM(F263:F264)</f>
        <v>0</v>
      </c>
      <c r="G262" s="517">
        <f t="shared" ref="G262" si="688">SUM(G263:G264)</f>
        <v>53</v>
      </c>
      <c r="H262" s="517">
        <f t="shared" ref="H262" si="689">SUM(H263:H264)</f>
        <v>0</v>
      </c>
      <c r="I262" s="517">
        <f t="shared" ref="I262" si="690">SUM(I263:I264)</f>
        <v>53</v>
      </c>
      <c r="J262" s="517">
        <f t="shared" ref="J262" si="691">SUM(J263:J264)</f>
        <v>9.4600000000000009</v>
      </c>
      <c r="K262" s="517">
        <f t="shared" ref="K262" si="692">SUM(K263:K264)</f>
        <v>8.2774999999999999</v>
      </c>
      <c r="L262" s="517">
        <f t="shared" ref="L262" si="693">SUM(L263:L264)</f>
        <v>0.25</v>
      </c>
      <c r="M262" s="517">
        <f t="shared" ref="M262" si="694">SUM(M263:M264)</f>
        <v>0</v>
      </c>
      <c r="N262" s="517">
        <f t="shared" ref="N262" si="695">SUM(N263:N264)</f>
        <v>0</v>
      </c>
      <c r="O262" s="517">
        <f t="shared" ref="O262" si="696">SUM(O263:O264)</f>
        <v>0</v>
      </c>
      <c r="P262" s="517">
        <f t="shared" ref="P262" si="697">SUM(P263:P264)</f>
        <v>26.251500000000004</v>
      </c>
      <c r="Q262" s="517">
        <f t="shared" ref="Q262" si="698">SUM(Q263:Q264)</f>
        <v>34</v>
      </c>
      <c r="R262" s="517">
        <f t="shared" ref="R262" si="699">SUM(R263:R264)</f>
        <v>446275.50000000006</v>
      </c>
      <c r="S262" s="517">
        <f t="shared" ref="S262" si="700">SUM(S263:S264)</f>
        <v>446275.50000000006</v>
      </c>
    </row>
    <row r="263" spans="1:19" x14ac:dyDescent="0.25">
      <c r="A263" s="422"/>
      <c r="C263" s="510" t="s">
        <v>473</v>
      </c>
      <c r="D263" s="511">
        <v>40</v>
      </c>
      <c r="E263" s="400">
        <v>1</v>
      </c>
      <c r="F263" s="510" t="s">
        <v>653</v>
      </c>
      <c r="G263" s="420">
        <v>5</v>
      </c>
      <c r="H263" s="510"/>
      <c r="I263" s="510">
        <v>5</v>
      </c>
      <c r="J263" s="510">
        <v>4.7300000000000004</v>
      </c>
      <c r="K263" s="400">
        <f t="shared" si="681"/>
        <v>4.0205000000000002</v>
      </c>
      <c r="L263" s="514">
        <v>0.15</v>
      </c>
      <c r="M263" s="510"/>
      <c r="N263" s="400"/>
      <c r="O263" s="510"/>
      <c r="P263" s="513">
        <f t="shared" si="682"/>
        <v>3.5475000000000003</v>
      </c>
      <c r="Q263" s="510">
        <v>17</v>
      </c>
      <c r="R263" s="400">
        <f t="shared" si="683"/>
        <v>60307.500000000007</v>
      </c>
      <c r="S263" s="400">
        <f t="shared" si="684"/>
        <v>60307.500000000007</v>
      </c>
    </row>
    <row r="264" spans="1:19" x14ac:dyDescent="0.25">
      <c r="A264" s="422"/>
      <c r="B264" s="510"/>
      <c r="C264" s="510"/>
      <c r="D264" s="511"/>
      <c r="E264" s="400">
        <v>475</v>
      </c>
      <c r="F264" s="510" t="s">
        <v>474</v>
      </c>
      <c r="G264" s="420">
        <v>48</v>
      </c>
      <c r="H264" s="510"/>
      <c r="I264" s="510">
        <v>48</v>
      </c>
      <c r="J264" s="510">
        <v>4.7300000000000004</v>
      </c>
      <c r="K264" s="400">
        <f t="shared" si="681"/>
        <v>4.2570000000000006</v>
      </c>
      <c r="L264" s="514">
        <v>0.1</v>
      </c>
      <c r="M264" s="510"/>
      <c r="N264" s="400"/>
      <c r="O264" s="510"/>
      <c r="P264" s="513">
        <f t="shared" si="682"/>
        <v>22.704000000000004</v>
      </c>
      <c r="Q264" s="510">
        <v>17</v>
      </c>
      <c r="R264" s="400">
        <f t="shared" si="683"/>
        <v>385968.00000000006</v>
      </c>
      <c r="S264" s="400">
        <f t="shared" si="684"/>
        <v>385968.00000000006</v>
      </c>
    </row>
    <row r="265" spans="1:19" x14ac:dyDescent="0.25">
      <c r="A265" s="732"/>
      <c r="B265" s="733" t="s">
        <v>744</v>
      </c>
      <c r="C265" s="733"/>
      <c r="D265" s="734">
        <f>SUM(D266:D366)</f>
        <v>9352</v>
      </c>
      <c r="E265" s="734">
        <f>SUM(E266:E366)</f>
        <v>52692</v>
      </c>
      <c r="F265" s="734">
        <f>SUM(F455:F460)</f>
        <v>0</v>
      </c>
      <c r="G265" s="734">
        <f>SUM(G266:G366)</f>
        <v>9545.1499999999978</v>
      </c>
      <c r="H265" s="734">
        <f>SUM(H266:H389)</f>
        <v>2062.4</v>
      </c>
      <c r="I265" s="734">
        <f>SUM(I266:I366)</f>
        <v>7500.7500000000009</v>
      </c>
      <c r="J265" s="734"/>
      <c r="K265" s="734"/>
      <c r="L265" s="734"/>
      <c r="M265" s="734">
        <f>SUM(M266:M389)</f>
        <v>1114.1999999999998</v>
      </c>
      <c r="N265" s="734">
        <f>SUM(N266)</f>
        <v>0</v>
      </c>
      <c r="O265" s="734">
        <f>SUM(O266:O389)</f>
        <v>8675108</v>
      </c>
      <c r="P265" s="734">
        <f>SUM(P266:P389)</f>
        <v>14258.159149999999</v>
      </c>
      <c r="Q265" s="734"/>
      <c r="R265" s="734">
        <f>SUM(R266:R389)</f>
        <v>200940699.55000001</v>
      </c>
      <c r="S265" s="734">
        <f>SUM(S266:S389)</f>
        <v>209615781.55000001</v>
      </c>
    </row>
    <row r="266" spans="1:19" x14ac:dyDescent="0.25">
      <c r="A266" s="422"/>
      <c r="B266" s="383" t="s">
        <v>407</v>
      </c>
      <c r="C266" s="510" t="s">
        <v>473</v>
      </c>
      <c r="D266" s="511">
        <v>6</v>
      </c>
      <c r="E266" s="400">
        <v>1662</v>
      </c>
      <c r="F266" s="510" t="s">
        <v>474</v>
      </c>
      <c r="G266" s="420">
        <v>5.8</v>
      </c>
      <c r="H266" s="510"/>
      <c r="I266" s="510">
        <f t="shared" ref="I266:I269" si="701">G266</f>
        <v>5.8</v>
      </c>
      <c r="J266" s="510">
        <v>4.7300000000000004</v>
      </c>
      <c r="K266" s="400">
        <f t="shared" si="681"/>
        <v>4.2570000000000006</v>
      </c>
      <c r="L266" s="514">
        <v>0.1</v>
      </c>
      <c r="M266" s="510"/>
      <c r="N266" s="400"/>
      <c r="O266" s="510"/>
      <c r="P266" s="513">
        <f t="shared" si="682"/>
        <v>2.7434000000000003</v>
      </c>
      <c r="Q266" s="510">
        <v>17</v>
      </c>
      <c r="R266" s="400">
        <f t="shared" si="683"/>
        <v>46637.8</v>
      </c>
      <c r="S266" s="400">
        <f t="shared" si="684"/>
        <v>46637.8</v>
      </c>
    </row>
    <row r="267" spans="1:19" s="515" customFormat="1" x14ac:dyDescent="0.25">
      <c r="A267" s="751"/>
      <c r="B267" s="510" t="s">
        <v>496</v>
      </c>
      <c r="C267" s="516"/>
      <c r="D267" s="517">
        <f>SUM(D268:D269)</f>
        <v>175</v>
      </c>
      <c r="E267" s="517">
        <f t="shared" ref="E267:S267" si="702">SUM(E268:E269)</f>
        <v>3776</v>
      </c>
      <c r="F267" s="517">
        <f t="shared" si="702"/>
        <v>0</v>
      </c>
      <c r="G267" s="517">
        <f t="shared" si="702"/>
        <v>201</v>
      </c>
      <c r="H267" s="517">
        <f t="shared" si="702"/>
        <v>0</v>
      </c>
      <c r="I267" s="517">
        <f t="shared" si="702"/>
        <v>201</v>
      </c>
      <c r="J267" s="517">
        <f t="shared" si="702"/>
        <v>9.4600000000000009</v>
      </c>
      <c r="K267" s="517">
        <f t="shared" si="702"/>
        <v>8.2774999999999999</v>
      </c>
      <c r="L267" s="517">
        <f t="shared" si="702"/>
        <v>0.25</v>
      </c>
      <c r="M267" s="517">
        <f t="shared" si="702"/>
        <v>0</v>
      </c>
      <c r="N267" s="517">
        <f t="shared" si="702"/>
        <v>0</v>
      </c>
      <c r="O267" s="517">
        <f t="shared" si="702"/>
        <v>0</v>
      </c>
      <c r="P267" s="517">
        <f t="shared" si="702"/>
        <v>114.70250000000001</v>
      </c>
      <c r="Q267" s="517">
        <f t="shared" si="702"/>
        <v>34</v>
      </c>
      <c r="R267" s="517">
        <f t="shared" si="702"/>
        <v>1949942.5000000002</v>
      </c>
      <c r="S267" s="517">
        <f t="shared" si="702"/>
        <v>1949942.5000000002</v>
      </c>
    </row>
    <row r="268" spans="1:19" x14ac:dyDescent="0.25">
      <c r="A268" s="422"/>
      <c r="C268" s="510" t="s">
        <v>473</v>
      </c>
      <c r="D268" s="511">
        <v>175</v>
      </c>
      <c r="E268" s="400">
        <v>375</v>
      </c>
      <c r="F268" s="510" t="s">
        <v>586</v>
      </c>
      <c r="G268" s="420">
        <v>83</v>
      </c>
      <c r="H268" s="510"/>
      <c r="I268" s="510">
        <f t="shared" si="701"/>
        <v>83</v>
      </c>
      <c r="J268" s="510">
        <v>4.7300000000000004</v>
      </c>
      <c r="K268" s="400">
        <f t="shared" si="681"/>
        <v>4.0205000000000002</v>
      </c>
      <c r="L268" s="514">
        <v>0.15</v>
      </c>
      <c r="M268" s="510"/>
      <c r="N268" s="400"/>
      <c r="O268" s="510"/>
      <c r="P268" s="513">
        <f t="shared" si="682"/>
        <v>58.888500000000001</v>
      </c>
      <c r="Q268" s="510">
        <v>17</v>
      </c>
      <c r="R268" s="400">
        <f t="shared" si="683"/>
        <v>1001104.5</v>
      </c>
      <c r="S268" s="400">
        <f t="shared" si="684"/>
        <v>1001104.5</v>
      </c>
    </row>
    <row r="269" spans="1:19" x14ac:dyDescent="0.25">
      <c r="A269" s="422"/>
      <c r="B269" s="510"/>
      <c r="C269" s="510"/>
      <c r="D269" s="511"/>
      <c r="E269" s="400">
        <v>3401</v>
      </c>
      <c r="F269" s="510" t="s">
        <v>474</v>
      </c>
      <c r="G269" s="420">
        <v>118</v>
      </c>
      <c r="H269" s="510"/>
      <c r="I269" s="510">
        <f t="shared" si="701"/>
        <v>118</v>
      </c>
      <c r="J269" s="510">
        <v>4.7300000000000004</v>
      </c>
      <c r="K269" s="400">
        <f t="shared" si="681"/>
        <v>4.2570000000000006</v>
      </c>
      <c r="L269" s="514">
        <v>0.1</v>
      </c>
      <c r="M269" s="510"/>
      <c r="N269" s="400"/>
      <c r="O269" s="510"/>
      <c r="P269" s="513">
        <f t="shared" si="682"/>
        <v>55.814000000000014</v>
      </c>
      <c r="Q269" s="510">
        <v>17</v>
      </c>
      <c r="R269" s="400">
        <f t="shared" si="683"/>
        <v>948838.00000000023</v>
      </c>
      <c r="S269" s="400">
        <f t="shared" si="684"/>
        <v>948838.00000000023</v>
      </c>
    </row>
    <row r="270" spans="1:19" x14ac:dyDescent="0.25">
      <c r="A270" s="422"/>
      <c r="B270" s="510" t="s">
        <v>642</v>
      </c>
      <c r="C270" s="510" t="s">
        <v>473</v>
      </c>
      <c r="D270" s="511">
        <v>120</v>
      </c>
      <c r="E270" s="400">
        <v>2629</v>
      </c>
      <c r="F270" s="510" t="s">
        <v>474</v>
      </c>
      <c r="G270" s="420">
        <v>187.75</v>
      </c>
      <c r="H270" s="510"/>
      <c r="I270" s="510">
        <v>187.75</v>
      </c>
      <c r="J270" s="510">
        <v>4.7300000000000004</v>
      </c>
      <c r="K270" s="400">
        <v>4.26</v>
      </c>
      <c r="L270" s="514">
        <v>0.1</v>
      </c>
      <c r="M270" s="510"/>
      <c r="N270" s="400"/>
      <c r="O270" s="510"/>
      <c r="P270" s="513">
        <f t="shared" si="682"/>
        <v>88.805750000000018</v>
      </c>
      <c r="Q270" s="510">
        <v>17</v>
      </c>
      <c r="R270" s="400">
        <f t="shared" si="683"/>
        <v>1509697.7500000002</v>
      </c>
      <c r="S270" s="400">
        <f t="shared" si="684"/>
        <v>1509697.7500000002</v>
      </c>
    </row>
    <row r="271" spans="1:19" x14ac:dyDescent="0.25">
      <c r="A271" s="732"/>
      <c r="B271" s="733" t="s">
        <v>507</v>
      </c>
      <c r="C271" s="733"/>
      <c r="D271" s="734">
        <f>SUM(D273:D371)</f>
        <v>3693</v>
      </c>
      <c r="E271" s="734">
        <f>SUM(E273:E371)</f>
        <v>18764</v>
      </c>
      <c r="F271" s="734">
        <f>SUM(F460:F465)</f>
        <v>0</v>
      </c>
      <c r="G271" s="734">
        <f>SUM(G273:G371)</f>
        <v>3737.3</v>
      </c>
      <c r="H271" s="734">
        <f>SUM(H273:H394)</f>
        <v>830.7</v>
      </c>
      <c r="I271" s="734">
        <f>SUM(I273:I371)</f>
        <v>2915.6000000000004</v>
      </c>
      <c r="J271" s="734"/>
      <c r="K271" s="734"/>
      <c r="L271" s="734"/>
      <c r="M271" s="734">
        <f>SUM(M273:M394)</f>
        <v>557.09999999999991</v>
      </c>
      <c r="N271" s="734"/>
      <c r="O271" s="734">
        <f>SUM(O273:O394)</f>
        <v>4337554</v>
      </c>
      <c r="P271" s="734">
        <f>SUM(P273:P394)</f>
        <v>5385.2349999999997</v>
      </c>
      <c r="Q271" s="734"/>
      <c r="R271" s="734">
        <f>SUM(R273:R394)</f>
        <v>70824992</v>
      </c>
      <c r="S271" s="734">
        <f>SUM(S273:S394)</f>
        <v>75162533</v>
      </c>
    </row>
    <row r="272" spans="1:19" s="515" customFormat="1" x14ac:dyDescent="0.25">
      <c r="A272" s="747"/>
      <c r="B272" s="510" t="s">
        <v>649</v>
      </c>
      <c r="C272" s="750"/>
      <c r="D272" s="517">
        <f>SUM(D273:D274)</f>
        <v>1490</v>
      </c>
      <c r="E272" s="517">
        <f t="shared" ref="E272" si="703">SUM(E273:E274)</f>
        <v>3321</v>
      </c>
      <c r="F272" s="517">
        <f t="shared" ref="F272" si="704">SUM(F273:F274)</f>
        <v>0</v>
      </c>
      <c r="G272" s="517">
        <f t="shared" ref="G272" si="705">SUM(G273:G274)</f>
        <v>1475</v>
      </c>
      <c r="H272" s="517">
        <f t="shared" ref="H272" si="706">SUM(H273:H274)</f>
        <v>401</v>
      </c>
      <c r="I272" s="517">
        <f t="shared" ref="I272" si="707">SUM(I273:I274)</f>
        <v>1074</v>
      </c>
      <c r="J272" s="517">
        <f t="shared" ref="J272" si="708">SUM(J273:J274)</f>
        <v>9.4600000000000009</v>
      </c>
      <c r="K272" s="517">
        <f t="shared" ref="K272" si="709">SUM(K273:K274)</f>
        <v>3.5475000000000003</v>
      </c>
      <c r="L272" s="517">
        <f t="shared" ref="L272" si="710">SUM(L273:L274)</f>
        <v>1.25</v>
      </c>
      <c r="M272" s="517">
        <f t="shared" ref="M272" si="711">SUM(M273:M274)</f>
        <v>0</v>
      </c>
      <c r="N272" s="517">
        <f t="shared" ref="N272" si="712">SUM(N273:N274)</f>
        <v>0</v>
      </c>
      <c r="O272" s="517">
        <f t="shared" ref="O272" si="713">SUM(O273:O274)</f>
        <v>0</v>
      </c>
      <c r="P272" s="517">
        <f t="shared" ref="P272" si="714">SUM(P273:P274)</f>
        <v>3166.7350000000006</v>
      </c>
      <c r="Q272" s="517">
        <f t="shared" ref="Q272" si="715">SUM(Q273:Q274)</f>
        <v>34</v>
      </c>
      <c r="R272" s="517">
        <f t="shared" ref="R272" si="716">SUM(R273:R274)</f>
        <v>53834495.000000007</v>
      </c>
      <c r="S272" s="517">
        <f t="shared" ref="S272" si="717">SUM(S273:S274)</f>
        <v>53834495.000000007</v>
      </c>
    </row>
    <row r="273" spans="1:19" x14ac:dyDescent="0.25">
      <c r="A273" s="422"/>
      <c r="C273" s="510"/>
      <c r="D273" s="511">
        <v>1085</v>
      </c>
      <c r="E273" s="400">
        <v>3321</v>
      </c>
      <c r="F273" s="510" t="s">
        <v>501</v>
      </c>
      <c r="G273" s="420">
        <v>1074</v>
      </c>
      <c r="H273" s="510"/>
      <c r="I273" s="510">
        <v>1074</v>
      </c>
      <c r="J273" s="510">
        <v>4.7300000000000004</v>
      </c>
      <c r="K273" s="400">
        <f t="shared" ref="K273:K293" si="718">J273-J273*L273</f>
        <v>3.5475000000000003</v>
      </c>
      <c r="L273" s="514">
        <v>0.25</v>
      </c>
      <c r="M273" s="510"/>
      <c r="N273" s="400"/>
      <c r="O273" s="400"/>
      <c r="P273" s="513">
        <f t="shared" si="682"/>
        <v>1270.0050000000001</v>
      </c>
      <c r="Q273" s="510">
        <v>17</v>
      </c>
      <c r="R273" s="400">
        <f t="shared" si="683"/>
        <v>21590085.000000004</v>
      </c>
      <c r="S273" s="400">
        <f t="shared" si="684"/>
        <v>21590085.000000004</v>
      </c>
    </row>
    <row r="274" spans="1:19" x14ac:dyDescent="0.25">
      <c r="A274" s="422"/>
      <c r="B274" s="510"/>
      <c r="C274" s="510"/>
      <c r="D274" s="511">
        <v>405</v>
      </c>
      <c r="E274" s="400"/>
      <c r="F274" s="510" t="s">
        <v>501</v>
      </c>
      <c r="G274" s="420">
        <v>401</v>
      </c>
      <c r="H274" s="510">
        <v>401</v>
      </c>
      <c r="I274" s="510"/>
      <c r="J274" s="510">
        <v>4.7300000000000004</v>
      </c>
      <c r="K274" s="400">
        <f t="shared" si="718"/>
        <v>0</v>
      </c>
      <c r="L274" s="514">
        <v>1</v>
      </c>
      <c r="M274" s="510"/>
      <c r="N274" s="400"/>
      <c r="O274" s="400"/>
      <c r="P274" s="513">
        <f t="shared" si="682"/>
        <v>1896.7300000000002</v>
      </c>
      <c r="Q274" s="510">
        <v>17</v>
      </c>
      <c r="R274" s="400">
        <f t="shared" si="683"/>
        <v>32244410.000000004</v>
      </c>
      <c r="S274" s="400">
        <f>R274</f>
        <v>32244410.000000004</v>
      </c>
    </row>
    <row r="275" spans="1:19" s="515" customFormat="1" x14ac:dyDescent="0.25">
      <c r="A275" s="751"/>
      <c r="B275" s="510" t="s">
        <v>508</v>
      </c>
      <c r="C275" s="516"/>
      <c r="D275" s="517">
        <f>SUM(D276:D279)</f>
        <v>264</v>
      </c>
      <c r="E275" s="517">
        <f t="shared" ref="E275:S275" si="719">SUM(E276:E279)</f>
        <v>200</v>
      </c>
      <c r="F275" s="517">
        <f t="shared" si="719"/>
        <v>0</v>
      </c>
      <c r="G275" s="517">
        <f t="shared" si="719"/>
        <v>195</v>
      </c>
      <c r="H275" s="517">
        <f t="shared" si="719"/>
        <v>195</v>
      </c>
      <c r="I275" s="517">
        <f t="shared" si="719"/>
        <v>0</v>
      </c>
      <c r="J275" s="517">
        <f t="shared" si="719"/>
        <v>18.920000000000002</v>
      </c>
      <c r="K275" s="517">
        <f t="shared" si="719"/>
        <v>0</v>
      </c>
      <c r="L275" s="517">
        <f t="shared" si="719"/>
        <v>4</v>
      </c>
      <c r="M275" s="517">
        <f t="shared" si="719"/>
        <v>189.2</v>
      </c>
      <c r="N275" s="517">
        <f t="shared" si="719"/>
        <v>51000</v>
      </c>
      <c r="O275" s="517">
        <f t="shared" si="719"/>
        <v>1307500</v>
      </c>
      <c r="P275" s="517">
        <f t="shared" si="719"/>
        <v>512.05000000000007</v>
      </c>
      <c r="Q275" s="517">
        <f t="shared" si="719"/>
        <v>0</v>
      </c>
      <c r="R275" s="517">
        <f t="shared" si="719"/>
        <v>0</v>
      </c>
      <c r="S275" s="517">
        <f t="shared" si="719"/>
        <v>1307500</v>
      </c>
    </row>
    <row r="276" spans="1:19" x14ac:dyDescent="0.25">
      <c r="A276" s="422"/>
      <c r="C276" s="510" t="s">
        <v>473</v>
      </c>
      <c r="D276" s="511">
        <v>264</v>
      </c>
      <c r="E276" s="400"/>
      <c r="F276" s="510" t="s">
        <v>482</v>
      </c>
      <c r="G276" s="420">
        <v>110</v>
      </c>
      <c r="H276" s="510">
        <v>110</v>
      </c>
      <c r="I276" s="510"/>
      <c r="J276" s="510">
        <v>4.7300000000000004</v>
      </c>
      <c r="K276" s="400">
        <f t="shared" si="718"/>
        <v>0</v>
      </c>
      <c r="L276" s="514">
        <v>1</v>
      </c>
      <c r="M276" s="510"/>
      <c r="N276" s="400">
        <v>2500</v>
      </c>
      <c r="O276" s="400">
        <v>275000</v>
      </c>
      <c r="P276" s="513">
        <v>110</v>
      </c>
      <c r="Q276" s="510"/>
      <c r="R276" s="400"/>
      <c r="S276" s="400">
        <f>O276</f>
        <v>275000</v>
      </c>
    </row>
    <row r="277" spans="1:19" x14ac:dyDescent="0.25">
      <c r="A277" s="422"/>
      <c r="B277" s="510"/>
      <c r="C277" s="510"/>
      <c r="D277" s="511"/>
      <c r="E277" s="400"/>
      <c r="F277" s="510" t="s">
        <v>745</v>
      </c>
      <c r="G277" s="420">
        <v>45</v>
      </c>
      <c r="H277" s="510">
        <v>45</v>
      </c>
      <c r="I277" s="510"/>
      <c r="J277" s="510">
        <v>4.7300000000000004</v>
      </c>
      <c r="K277" s="400">
        <f t="shared" si="718"/>
        <v>0</v>
      </c>
      <c r="L277" s="514">
        <v>1</v>
      </c>
      <c r="M277" s="510"/>
      <c r="N277" s="400">
        <v>2500</v>
      </c>
      <c r="O277" s="400">
        <v>112500</v>
      </c>
      <c r="P277" s="513">
        <v>212.85</v>
      </c>
      <c r="Q277" s="510"/>
      <c r="R277" s="400"/>
      <c r="S277" s="400">
        <f t="shared" ref="S277:S285" si="720">O277</f>
        <v>112500</v>
      </c>
    </row>
    <row r="278" spans="1:19" x14ac:dyDescent="0.25">
      <c r="A278" s="422"/>
      <c r="B278" s="510"/>
      <c r="C278" s="510"/>
      <c r="D278" s="511"/>
      <c r="E278" s="400">
        <v>200</v>
      </c>
      <c r="F278" s="510" t="s">
        <v>743</v>
      </c>
      <c r="G278" s="420">
        <v>20</v>
      </c>
      <c r="H278" s="510">
        <v>20</v>
      </c>
      <c r="I278" s="510"/>
      <c r="J278" s="510">
        <v>4.7300000000000004</v>
      </c>
      <c r="K278" s="400">
        <f t="shared" si="718"/>
        <v>0</v>
      </c>
      <c r="L278" s="514">
        <v>1</v>
      </c>
      <c r="M278" s="510">
        <v>94.6</v>
      </c>
      <c r="N278" s="400">
        <v>21000</v>
      </c>
      <c r="O278" s="400">
        <v>420000</v>
      </c>
      <c r="P278" s="513">
        <v>94.6</v>
      </c>
      <c r="Q278" s="510"/>
      <c r="R278" s="400"/>
      <c r="S278" s="400">
        <f t="shared" si="720"/>
        <v>420000</v>
      </c>
    </row>
    <row r="279" spans="1:19" x14ac:dyDescent="0.25">
      <c r="A279" s="422"/>
      <c r="B279" s="510"/>
      <c r="C279" s="510"/>
      <c r="D279" s="511"/>
      <c r="E279" s="400"/>
      <c r="F279" s="510" t="s">
        <v>743</v>
      </c>
      <c r="G279" s="420">
        <v>20</v>
      </c>
      <c r="H279" s="510">
        <v>20</v>
      </c>
      <c r="I279" s="510"/>
      <c r="J279" s="510">
        <v>4.7300000000000004</v>
      </c>
      <c r="K279" s="400">
        <f t="shared" si="718"/>
        <v>0</v>
      </c>
      <c r="L279" s="514">
        <v>1</v>
      </c>
      <c r="M279" s="510">
        <v>94.6</v>
      </c>
      <c r="N279" s="400">
        <v>25000</v>
      </c>
      <c r="O279" s="400">
        <v>500000</v>
      </c>
      <c r="P279" s="513">
        <v>94.6</v>
      </c>
      <c r="Q279" s="510"/>
      <c r="R279" s="400"/>
      <c r="S279" s="400">
        <f t="shared" si="720"/>
        <v>500000</v>
      </c>
    </row>
    <row r="280" spans="1:19" x14ac:dyDescent="0.25">
      <c r="A280" s="422"/>
      <c r="B280" s="510" t="s">
        <v>511</v>
      </c>
      <c r="C280" s="510" t="s">
        <v>473</v>
      </c>
      <c r="D280" s="511">
        <v>2</v>
      </c>
      <c r="E280" s="400">
        <v>2277</v>
      </c>
      <c r="F280" s="510" t="s">
        <v>481</v>
      </c>
      <c r="G280" s="688">
        <v>1.7</v>
      </c>
      <c r="H280" s="510">
        <v>1.7</v>
      </c>
      <c r="I280" s="510"/>
      <c r="J280" s="510">
        <v>4.7300000000000004</v>
      </c>
      <c r="K280" s="400">
        <f t="shared" si="718"/>
        <v>0</v>
      </c>
      <c r="L280" s="514">
        <v>1</v>
      </c>
      <c r="M280" s="510"/>
      <c r="N280" s="400"/>
      <c r="O280" s="400"/>
      <c r="P280" s="513">
        <v>8.0399999999999991</v>
      </c>
      <c r="Q280" s="510">
        <v>17</v>
      </c>
      <c r="R280" s="400">
        <f t="shared" ref="R280" si="721">P280*Q280*1000</f>
        <v>136679.99999999997</v>
      </c>
      <c r="S280" s="400">
        <f t="shared" ref="S280" si="722">R280</f>
        <v>136679.99999999997</v>
      </c>
    </row>
    <row r="281" spans="1:19" s="515" customFormat="1" x14ac:dyDescent="0.25">
      <c r="A281" s="751"/>
      <c r="B281" s="510" t="s">
        <v>520</v>
      </c>
      <c r="C281" s="516"/>
      <c r="D281" s="517">
        <f>SUM(D282:D287)</f>
        <v>238</v>
      </c>
      <c r="E281" s="517">
        <f t="shared" ref="E281:S281" si="723">SUM(E282:E287)</f>
        <v>3796</v>
      </c>
      <c r="F281" s="517">
        <f t="shared" si="723"/>
        <v>0</v>
      </c>
      <c r="G281" s="517">
        <f t="shared" si="723"/>
        <v>310.5</v>
      </c>
      <c r="H281" s="517">
        <f t="shared" si="723"/>
        <v>15</v>
      </c>
      <c r="I281" s="517">
        <f t="shared" si="723"/>
        <v>295.5</v>
      </c>
      <c r="J281" s="517">
        <f t="shared" si="723"/>
        <v>28.380000000000003</v>
      </c>
      <c r="K281" s="517">
        <f t="shared" si="723"/>
        <v>15.845500000000001</v>
      </c>
      <c r="L281" s="517">
        <f t="shared" si="723"/>
        <v>2.65</v>
      </c>
      <c r="M281" s="517">
        <f t="shared" si="723"/>
        <v>82.07</v>
      </c>
      <c r="N281" s="517">
        <f t="shared" si="723"/>
        <v>47000</v>
      </c>
      <c r="O281" s="517">
        <f t="shared" si="723"/>
        <v>372475</v>
      </c>
      <c r="P281" s="517">
        <f t="shared" si="723"/>
        <v>239.33</v>
      </c>
      <c r="Q281" s="517">
        <f t="shared" si="723"/>
        <v>34</v>
      </c>
      <c r="R281" s="517">
        <f t="shared" si="723"/>
        <v>2538950</v>
      </c>
      <c r="S281" s="517">
        <f t="shared" si="723"/>
        <v>2911425</v>
      </c>
    </row>
    <row r="282" spans="1:19" x14ac:dyDescent="0.25">
      <c r="A282" s="422"/>
      <c r="C282" s="510" t="s">
        <v>473</v>
      </c>
      <c r="D282" s="511">
        <v>238</v>
      </c>
      <c r="E282" s="400"/>
      <c r="F282" s="510" t="s">
        <v>746</v>
      </c>
      <c r="G282" s="420">
        <v>5</v>
      </c>
      <c r="H282" s="510"/>
      <c r="I282" s="510">
        <v>5</v>
      </c>
      <c r="J282" s="510">
        <v>4.7300000000000004</v>
      </c>
      <c r="K282" s="400">
        <f t="shared" si="718"/>
        <v>3.5475000000000003</v>
      </c>
      <c r="L282" s="514">
        <v>0.25</v>
      </c>
      <c r="M282" s="510"/>
      <c r="N282" s="400">
        <v>2500</v>
      </c>
      <c r="O282" s="400">
        <v>3125</v>
      </c>
      <c r="P282" s="513">
        <v>5.91</v>
      </c>
      <c r="Q282" s="510"/>
      <c r="R282" s="400"/>
      <c r="S282" s="400">
        <f t="shared" si="720"/>
        <v>3125</v>
      </c>
    </row>
    <row r="283" spans="1:19" x14ac:dyDescent="0.25">
      <c r="A283" s="422"/>
      <c r="B283" s="510"/>
      <c r="C283" s="510"/>
      <c r="D283" s="511"/>
      <c r="E283" s="400"/>
      <c r="F283" s="510" t="s">
        <v>746</v>
      </c>
      <c r="G283" s="420">
        <v>2</v>
      </c>
      <c r="H283" s="510">
        <v>2</v>
      </c>
      <c r="I283" s="510"/>
      <c r="J283" s="510">
        <v>4.7300000000000004</v>
      </c>
      <c r="K283" s="400">
        <f t="shared" si="718"/>
        <v>0</v>
      </c>
      <c r="L283" s="514">
        <v>1</v>
      </c>
      <c r="M283" s="510"/>
      <c r="N283" s="400">
        <v>2500</v>
      </c>
      <c r="O283" s="400">
        <v>5000</v>
      </c>
      <c r="P283" s="513">
        <v>2</v>
      </c>
      <c r="Q283" s="510"/>
      <c r="R283" s="400"/>
      <c r="S283" s="400">
        <f t="shared" si="720"/>
        <v>5000</v>
      </c>
    </row>
    <row r="284" spans="1:19" x14ac:dyDescent="0.25">
      <c r="A284" s="422"/>
      <c r="B284" s="510"/>
      <c r="C284" s="510"/>
      <c r="D284" s="511"/>
      <c r="E284" s="400">
        <v>231</v>
      </c>
      <c r="F284" s="510" t="s">
        <v>743</v>
      </c>
      <c r="G284" s="420">
        <v>29</v>
      </c>
      <c r="H284" s="510"/>
      <c r="I284" s="510">
        <v>29</v>
      </c>
      <c r="J284" s="510">
        <v>4.7300000000000004</v>
      </c>
      <c r="K284" s="400">
        <f t="shared" si="718"/>
        <v>4.0205000000000002</v>
      </c>
      <c r="L284" s="514">
        <v>0.15</v>
      </c>
      <c r="M284" s="510">
        <v>20.58</v>
      </c>
      <c r="N284" s="400">
        <v>21000</v>
      </c>
      <c r="O284" s="400">
        <v>91350</v>
      </c>
      <c r="P284" s="513">
        <v>20.58</v>
      </c>
      <c r="Q284" s="510"/>
      <c r="R284" s="400"/>
      <c r="S284" s="400">
        <f t="shared" si="720"/>
        <v>91350</v>
      </c>
    </row>
    <row r="285" spans="1:19" x14ac:dyDescent="0.25">
      <c r="A285" s="422"/>
      <c r="B285" s="510"/>
      <c r="C285" s="510"/>
      <c r="D285" s="511"/>
      <c r="E285" s="400"/>
      <c r="F285" s="510" t="s">
        <v>743</v>
      </c>
      <c r="G285" s="420">
        <v>13</v>
      </c>
      <c r="H285" s="510">
        <v>13</v>
      </c>
      <c r="I285" s="510"/>
      <c r="J285" s="510">
        <v>4.7300000000000004</v>
      </c>
      <c r="K285" s="400">
        <f t="shared" si="718"/>
        <v>0</v>
      </c>
      <c r="L285" s="514">
        <v>1</v>
      </c>
      <c r="M285" s="510">
        <v>61.49</v>
      </c>
      <c r="N285" s="400">
        <v>21000</v>
      </c>
      <c r="O285" s="400">
        <v>273000</v>
      </c>
      <c r="P285" s="513">
        <v>61.49</v>
      </c>
      <c r="Q285" s="510"/>
      <c r="R285" s="400"/>
      <c r="S285" s="400">
        <f t="shared" si="720"/>
        <v>273000</v>
      </c>
    </row>
    <row r="286" spans="1:19" x14ac:dyDescent="0.25">
      <c r="A286" s="422"/>
      <c r="B286" s="510"/>
      <c r="C286" s="510"/>
      <c r="D286" s="511"/>
      <c r="E286" s="400">
        <v>217</v>
      </c>
      <c r="F286" s="510" t="s">
        <v>586</v>
      </c>
      <c r="G286" s="400">
        <v>108.5</v>
      </c>
      <c r="H286" s="510"/>
      <c r="I286" s="514">
        <v>108.5</v>
      </c>
      <c r="J286" s="510">
        <v>4.7300000000000004</v>
      </c>
      <c r="K286" s="400">
        <f t="shared" si="718"/>
        <v>4.0205000000000002</v>
      </c>
      <c r="L286" s="514">
        <v>0.15</v>
      </c>
      <c r="M286" s="510"/>
      <c r="N286" s="400"/>
      <c r="O286" s="400"/>
      <c r="P286" s="513">
        <v>76.98</v>
      </c>
      <c r="Q286" s="510">
        <v>17</v>
      </c>
      <c r="R286" s="400">
        <f t="shared" ref="R286:R287" si="724">P286*Q286*1000</f>
        <v>1308660</v>
      </c>
      <c r="S286" s="400">
        <f t="shared" ref="S286:S287" si="725">R286</f>
        <v>1308660</v>
      </c>
    </row>
    <row r="287" spans="1:19" x14ac:dyDescent="0.25">
      <c r="A287" s="422"/>
      <c r="B287" s="510"/>
      <c r="C287" s="510"/>
      <c r="D287" s="511"/>
      <c r="E287" s="400">
        <v>3348</v>
      </c>
      <c r="F287" s="510" t="s">
        <v>474</v>
      </c>
      <c r="G287" s="420">
        <v>153</v>
      </c>
      <c r="H287" s="510"/>
      <c r="I287" s="510">
        <v>153</v>
      </c>
      <c r="J287" s="510">
        <v>4.7300000000000004</v>
      </c>
      <c r="K287" s="400">
        <f t="shared" si="718"/>
        <v>4.2570000000000006</v>
      </c>
      <c r="L287" s="514">
        <v>0.1</v>
      </c>
      <c r="M287" s="510"/>
      <c r="N287" s="400"/>
      <c r="O287" s="400"/>
      <c r="P287" s="513">
        <v>72.37</v>
      </c>
      <c r="Q287" s="510">
        <v>17</v>
      </c>
      <c r="R287" s="400">
        <f t="shared" si="724"/>
        <v>1230290</v>
      </c>
      <c r="S287" s="400">
        <f t="shared" si="725"/>
        <v>1230290</v>
      </c>
    </row>
    <row r="288" spans="1:19" s="515" customFormat="1" x14ac:dyDescent="0.25">
      <c r="A288" s="751"/>
      <c r="B288" s="510" t="s">
        <v>654</v>
      </c>
      <c r="C288" s="516"/>
      <c r="D288" s="517">
        <f>SUM(D289:D293)</f>
        <v>597</v>
      </c>
      <c r="E288" s="517">
        <f t="shared" ref="E288:S288" si="726">SUM(E289:E293)</f>
        <v>2585</v>
      </c>
      <c r="F288" s="517">
        <f t="shared" si="726"/>
        <v>0</v>
      </c>
      <c r="G288" s="517">
        <f t="shared" si="726"/>
        <v>621.79999999999995</v>
      </c>
      <c r="H288" s="517">
        <f t="shared" si="726"/>
        <v>0.5</v>
      </c>
      <c r="I288" s="517">
        <f t="shared" si="726"/>
        <v>621.29999999999995</v>
      </c>
      <c r="J288" s="517">
        <f t="shared" si="726"/>
        <v>23.650000000000002</v>
      </c>
      <c r="K288" s="517">
        <f t="shared" si="726"/>
        <v>16.082000000000001</v>
      </c>
      <c r="L288" s="517">
        <f t="shared" si="726"/>
        <v>1.6</v>
      </c>
      <c r="M288" s="517">
        <f t="shared" si="726"/>
        <v>1.28</v>
      </c>
      <c r="N288" s="517">
        <f t="shared" si="726"/>
        <v>23500</v>
      </c>
      <c r="O288" s="517">
        <f t="shared" si="726"/>
        <v>488795</v>
      </c>
      <c r="P288" s="517">
        <f t="shared" si="726"/>
        <v>346.35</v>
      </c>
      <c r="Q288" s="517">
        <f t="shared" si="726"/>
        <v>51</v>
      </c>
      <c r="R288" s="517">
        <f t="shared" si="726"/>
        <v>5887950</v>
      </c>
      <c r="S288" s="517">
        <f t="shared" si="726"/>
        <v>6376745</v>
      </c>
    </row>
    <row r="289" spans="1:19" x14ac:dyDescent="0.25">
      <c r="A289" s="422"/>
      <c r="C289" s="510" t="s">
        <v>473</v>
      </c>
      <c r="D289" s="511">
        <v>597</v>
      </c>
      <c r="E289" s="400"/>
      <c r="F289" s="510" t="s">
        <v>482</v>
      </c>
      <c r="G289" s="400">
        <v>193.25</v>
      </c>
      <c r="H289" s="510"/>
      <c r="I289" s="510">
        <v>193.25</v>
      </c>
      <c r="J289" s="510">
        <v>4.7300000000000004</v>
      </c>
      <c r="K289" s="400">
        <f t="shared" si="718"/>
        <v>3.5475000000000003</v>
      </c>
      <c r="L289" s="514">
        <v>0.25</v>
      </c>
      <c r="M289" s="510"/>
      <c r="N289" s="400">
        <v>2500</v>
      </c>
      <c r="O289" s="400">
        <v>483125</v>
      </c>
      <c r="P289" s="513"/>
      <c r="Q289" s="510"/>
      <c r="R289" s="400"/>
      <c r="S289" s="400">
        <f t="shared" ref="S289" si="727">O289</f>
        <v>483125</v>
      </c>
    </row>
    <row r="290" spans="1:19" x14ac:dyDescent="0.25">
      <c r="A290" s="422"/>
      <c r="B290" s="510"/>
      <c r="C290" s="510"/>
      <c r="D290" s="511"/>
      <c r="E290" s="400"/>
      <c r="F290" s="510" t="s">
        <v>747</v>
      </c>
      <c r="G290" s="400">
        <v>34.5</v>
      </c>
      <c r="H290" s="510">
        <v>0.5</v>
      </c>
      <c r="I290" s="510">
        <v>34</v>
      </c>
      <c r="J290" s="510">
        <v>4.7300000000000004</v>
      </c>
      <c r="K290" s="400">
        <f t="shared" si="718"/>
        <v>0</v>
      </c>
      <c r="L290" s="514">
        <v>1</v>
      </c>
      <c r="M290" s="510"/>
      <c r="N290" s="400"/>
      <c r="O290" s="400"/>
      <c r="P290" s="513">
        <v>160.82</v>
      </c>
      <c r="Q290" s="510">
        <v>17</v>
      </c>
      <c r="R290" s="400">
        <f t="shared" ref="R290" si="728">P290*Q290*1000</f>
        <v>2733940</v>
      </c>
      <c r="S290" s="400">
        <f t="shared" ref="S290" si="729">R290</f>
        <v>2733940</v>
      </c>
    </row>
    <row r="291" spans="1:19" x14ac:dyDescent="0.25">
      <c r="A291" s="422"/>
      <c r="B291" s="510"/>
      <c r="C291" s="510"/>
      <c r="D291" s="511"/>
      <c r="E291" s="400"/>
      <c r="F291" s="510" t="s">
        <v>743</v>
      </c>
      <c r="G291" s="400">
        <v>1.8</v>
      </c>
      <c r="H291" s="510"/>
      <c r="I291" s="514">
        <v>1.8</v>
      </c>
      <c r="J291" s="510">
        <v>4.7300000000000004</v>
      </c>
      <c r="K291" s="400">
        <f t="shared" si="718"/>
        <v>4.0205000000000002</v>
      </c>
      <c r="L291" s="514">
        <v>0.15</v>
      </c>
      <c r="M291" s="510">
        <v>1.28</v>
      </c>
      <c r="N291" s="400">
        <v>21000</v>
      </c>
      <c r="O291" s="400">
        <v>5670</v>
      </c>
      <c r="P291" s="513"/>
      <c r="Q291" s="510"/>
      <c r="R291" s="400"/>
      <c r="S291" s="400">
        <f t="shared" ref="S291" si="730">O291</f>
        <v>5670</v>
      </c>
    </row>
    <row r="292" spans="1:19" x14ac:dyDescent="0.25">
      <c r="A292" s="422"/>
      <c r="B292" s="510"/>
      <c r="C292" s="510"/>
      <c r="D292" s="511"/>
      <c r="E292" s="400">
        <v>2585</v>
      </c>
      <c r="F292" s="510" t="s">
        <v>474</v>
      </c>
      <c r="G292" s="400">
        <v>382.25</v>
      </c>
      <c r="H292" s="510"/>
      <c r="I292" s="510">
        <v>382.25</v>
      </c>
      <c r="J292" s="510">
        <v>4.7300000000000004</v>
      </c>
      <c r="K292" s="400">
        <f t="shared" si="718"/>
        <v>4.2570000000000006</v>
      </c>
      <c r="L292" s="514">
        <v>0.1</v>
      </c>
      <c r="M292" s="510"/>
      <c r="N292" s="400"/>
      <c r="O292" s="400"/>
      <c r="P292" s="513">
        <v>180.8</v>
      </c>
      <c r="Q292" s="510">
        <v>17</v>
      </c>
      <c r="R292" s="400">
        <f t="shared" ref="R292:R293" si="731">P292*Q292*1000</f>
        <v>3073600.0000000005</v>
      </c>
      <c r="S292" s="400">
        <f t="shared" ref="S292:S293" si="732">R292</f>
        <v>3073600.0000000005</v>
      </c>
    </row>
    <row r="293" spans="1:19" x14ac:dyDescent="0.25">
      <c r="A293" s="422"/>
      <c r="B293" s="510"/>
      <c r="C293" s="510"/>
      <c r="D293" s="511"/>
      <c r="E293" s="400"/>
      <c r="F293" s="510" t="s">
        <v>748</v>
      </c>
      <c r="G293" s="420">
        <v>10</v>
      </c>
      <c r="H293" s="510"/>
      <c r="I293" s="510">
        <v>10</v>
      </c>
      <c r="J293" s="510">
        <v>4.7300000000000004</v>
      </c>
      <c r="K293" s="400">
        <f t="shared" si="718"/>
        <v>4.2570000000000006</v>
      </c>
      <c r="L293" s="514">
        <v>0.1</v>
      </c>
      <c r="M293" s="510"/>
      <c r="N293" s="400"/>
      <c r="O293" s="400"/>
      <c r="P293" s="513">
        <v>4.7300000000000004</v>
      </c>
      <c r="Q293" s="510">
        <v>17</v>
      </c>
      <c r="R293" s="400">
        <f t="shared" si="731"/>
        <v>80410.000000000015</v>
      </c>
      <c r="S293" s="400">
        <f t="shared" si="732"/>
        <v>80410.000000000015</v>
      </c>
    </row>
    <row r="294" spans="1:19" x14ac:dyDescent="0.25">
      <c r="A294" s="422"/>
      <c r="B294" s="510"/>
      <c r="C294" s="510"/>
      <c r="D294" s="510"/>
      <c r="E294" s="420"/>
      <c r="F294" s="510"/>
      <c r="G294" s="400"/>
      <c r="H294" s="688"/>
      <c r="I294" s="400"/>
      <c r="J294" s="510"/>
      <c r="K294" s="744"/>
      <c r="L294" s="745"/>
      <c r="M294" s="510"/>
      <c r="N294" s="400"/>
      <c r="O294" s="400"/>
      <c r="P294" s="744"/>
      <c r="Q294" s="400"/>
      <c r="R294" s="400"/>
      <c r="S294" s="400"/>
    </row>
    <row r="295" spans="1:19" x14ac:dyDescent="0.25">
      <c r="A295" s="714"/>
      <c r="B295" s="493">
        <v>1</v>
      </c>
      <c r="C295" s="493">
        <v>2</v>
      </c>
      <c r="D295" s="493">
        <v>3</v>
      </c>
      <c r="E295" s="493">
        <v>4</v>
      </c>
      <c r="F295" s="493">
        <v>5</v>
      </c>
      <c r="G295" s="493">
        <v>6</v>
      </c>
      <c r="H295" s="493">
        <v>7</v>
      </c>
      <c r="I295" s="493">
        <v>8</v>
      </c>
      <c r="J295" s="493">
        <v>9</v>
      </c>
      <c r="K295" s="493">
        <v>10</v>
      </c>
      <c r="L295" s="493">
        <v>11</v>
      </c>
      <c r="M295" s="493">
        <v>12</v>
      </c>
      <c r="N295" s="493">
        <v>13</v>
      </c>
      <c r="O295" s="493">
        <v>14</v>
      </c>
      <c r="P295" s="493">
        <v>15</v>
      </c>
      <c r="Q295" s="493">
        <v>16</v>
      </c>
      <c r="R295" s="493">
        <v>17</v>
      </c>
      <c r="S295" s="493">
        <v>18</v>
      </c>
    </row>
    <row r="296" spans="1:19" x14ac:dyDescent="0.25">
      <c r="A296" s="1530" t="s">
        <v>522</v>
      </c>
      <c r="B296" s="493"/>
      <c r="C296" s="493"/>
      <c r="D296" s="494"/>
      <c r="E296" s="403"/>
      <c r="F296" s="493"/>
      <c r="G296" s="493"/>
      <c r="H296" s="715" t="s">
        <v>690</v>
      </c>
      <c r="I296" s="493"/>
      <c r="J296" s="493"/>
      <c r="K296" s="493"/>
      <c r="L296" s="493"/>
      <c r="M296" s="493"/>
      <c r="N296" s="493"/>
      <c r="O296" s="493"/>
      <c r="P296" s="495" t="s">
        <v>691</v>
      </c>
      <c r="Q296" s="495"/>
      <c r="R296" s="403"/>
      <c r="S296" s="403"/>
    </row>
    <row r="297" spans="1:19" x14ac:dyDescent="0.25">
      <c r="A297" s="1530"/>
      <c r="B297" s="493"/>
      <c r="C297" s="493"/>
      <c r="D297" s="494"/>
      <c r="E297" s="403"/>
      <c r="F297" s="493"/>
      <c r="G297" s="493"/>
      <c r="H297" s="715"/>
      <c r="I297" s="493"/>
      <c r="J297" s="493"/>
      <c r="K297" s="493"/>
      <c r="L297" s="493"/>
      <c r="M297" s="493"/>
      <c r="N297" s="493"/>
      <c r="O297" s="493"/>
      <c r="P297" s="493"/>
      <c r="Q297" s="495"/>
      <c r="R297" s="403"/>
      <c r="S297" s="403"/>
    </row>
    <row r="298" spans="1:19" x14ac:dyDescent="0.25">
      <c r="A298" s="495"/>
      <c r="B298" s="495"/>
      <c r="C298" s="495"/>
      <c r="D298" s="496"/>
      <c r="E298" s="495"/>
      <c r="F298" s="495"/>
      <c r="G298" s="495"/>
      <c r="H298" s="715"/>
      <c r="I298" s="495"/>
      <c r="J298" s="495"/>
      <c r="K298" s="495"/>
      <c r="L298" s="495"/>
      <c r="M298" s="495"/>
      <c r="N298" s="495"/>
      <c r="O298" s="495"/>
      <c r="P298" s="495"/>
      <c r="Q298" s="495"/>
      <c r="R298" s="495"/>
      <c r="S298" s="495"/>
    </row>
    <row r="299" spans="1:19" x14ac:dyDescent="0.25">
      <c r="A299" s="1580" t="s">
        <v>749</v>
      </c>
      <c r="B299" s="1580"/>
      <c r="C299" s="1580"/>
      <c r="D299" s="1580"/>
      <c r="E299" s="746"/>
      <c r="F299" s="1638" t="s">
        <v>693</v>
      </c>
      <c r="G299" s="1638"/>
      <c r="H299" s="1638"/>
      <c r="I299" s="1638"/>
      <c r="J299" s="1638"/>
      <c r="K299" s="1638"/>
      <c r="L299" s="1638"/>
      <c r="M299" s="1638"/>
      <c r="N299" s="495"/>
      <c r="O299" s="495"/>
      <c r="P299" s="1639" t="s">
        <v>694</v>
      </c>
      <c r="Q299" s="1639"/>
      <c r="R299" s="1639"/>
      <c r="S299" s="495"/>
    </row>
    <row r="300" spans="1:19" x14ac:dyDescent="0.25">
      <c r="A300" s="1640" t="s">
        <v>750</v>
      </c>
      <c r="B300" s="1640"/>
      <c r="C300" s="1640"/>
      <c r="D300" s="1640"/>
      <c r="E300" s="716"/>
      <c r="F300" s="716"/>
      <c r="G300" s="717" t="s">
        <v>696</v>
      </c>
      <c r="H300" s="500"/>
      <c r="I300" s="500"/>
      <c r="J300" s="500"/>
      <c r="K300" s="500"/>
      <c r="L300" s="500"/>
      <c r="M300" s="500"/>
      <c r="N300" s="495"/>
      <c r="O300" s="495"/>
      <c r="P300" s="1580" t="s">
        <v>530</v>
      </c>
      <c r="Q300" s="1580"/>
      <c r="R300" s="1580"/>
      <c r="S300" s="495"/>
    </row>
  </sheetData>
  <mergeCells count="28">
    <mergeCell ref="A6:S6"/>
    <mergeCell ref="A1:S1"/>
    <mergeCell ref="A2:S2"/>
    <mergeCell ref="A3:S3"/>
    <mergeCell ref="A4:S4"/>
    <mergeCell ref="A5:S5"/>
    <mergeCell ref="A7:R7"/>
    <mergeCell ref="A8:R8"/>
    <mergeCell ref="A15:A17"/>
    <mergeCell ref="B15:B17"/>
    <mergeCell ref="C15:C17"/>
    <mergeCell ref="D15:D17"/>
    <mergeCell ref="E15:E17"/>
    <mergeCell ref="F15:F17"/>
    <mergeCell ref="G15:I16"/>
    <mergeCell ref="J15:K15"/>
    <mergeCell ref="L15:L17"/>
    <mergeCell ref="M15:S15"/>
    <mergeCell ref="J16:J17"/>
    <mergeCell ref="K16:K17"/>
    <mergeCell ref="M16:O16"/>
    <mergeCell ref="P16:R16"/>
    <mergeCell ref="S16:S17"/>
    <mergeCell ref="A299:D299"/>
    <mergeCell ref="F299:M299"/>
    <mergeCell ref="P299:R299"/>
    <mergeCell ref="A300:D300"/>
    <mergeCell ref="P300:R300"/>
  </mergeCells>
  <printOptions horizontalCentered="1"/>
  <pageMargins left="0.25" right="0.25" top="0.25" bottom="0" header="0.3" footer="0.3"/>
  <pageSetup paperSize="5" scale="65" orientation="landscape" errors="blank" horizontalDpi="4294967294" verticalDpi="300" r:id="rId1"/>
  <rowBreaks count="1" manualBreakCount="1">
    <brk id="89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04D8-BE3F-2649-B5C9-5E7912CD192C}">
  <sheetPr>
    <tabColor rgb="FFC00000"/>
  </sheetPr>
  <dimension ref="A1:T141"/>
  <sheetViews>
    <sheetView view="pageBreakPreview" zoomScale="80" zoomScaleNormal="70" zoomScaleSheetLayoutView="80" workbookViewId="0">
      <pane ySplit="17" topLeftCell="A56" activePane="bottomLeft" state="frozen"/>
      <selection activeCell="P74" sqref="P74"/>
      <selection pane="bottomLeft" activeCell="B80" sqref="B80"/>
    </sheetView>
  </sheetViews>
  <sheetFormatPr defaultColWidth="8.875" defaultRowHeight="15.75" x14ac:dyDescent="0.25"/>
  <cols>
    <col min="1" max="1" width="5.875" style="718" customWidth="1"/>
    <col min="2" max="2" width="16" style="393" customWidth="1"/>
    <col min="3" max="3" width="12.5" style="393" customWidth="1"/>
    <col min="4" max="4" width="11.375" style="718" customWidth="1"/>
    <col min="5" max="5" width="12.375" style="718" customWidth="1"/>
    <col min="6" max="6" width="14.125" style="720" customWidth="1"/>
    <col min="7" max="7" width="14.125" style="393" customWidth="1"/>
    <col min="8" max="8" width="11.375" style="393" bestFit="1" customWidth="1"/>
    <col min="9" max="9" width="10.125" style="393" bestFit="1" customWidth="1"/>
    <col min="10" max="10" width="11.375" style="393" customWidth="1"/>
    <col min="11" max="11" width="14.375" style="393" customWidth="1"/>
    <col min="12" max="12" width="9" style="393" customWidth="1"/>
    <col min="13" max="13" width="8.125" style="393" customWidth="1"/>
    <col min="14" max="14" width="12.5" style="393" customWidth="1"/>
    <col min="15" max="15" width="13.5" style="393" customWidth="1"/>
    <col min="16" max="16" width="15.125" style="393" customWidth="1"/>
    <col min="17" max="17" width="13.5" style="393" customWidth="1"/>
    <col min="18" max="18" width="11.5" style="393" customWidth="1"/>
    <col min="19" max="19" width="14.625" style="393" customWidth="1"/>
    <col min="20" max="20" width="14.875" style="393" customWidth="1"/>
    <col min="21" max="21" width="13.5" style="393" customWidth="1"/>
    <col min="22" max="256" width="8.875" style="393"/>
    <col min="257" max="257" width="5.875" style="393" customWidth="1"/>
    <col min="258" max="258" width="16" style="393" customWidth="1"/>
    <col min="259" max="259" width="12.5" style="393" customWidth="1"/>
    <col min="260" max="260" width="11.375" style="393" customWidth="1"/>
    <col min="261" max="261" width="12.375" style="393" customWidth="1"/>
    <col min="262" max="263" width="14.125" style="393" customWidth="1"/>
    <col min="264" max="264" width="11.375" style="393" bestFit="1" customWidth="1"/>
    <col min="265" max="265" width="10.125" style="393" bestFit="1" customWidth="1"/>
    <col min="266" max="266" width="11.375" style="393" customWidth="1"/>
    <col min="267" max="267" width="14.375" style="393" customWidth="1"/>
    <col min="268" max="268" width="9" style="393" customWidth="1"/>
    <col min="269" max="269" width="8.125" style="393" customWidth="1"/>
    <col min="270" max="270" width="12.5" style="393" customWidth="1"/>
    <col min="271" max="271" width="13.5" style="393" customWidth="1"/>
    <col min="272" max="272" width="15.125" style="393" customWidth="1"/>
    <col min="273" max="273" width="13.5" style="393" customWidth="1"/>
    <col min="274" max="274" width="11.5" style="393" customWidth="1"/>
    <col min="275" max="275" width="14.625" style="393" customWidth="1"/>
    <col min="276" max="276" width="14.875" style="393" customWidth="1"/>
    <col min="277" max="277" width="13.5" style="393" customWidth="1"/>
    <col min="278" max="512" width="8.875" style="393"/>
    <col min="513" max="513" width="5.875" style="393" customWidth="1"/>
    <col min="514" max="514" width="16" style="393" customWidth="1"/>
    <col min="515" max="515" width="12.5" style="393" customWidth="1"/>
    <col min="516" max="516" width="11.375" style="393" customWidth="1"/>
    <col min="517" max="517" width="12.375" style="393" customWidth="1"/>
    <col min="518" max="519" width="14.125" style="393" customWidth="1"/>
    <col min="520" max="520" width="11.375" style="393" bestFit="1" customWidth="1"/>
    <col min="521" max="521" width="10.125" style="393" bestFit="1" customWidth="1"/>
    <col min="522" max="522" width="11.375" style="393" customWidth="1"/>
    <col min="523" max="523" width="14.375" style="393" customWidth="1"/>
    <col min="524" max="524" width="9" style="393" customWidth="1"/>
    <col min="525" max="525" width="8.125" style="393" customWidth="1"/>
    <col min="526" max="526" width="12.5" style="393" customWidth="1"/>
    <col min="527" max="527" width="13.5" style="393" customWidth="1"/>
    <col min="528" max="528" width="15.125" style="393" customWidth="1"/>
    <col min="529" max="529" width="13.5" style="393" customWidth="1"/>
    <col min="530" max="530" width="11.5" style="393" customWidth="1"/>
    <col min="531" max="531" width="14.625" style="393" customWidth="1"/>
    <col min="532" max="532" width="14.875" style="393" customWidth="1"/>
    <col min="533" max="533" width="13.5" style="393" customWidth="1"/>
    <col min="534" max="768" width="8.875" style="393"/>
    <col min="769" max="769" width="5.875" style="393" customWidth="1"/>
    <col min="770" max="770" width="16" style="393" customWidth="1"/>
    <col min="771" max="771" width="12.5" style="393" customWidth="1"/>
    <col min="772" max="772" width="11.375" style="393" customWidth="1"/>
    <col min="773" max="773" width="12.375" style="393" customWidth="1"/>
    <col min="774" max="775" width="14.125" style="393" customWidth="1"/>
    <col min="776" max="776" width="11.375" style="393" bestFit="1" customWidth="1"/>
    <col min="777" max="777" width="10.125" style="393" bestFit="1" customWidth="1"/>
    <col min="778" max="778" width="11.375" style="393" customWidth="1"/>
    <col min="779" max="779" width="14.375" style="393" customWidth="1"/>
    <col min="780" max="780" width="9" style="393" customWidth="1"/>
    <col min="781" max="781" width="8.125" style="393" customWidth="1"/>
    <col min="782" max="782" width="12.5" style="393" customWidth="1"/>
    <col min="783" max="783" width="13.5" style="393" customWidth="1"/>
    <col min="784" max="784" width="15.125" style="393" customWidth="1"/>
    <col min="785" max="785" width="13.5" style="393" customWidth="1"/>
    <col min="786" max="786" width="11.5" style="393" customWidth="1"/>
    <col min="787" max="787" width="14.625" style="393" customWidth="1"/>
    <col min="788" max="788" width="14.875" style="393" customWidth="1"/>
    <col min="789" max="789" width="13.5" style="393" customWidth="1"/>
    <col min="790" max="1024" width="8.875" style="393"/>
    <col min="1025" max="1025" width="5.875" style="393" customWidth="1"/>
    <col min="1026" max="1026" width="16" style="393" customWidth="1"/>
    <col min="1027" max="1027" width="12.5" style="393" customWidth="1"/>
    <col min="1028" max="1028" width="11.375" style="393" customWidth="1"/>
    <col min="1029" max="1029" width="12.375" style="393" customWidth="1"/>
    <col min="1030" max="1031" width="14.125" style="393" customWidth="1"/>
    <col min="1032" max="1032" width="11.375" style="393" bestFit="1" customWidth="1"/>
    <col min="1033" max="1033" width="10.125" style="393" bestFit="1" customWidth="1"/>
    <col min="1034" max="1034" width="11.375" style="393" customWidth="1"/>
    <col min="1035" max="1035" width="14.375" style="393" customWidth="1"/>
    <col min="1036" max="1036" width="9" style="393" customWidth="1"/>
    <col min="1037" max="1037" width="8.125" style="393" customWidth="1"/>
    <col min="1038" max="1038" width="12.5" style="393" customWidth="1"/>
    <col min="1039" max="1039" width="13.5" style="393" customWidth="1"/>
    <col min="1040" max="1040" width="15.125" style="393" customWidth="1"/>
    <col min="1041" max="1041" width="13.5" style="393" customWidth="1"/>
    <col min="1042" max="1042" width="11.5" style="393" customWidth="1"/>
    <col min="1043" max="1043" width="14.625" style="393" customWidth="1"/>
    <col min="1044" max="1044" width="14.875" style="393" customWidth="1"/>
    <col min="1045" max="1045" width="13.5" style="393" customWidth="1"/>
    <col min="1046" max="1280" width="8.875" style="393"/>
    <col min="1281" max="1281" width="5.875" style="393" customWidth="1"/>
    <col min="1282" max="1282" width="16" style="393" customWidth="1"/>
    <col min="1283" max="1283" width="12.5" style="393" customWidth="1"/>
    <col min="1284" max="1284" width="11.375" style="393" customWidth="1"/>
    <col min="1285" max="1285" width="12.375" style="393" customWidth="1"/>
    <col min="1286" max="1287" width="14.125" style="393" customWidth="1"/>
    <col min="1288" max="1288" width="11.375" style="393" bestFit="1" customWidth="1"/>
    <col min="1289" max="1289" width="10.125" style="393" bestFit="1" customWidth="1"/>
    <col min="1290" max="1290" width="11.375" style="393" customWidth="1"/>
    <col min="1291" max="1291" width="14.375" style="393" customWidth="1"/>
    <col min="1292" max="1292" width="9" style="393" customWidth="1"/>
    <col min="1293" max="1293" width="8.125" style="393" customWidth="1"/>
    <col min="1294" max="1294" width="12.5" style="393" customWidth="1"/>
    <col min="1295" max="1295" width="13.5" style="393" customWidth="1"/>
    <col min="1296" max="1296" width="15.125" style="393" customWidth="1"/>
    <col min="1297" max="1297" width="13.5" style="393" customWidth="1"/>
    <col min="1298" max="1298" width="11.5" style="393" customWidth="1"/>
    <col min="1299" max="1299" width="14.625" style="393" customWidth="1"/>
    <col min="1300" max="1300" width="14.875" style="393" customWidth="1"/>
    <col min="1301" max="1301" width="13.5" style="393" customWidth="1"/>
    <col min="1302" max="1536" width="8.875" style="393"/>
    <col min="1537" max="1537" width="5.875" style="393" customWidth="1"/>
    <col min="1538" max="1538" width="16" style="393" customWidth="1"/>
    <col min="1539" max="1539" width="12.5" style="393" customWidth="1"/>
    <col min="1540" max="1540" width="11.375" style="393" customWidth="1"/>
    <col min="1541" max="1541" width="12.375" style="393" customWidth="1"/>
    <col min="1542" max="1543" width="14.125" style="393" customWidth="1"/>
    <col min="1544" max="1544" width="11.375" style="393" bestFit="1" customWidth="1"/>
    <col min="1545" max="1545" width="10.125" style="393" bestFit="1" customWidth="1"/>
    <col min="1546" max="1546" width="11.375" style="393" customWidth="1"/>
    <col min="1547" max="1547" width="14.375" style="393" customWidth="1"/>
    <col min="1548" max="1548" width="9" style="393" customWidth="1"/>
    <col min="1549" max="1549" width="8.125" style="393" customWidth="1"/>
    <col min="1550" max="1550" width="12.5" style="393" customWidth="1"/>
    <col min="1551" max="1551" width="13.5" style="393" customWidth="1"/>
    <col min="1552" max="1552" width="15.125" style="393" customWidth="1"/>
    <col min="1553" max="1553" width="13.5" style="393" customWidth="1"/>
    <col min="1554" max="1554" width="11.5" style="393" customWidth="1"/>
    <col min="1555" max="1555" width="14.625" style="393" customWidth="1"/>
    <col min="1556" max="1556" width="14.875" style="393" customWidth="1"/>
    <col min="1557" max="1557" width="13.5" style="393" customWidth="1"/>
    <col min="1558" max="1792" width="8.875" style="393"/>
    <col min="1793" max="1793" width="5.875" style="393" customWidth="1"/>
    <col min="1794" max="1794" width="16" style="393" customWidth="1"/>
    <col min="1795" max="1795" width="12.5" style="393" customWidth="1"/>
    <col min="1796" max="1796" width="11.375" style="393" customWidth="1"/>
    <col min="1797" max="1797" width="12.375" style="393" customWidth="1"/>
    <col min="1798" max="1799" width="14.125" style="393" customWidth="1"/>
    <col min="1800" max="1800" width="11.375" style="393" bestFit="1" customWidth="1"/>
    <col min="1801" max="1801" width="10.125" style="393" bestFit="1" customWidth="1"/>
    <col min="1802" max="1802" width="11.375" style="393" customWidth="1"/>
    <col min="1803" max="1803" width="14.375" style="393" customWidth="1"/>
    <col min="1804" max="1804" width="9" style="393" customWidth="1"/>
    <col min="1805" max="1805" width="8.125" style="393" customWidth="1"/>
    <col min="1806" max="1806" width="12.5" style="393" customWidth="1"/>
    <col min="1807" max="1807" width="13.5" style="393" customWidth="1"/>
    <col min="1808" max="1808" width="15.125" style="393" customWidth="1"/>
    <col min="1809" max="1809" width="13.5" style="393" customWidth="1"/>
    <col min="1810" max="1810" width="11.5" style="393" customWidth="1"/>
    <col min="1811" max="1811" width="14.625" style="393" customWidth="1"/>
    <col min="1812" max="1812" width="14.875" style="393" customWidth="1"/>
    <col min="1813" max="1813" width="13.5" style="393" customWidth="1"/>
    <col min="1814" max="2048" width="8.875" style="393"/>
    <col min="2049" max="2049" width="5.875" style="393" customWidth="1"/>
    <col min="2050" max="2050" width="16" style="393" customWidth="1"/>
    <col min="2051" max="2051" width="12.5" style="393" customWidth="1"/>
    <col min="2052" max="2052" width="11.375" style="393" customWidth="1"/>
    <col min="2053" max="2053" width="12.375" style="393" customWidth="1"/>
    <col min="2054" max="2055" width="14.125" style="393" customWidth="1"/>
    <col min="2056" max="2056" width="11.375" style="393" bestFit="1" customWidth="1"/>
    <col min="2057" max="2057" width="10.125" style="393" bestFit="1" customWidth="1"/>
    <col min="2058" max="2058" width="11.375" style="393" customWidth="1"/>
    <col min="2059" max="2059" width="14.375" style="393" customWidth="1"/>
    <col min="2060" max="2060" width="9" style="393" customWidth="1"/>
    <col min="2061" max="2061" width="8.125" style="393" customWidth="1"/>
    <col min="2062" max="2062" width="12.5" style="393" customWidth="1"/>
    <col min="2063" max="2063" width="13.5" style="393" customWidth="1"/>
    <col min="2064" max="2064" width="15.125" style="393" customWidth="1"/>
    <col min="2065" max="2065" width="13.5" style="393" customWidth="1"/>
    <col min="2066" max="2066" width="11.5" style="393" customWidth="1"/>
    <col min="2067" max="2067" width="14.625" style="393" customWidth="1"/>
    <col min="2068" max="2068" width="14.875" style="393" customWidth="1"/>
    <col min="2069" max="2069" width="13.5" style="393" customWidth="1"/>
    <col min="2070" max="2304" width="8.875" style="393"/>
    <col min="2305" max="2305" width="5.875" style="393" customWidth="1"/>
    <col min="2306" max="2306" width="16" style="393" customWidth="1"/>
    <col min="2307" max="2307" width="12.5" style="393" customWidth="1"/>
    <col min="2308" max="2308" width="11.375" style="393" customWidth="1"/>
    <col min="2309" max="2309" width="12.375" style="393" customWidth="1"/>
    <col min="2310" max="2311" width="14.125" style="393" customWidth="1"/>
    <col min="2312" max="2312" width="11.375" style="393" bestFit="1" customWidth="1"/>
    <col min="2313" max="2313" width="10.125" style="393" bestFit="1" customWidth="1"/>
    <col min="2314" max="2314" width="11.375" style="393" customWidth="1"/>
    <col min="2315" max="2315" width="14.375" style="393" customWidth="1"/>
    <col min="2316" max="2316" width="9" style="393" customWidth="1"/>
    <col min="2317" max="2317" width="8.125" style="393" customWidth="1"/>
    <col min="2318" max="2318" width="12.5" style="393" customWidth="1"/>
    <col min="2319" max="2319" width="13.5" style="393" customWidth="1"/>
    <col min="2320" max="2320" width="15.125" style="393" customWidth="1"/>
    <col min="2321" max="2321" width="13.5" style="393" customWidth="1"/>
    <col min="2322" max="2322" width="11.5" style="393" customWidth="1"/>
    <col min="2323" max="2323" width="14.625" style="393" customWidth="1"/>
    <col min="2324" max="2324" width="14.875" style="393" customWidth="1"/>
    <col min="2325" max="2325" width="13.5" style="393" customWidth="1"/>
    <col min="2326" max="2560" width="8.875" style="393"/>
    <col min="2561" max="2561" width="5.875" style="393" customWidth="1"/>
    <col min="2562" max="2562" width="16" style="393" customWidth="1"/>
    <col min="2563" max="2563" width="12.5" style="393" customWidth="1"/>
    <col min="2564" max="2564" width="11.375" style="393" customWidth="1"/>
    <col min="2565" max="2565" width="12.375" style="393" customWidth="1"/>
    <col min="2566" max="2567" width="14.125" style="393" customWidth="1"/>
    <col min="2568" max="2568" width="11.375" style="393" bestFit="1" customWidth="1"/>
    <col min="2569" max="2569" width="10.125" style="393" bestFit="1" customWidth="1"/>
    <col min="2570" max="2570" width="11.375" style="393" customWidth="1"/>
    <col min="2571" max="2571" width="14.375" style="393" customWidth="1"/>
    <col min="2572" max="2572" width="9" style="393" customWidth="1"/>
    <col min="2573" max="2573" width="8.125" style="393" customWidth="1"/>
    <col min="2574" max="2574" width="12.5" style="393" customWidth="1"/>
    <col min="2575" max="2575" width="13.5" style="393" customWidth="1"/>
    <col min="2576" max="2576" width="15.125" style="393" customWidth="1"/>
    <col min="2577" max="2577" width="13.5" style="393" customWidth="1"/>
    <col min="2578" max="2578" width="11.5" style="393" customWidth="1"/>
    <col min="2579" max="2579" width="14.625" style="393" customWidth="1"/>
    <col min="2580" max="2580" width="14.875" style="393" customWidth="1"/>
    <col min="2581" max="2581" width="13.5" style="393" customWidth="1"/>
    <col min="2582" max="2816" width="8.875" style="393"/>
    <col min="2817" max="2817" width="5.875" style="393" customWidth="1"/>
    <col min="2818" max="2818" width="16" style="393" customWidth="1"/>
    <col min="2819" max="2819" width="12.5" style="393" customWidth="1"/>
    <col min="2820" max="2820" width="11.375" style="393" customWidth="1"/>
    <col min="2821" max="2821" width="12.375" style="393" customWidth="1"/>
    <col min="2822" max="2823" width="14.125" style="393" customWidth="1"/>
    <col min="2824" max="2824" width="11.375" style="393" bestFit="1" customWidth="1"/>
    <col min="2825" max="2825" width="10.125" style="393" bestFit="1" customWidth="1"/>
    <col min="2826" max="2826" width="11.375" style="393" customWidth="1"/>
    <col min="2827" max="2827" width="14.375" style="393" customWidth="1"/>
    <col min="2828" max="2828" width="9" style="393" customWidth="1"/>
    <col min="2829" max="2829" width="8.125" style="393" customWidth="1"/>
    <col min="2830" max="2830" width="12.5" style="393" customWidth="1"/>
    <col min="2831" max="2831" width="13.5" style="393" customWidth="1"/>
    <col min="2832" max="2832" width="15.125" style="393" customWidth="1"/>
    <col min="2833" max="2833" width="13.5" style="393" customWidth="1"/>
    <col min="2834" max="2834" width="11.5" style="393" customWidth="1"/>
    <col min="2835" max="2835" width="14.625" style="393" customWidth="1"/>
    <col min="2836" max="2836" width="14.875" style="393" customWidth="1"/>
    <col min="2837" max="2837" width="13.5" style="393" customWidth="1"/>
    <col min="2838" max="3072" width="8.875" style="393"/>
    <col min="3073" max="3073" width="5.875" style="393" customWidth="1"/>
    <col min="3074" max="3074" width="16" style="393" customWidth="1"/>
    <col min="3075" max="3075" width="12.5" style="393" customWidth="1"/>
    <col min="3076" max="3076" width="11.375" style="393" customWidth="1"/>
    <col min="3077" max="3077" width="12.375" style="393" customWidth="1"/>
    <col min="3078" max="3079" width="14.125" style="393" customWidth="1"/>
    <col min="3080" max="3080" width="11.375" style="393" bestFit="1" customWidth="1"/>
    <col min="3081" max="3081" width="10.125" style="393" bestFit="1" customWidth="1"/>
    <col min="3082" max="3082" width="11.375" style="393" customWidth="1"/>
    <col min="3083" max="3083" width="14.375" style="393" customWidth="1"/>
    <col min="3084" max="3084" width="9" style="393" customWidth="1"/>
    <col min="3085" max="3085" width="8.125" style="393" customWidth="1"/>
    <col min="3086" max="3086" width="12.5" style="393" customWidth="1"/>
    <col min="3087" max="3087" width="13.5" style="393" customWidth="1"/>
    <col min="3088" max="3088" width="15.125" style="393" customWidth="1"/>
    <col min="3089" max="3089" width="13.5" style="393" customWidth="1"/>
    <col min="3090" max="3090" width="11.5" style="393" customWidth="1"/>
    <col min="3091" max="3091" width="14.625" style="393" customWidth="1"/>
    <col min="3092" max="3092" width="14.875" style="393" customWidth="1"/>
    <col min="3093" max="3093" width="13.5" style="393" customWidth="1"/>
    <col min="3094" max="3328" width="8.875" style="393"/>
    <col min="3329" max="3329" width="5.875" style="393" customWidth="1"/>
    <col min="3330" max="3330" width="16" style="393" customWidth="1"/>
    <col min="3331" max="3331" width="12.5" style="393" customWidth="1"/>
    <col min="3332" max="3332" width="11.375" style="393" customWidth="1"/>
    <col min="3333" max="3333" width="12.375" style="393" customWidth="1"/>
    <col min="3334" max="3335" width="14.125" style="393" customWidth="1"/>
    <col min="3336" max="3336" width="11.375" style="393" bestFit="1" customWidth="1"/>
    <col min="3337" max="3337" width="10.125" style="393" bestFit="1" customWidth="1"/>
    <col min="3338" max="3338" width="11.375" style="393" customWidth="1"/>
    <col min="3339" max="3339" width="14.375" style="393" customWidth="1"/>
    <col min="3340" max="3340" width="9" style="393" customWidth="1"/>
    <col min="3341" max="3341" width="8.125" style="393" customWidth="1"/>
    <col min="3342" max="3342" width="12.5" style="393" customWidth="1"/>
    <col min="3343" max="3343" width="13.5" style="393" customWidth="1"/>
    <col min="3344" max="3344" width="15.125" style="393" customWidth="1"/>
    <col min="3345" max="3345" width="13.5" style="393" customWidth="1"/>
    <col min="3346" max="3346" width="11.5" style="393" customWidth="1"/>
    <col min="3347" max="3347" width="14.625" style="393" customWidth="1"/>
    <col min="3348" max="3348" width="14.875" style="393" customWidth="1"/>
    <col min="3349" max="3349" width="13.5" style="393" customWidth="1"/>
    <col min="3350" max="3584" width="8.875" style="393"/>
    <col min="3585" max="3585" width="5.875" style="393" customWidth="1"/>
    <col min="3586" max="3586" width="16" style="393" customWidth="1"/>
    <col min="3587" max="3587" width="12.5" style="393" customWidth="1"/>
    <col min="3588" max="3588" width="11.375" style="393" customWidth="1"/>
    <col min="3589" max="3589" width="12.375" style="393" customWidth="1"/>
    <col min="3590" max="3591" width="14.125" style="393" customWidth="1"/>
    <col min="3592" max="3592" width="11.375" style="393" bestFit="1" customWidth="1"/>
    <col min="3593" max="3593" width="10.125" style="393" bestFit="1" customWidth="1"/>
    <col min="3594" max="3594" width="11.375" style="393" customWidth="1"/>
    <col min="3595" max="3595" width="14.375" style="393" customWidth="1"/>
    <col min="3596" max="3596" width="9" style="393" customWidth="1"/>
    <col min="3597" max="3597" width="8.125" style="393" customWidth="1"/>
    <col min="3598" max="3598" width="12.5" style="393" customWidth="1"/>
    <col min="3599" max="3599" width="13.5" style="393" customWidth="1"/>
    <col min="3600" max="3600" width="15.125" style="393" customWidth="1"/>
    <col min="3601" max="3601" width="13.5" style="393" customWidth="1"/>
    <col min="3602" max="3602" width="11.5" style="393" customWidth="1"/>
    <col min="3603" max="3603" width="14.625" style="393" customWidth="1"/>
    <col min="3604" max="3604" width="14.875" style="393" customWidth="1"/>
    <col min="3605" max="3605" width="13.5" style="393" customWidth="1"/>
    <col min="3606" max="3840" width="8.875" style="393"/>
    <col min="3841" max="3841" width="5.875" style="393" customWidth="1"/>
    <col min="3842" max="3842" width="16" style="393" customWidth="1"/>
    <col min="3843" max="3843" width="12.5" style="393" customWidth="1"/>
    <col min="3844" max="3844" width="11.375" style="393" customWidth="1"/>
    <col min="3845" max="3845" width="12.375" style="393" customWidth="1"/>
    <col min="3846" max="3847" width="14.125" style="393" customWidth="1"/>
    <col min="3848" max="3848" width="11.375" style="393" bestFit="1" customWidth="1"/>
    <col min="3849" max="3849" width="10.125" style="393" bestFit="1" customWidth="1"/>
    <col min="3850" max="3850" width="11.375" style="393" customWidth="1"/>
    <col min="3851" max="3851" width="14.375" style="393" customWidth="1"/>
    <col min="3852" max="3852" width="9" style="393" customWidth="1"/>
    <col min="3853" max="3853" width="8.125" style="393" customWidth="1"/>
    <col min="3854" max="3854" width="12.5" style="393" customWidth="1"/>
    <col min="3855" max="3855" width="13.5" style="393" customWidth="1"/>
    <col min="3856" max="3856" width="15.125" style="393" customWidth="1"/>
    <col min="3857" max="3857" width="13.5" style="393" customWidth="1"/>
    <col min="3858" max="3858" width="11.5" style="393" customWidth="1"/>
    <col min="3859" max="3859" width="14.625" style="393" customWidth="1"/>
    <col min="3860" max="3860" width="14.875" style="393" customWidth="1"/>
    <col min="3861" max="3861" width="13.5" style="393" customWidth="1"/>
    <col min="3862" max="4096" width="8.875" style="393"/>
    <col min="4097" max="4097" width="5.875" style="393" customWidth="1"/>
    <col min="4098" max="4098" width="16" style="393" customWidth="1"/>
    <col min="4099" max="4099" width="12.5" style="393" customWidth="1"/>
    <col min="4100" max="4100" width="11.375" style="393" customWidth="1"/>
    <col min="4101" max="4101" width="12.375" style="393" customWidth="1"/>
    <col min="4102" max="4103" width="14.125" style="393" customWidth="1"/>
    <col min="4104" max="4104" width="11.375" style="393" bestFit="1" customWidth="1"/>
    <col min="4105" max="4105" width="10.125" style="393" bestFit="1" customWidth="1"/>
    <col min="4106" max="4106" width="11.375" style="393" customWidth="1"/>
    <col min="4107" max="4107" width="14.375" style="393" customWidth="1"/>
    <col min="4108" max="4108" width="9" style="393" customWidth="1"/>
    <col min="4109" max="4109" width="8.125" style="393" customWidth="1"/>
    <col min="4110" max="4110" width="12.5" style="393" customWidth="1"/>
    <col min="4111" max="4111" width="13.5" style="393" customWidth="1"/>
    <col min="4112" max="4112" width="15.125" style="393" customWidth="1"/>
    <col min="4113" max="4113" width="13.5" style="393" customWidth="1"/>
    <col min="4114" max="4114" width="11.5" style="393" customWidth="1"/>
    <col min="4115" max="4115" width="14.625" style="393" customWidth="1"/>
    <col min="4116" max="4116" width="14.875" style="393" customWidth="1"/>
    <col min="4117" max="4117" width="13.5" style="393" customWidth="1"/>
    <col min="4118" max="4352" width="8.875" style="393"/>
    <col min="4353" max="4353" width="5.875" style="393" customWidth="1"/>
    <col min="4354" max="4354" width="16" style="393" customWidth="1"/>
    <col min="4355" max="4355" width="12.5" style="393" customWidth="1"/>
    <col min="4356" max="4356" width="11.375" style="393" customWidth="1"/>
    <col min="4357" max="4357" width="12.375" style="393" customWidth="1"/>
    <col min="4358" max="4359" width="14.125" style="393" customWidth="1"/>
    <col min="4360" max="4360" width="11.375" style="393" bestFit="1" customWidth="1"/>
    <col min="4361" max="4361" width="10.125" style="393" bestFit="1" customWidth="1"/>
    <col min="4362" max="4362" width="11.375" style="393" customWidth="1"/>
    <col min="4363" max="4363" width="14.375" style="393" customWidth="1"/>
    <col min="4364" max="4364" width="9" style="393" customWidth="1"/>
    <col min="4365" max="4365" width="8.125" style="393" customWidth="1"/>
    <col min="4366" max="4366" width="12.5" style="393" customWidth="1"/>
    <col min="4367" max="4367" width="13.5" style="393" customWidth="1"/>
    <col min="4368" max="4368" width="15.125" style="393" customWidth="1"/>
    <col min="4369" max="4369" width="13.5" style="393" customWidth="1"/>
    <col min="4370" max="4370" width="11.5" style="393" customWidth="1"/>
    <col min="4371" max="4371" width="14.625" style="393" customWidth="1"/>
    <col min="4372" max="4372" width="14.875" style="393" customWidth="1"/>
    <col min="4373" max="4373" width="13.5" style="393" customWidth="1"/>
    <col min="4374" max="4608" width="8.875" style="393"/>
    <col min="4609" max="4609" width="5.875" style="393" customWidth="1"/>
    <col min="4610" max="4610" width="16" style="393" customWidth="1"/>
    <col min="4611" max="4611" width="12.5" style="393" customWidth="1"/>
    <col min="4612" max="4612" width="11.375" style="393" customWidth="1"/>
    <col min="4613" max="4613" width="12.375" style="393" customWidth="1"/>
    <col min="4614" max="4615" width="14.125" style="393" customWidth="1"/>
    <col min="4616" max="4616" width="11.375" style="393" bestFit="1" customWidth="1"/>
    <col min="4617" max="4617" width="10.125" style="393" bestFit="1" customWidth="1"/>
    <col min="4618" max="4618" width="11.375" style="393" customWidth="1"/>
    <col min="4619" max="4619" width="14.375" style="393" customWidth="1"/>
    <col min="4620" max="4620" width="9" style="393" customWidth="1"/>
    <col min="4621" max="4621" width="8.125" style="393" customWidth="1"/>
    <col min="4622" max="4622" width="12.5" style="393" customWidth="1"/>
    <col min="4623" max="4623" width="13.5" style="393" customWidth="1"/>
    <col min="4624" max="4624" width="15.125" style="393" customWidth="1"/>
    <col min="4625" max="4625" width="13.5" style="393" customWidth="1"/>
    <col min="4626" max="4626" width="11.5" style="393" customWidth="1"/>
    <col min="4627" max="4627" width="14.625" style="393" customWidth="1"/>
    <col min="4628" max="4628" width="14.875" style="393" customWidth="1"/>
    <col min="4629" max="4629" width="13.5" style="393" customWidth="1"/>
    <col min="4630" max="4864" width="8.875" style="393"/>
    <col min="4865" max="4865" width="5.875" style="393" customWidth="1"/>
    <col min="4866" max="4866" width="16" style="393" customWidth="1"/>
    <col min="4867" max="4867" width="12.5" style="393" customWidth="1"/>
    <col min="4868" max="4868" width="11.375" style="393" customWidth="1"/>
    <col min="4869" max="4869" width="12.375" style="393" customWidth="1"/>
    <col min="4870" max="4871" width="14.125" style="393" customWidth="1"/>
    <col min="4872" max="4872" width="11.375" style="393" bestFit="1" customWidth="1"/>
    <col min="4873" max="4873" width="10.125" style="393" bestFit="1" customWidth="1"/>
    <col min="4874" max="4874" width="11.375" style="393" customWidth="1"/>
    <col min="4875" max="4875" width="14.375" style="393" customWidth="1"/>
    <col min="4876" max="4876" width="9" style="393" customWidth="1"/>
    <col min="4877" max="4877" width="8.125" style="393" customWidth="1"/>
    <col min="4878" max="4878" width="12.5" style="393" customWidth="1"/>
    <col min="4879" max="4879" width="13.5" style="393" customWidth="1"/>
    <col min="4880" max="4880" width="15.125" style="393" customWidth="1"/>
    <col min="4881" max="4881" width="13.5" style="393" customWidth="1"/>
    <col min="4882" max="4882" width="11.5" style="393" customWidth="1"/>
    <col min="4883" max="4883" width="14.625" style="393" customWidth="1"/>
    <col min="4884" max="4884" width="14.875" style="393" customWidth="1"/>
    <col min="4885" max="4885" width="13.5" style="393" customWidth="1"/>
    <col min="4886" max="5120" width="8.875" style="393"/>
    <col min="5121" max="5121" width="5.875" style="393" customWidth="1"/>
    <col min="5122" max="5122" width="16" style="393" customWidth="1"/>
    <col min="5123" max="5123" width="12.5" style="393" customWidth="1"/>
    <col min="5124" max="5124" width="11.375" style="393" customWidth="1"/>
    <col min="5125" max="5125" width="12.375" style="393" customWidth="1"/>
    <col min="5126" max="5127" width="14.125" style="393" customWidth="1"/>
    <col min="5128" max="5128" width="11.375" style="393" bestFit="1" customWidth="1"/>
    <col min="5129" max="5129" width="10.125" style="393" bestFit="1" customWidth="1"/>
    <col min="5130" max="5130" width="11.375" style="393" customWidth="1"/>
    <col min="5131" max="5131" width="14.375" style="393" customWidth="1"/>
    <col min="5132" max="5132" width="9" style="393" customWidth="1"/>
    <col min="5133" max="5133" width="8.125" style="393" customWidth="1"/>
    <col min="5134" max="5134" width="12.5" style="393" customWidth="1"/>
    <col min="5135" max="5135" width="13.5" style="393" customWidth="1"/>
    <col min="5136" max="5136" width="15.125" style="393" customWidth="1"/>
    <col min="5137" max="5137" width="13.5" style="393" customWidth="1"/>
    <col min="5138" max="5138" width="11.5" style="393" customWidth="1"/>
    <col min="5139" max="5139" width="14.625" style="393" customWidth="1"/>
    <col min="5140" max="5140" width="14.875" style="393" customWidth="1"/>
    <col min="5141" max="5141" width="13.5" style="393" customWidth="1"/>
    <col min="5142" max="5376" width="8.875" style="393"/>
    <col min="5377" max="5377" width="5.875" style="393" customWidth="1"/>
    <col min="5378" max="5378" width="16" style="393" customWidth="1"/>
    <col min="5379" max="5379" width="12.5" style="393" customWidth="1"/>
    <col min="5380" max="5380" width="11.375" style="393" customWidth="1"/>
    <col min="5381" max="5381" width="12.375" style="393" customWidth="1"/>
    <col min="5382" max="5383" width="14.125" style="393" customWidth="1"/>
    <col min="5384" max="5384" width="11.375" style="393" bestFit="1" customWidth="1"/>
    <col min="5385" max="5385" width="10.125" style="393" bestFit="1" customWidth="1"/>
    <col min="5386" max="5386" width="11.375" style="393" customWidth="1"/>
    <col min="5387" max="5387" width="14.375" style="393" customWidth="1"/>
    <col min="5388" max="5388" width="9" style="393" customWidth="1"/>
    <col min="5389" max="5389" width="8.125" style="393" customWidth="1"/>
    <col min="5390" max="5390" width="12.5" style="393" customWidth="1"/>
    <col min="5391" max="5391" width="13.5" style="393" customWidth="1"/>
    <col min="5392" max="5392" width="15.125" style="393" customWidth="1"/>
    <col min="5393" max="5393" width="13.5" style="393" customWidth="1"/>
    <col min="5394" max="5394" width="11.5" style="393" customWidth="1"/>
    <col min="5395" max="5395" width="14.625" style="393" customWidth="1"/>
    <col min="5396" max="5396" width="14.875" style="393" customWidth="1"/>
    <col min="5397" max="5397" width="13.5" style="393" customWidth="1"/>
    <col min="5398" max="5632" width="8.875" style="393"/>
    <col min="5633" max="5633" width="5.875" style="393" customWidth="1"/>
    <col min="5634" max="5634" width="16" style="393" customWidth="1"/>
    <col min="5635" max="5635" width="12.5" style="393" customWidth="1"/>
    <col min="5636" max="5636" width="11.375" style="393" customWidth="1"/>
    <col min="5637" max="5637" width="12.375" style="393" customWidth="1"/>
    <col min="5638" max="5639" width="14.125" style="393" customWidth="1"/>
    <col min="5640" max="5640" width="11.375" style="393" bestFit="1" customWidth="1"/>
    <col min="5641" max="5641" width="10.125" style="393" bestFit="1" customWidth="1"/>
    <col min="5642" max="5642" width="11.375" style="393" customWidth="1"/>
    <col min="5643" max="5643" width="14.375" style="393" customWidth="1"/>
    <col min="5644" max="5644" width="9" style="393" customWidth="1"/>
    <col min="5645" max="5645" width="8.125" style="393" customWidth="1"/>
    <col min="5646" max="5646" width="12.5" style="393" customWidth="1"/>
    <col min="5647" max="5647" width="13.5" style="393" customWidth="1"/>
    <col min="5648" max="5648" width="15.125" style="393" customWidth="1"/>
    <col min="5649" max="5649" width="13.5" style="393" customWidth="1"/>
    <col min="5650" max="5650" width="11.5" style="393" customWidth="1"/>
    <col min="5651" max="5651" width="14.625" style="393" customWidth="1"/>
    <col min="5652" max="5652" width="14.875" style="393" customWidth="1"/>
    <col min="5653" max="5653" width="13.5" style="393" customWidth="1"/>
    <col min="5654" max="5888" width="8.875" style="393"/>
    <col min="5889" max="5889" width="5.875" style="393" customWidth="1"/>
    <col min="5890" max="5890" width="16" style="393" customWidth="1"/>
    <col min="5891" max="5891" width="12.5" style="393" customWidth="1"/>
    <col min="5892" max="5892" width="11.375" style="393" customWidth="1"/>
    <col min="5893" max="5893" width="12.375" style="393" customWidth="1"/>
    <col min="5894" max="5895" width="14.125" style="393" customWidth="1"/>
    <col min="5896" max="5896" width="11.375" style="393" bestFit="1" customWidth="1"/>
    <col min="5897" max="5897" width="10.125" style="393" bestFit="1" customWidth="1"/>
    <col min="5898" max="5898" width="11.375" style="393" customWidth="1"/>
    <col min="5899" max="5899" width="14.375" style="393" customWidth="1"/>
    <col min="5900" max="5900" width="9" style="393" customWidth="1"/>
    <col min="5901" max="5901" width="8.125" style="393" customWidth="1"/>
    <col min="5902" max="5902" width="12.5" style="393" customWidth="1"/>
    <col min="5903" max="5903" width="13.5" style="393" customWidth="1"/>
    <col min="5904" max="5904" width="15.125" style="393" customWidth="1"/>
    <col min="5905" max="5905" width="13.5" style="393" customWidth="1"/>
    <col min="5906" max="5906" width="11.5" style="393" customWidth="1"/>
    <col min="5907" max="5907" width="14.625" style="393" customWidth="1"/>
    <col min="5908" max="5908" width="14.875" style="393" customWidth="1"/>
    <col min="5909" max="5909" width="13.5" style="393" customWidth="1"/>
    <col min="5910" max="6144" width="8.875" style="393"/>
    <col min="6145" max="6145" width="5.875" style="393" customWidth="1"/>
    <col min="6146" max="6146" width="16" style="393" customWidth="1"/>
    <col min="6147" max="6147" width="12.5" style="393" customWidth="1"/>
    <col min="6148" max="6148" width="11.375" style="393" customWidth="1"/>
    <col min="6149" max="6149" width="12.375" style="393" customWidth="1"/>
    <col min="6150" max="6151" width="14.125" style="393" customWidth="1"/>
    <col min="6152" max="6152" width="11.375" style="393" bestFit="1" customWidth="1"/>
    <col min="6153" max="6153" width="10.125" style="393" bestFit="1" customWidth="1"/>
    <col min="6154" max="6154" width="11.375" style="393" customWidth="1"/>
    <col min="6155" max="6155" width="14.375" style="393" customWidth="1"/>
    <col min="6156" max="6156" width="9" style="393" customWidth="1"/>
    <col min="6157" max="6157" width="8.125" style="393" customWidth="1"/>
    <col min="6158" max="6158" width="12.5" style="393" customWidth="1"/>
    <col min="6159" max="6159" width="13.5" style="393" customWidth="1"/>
    <col min="6160" max="6160" width="15.125" style="393" customWidth="1"/>
    <col min="6161" max="6161" width="13.5" style="393" customWidth="1"/>
    <col min="6162" max="6162" width="11.5" style="393" customWidth="1"/>
    <col min="6163" max="6163" width="14.625" style="393" customWidth="1"/>
    <col min="6164" max="6164" width="14.875" style="393" customWidth="1"/>
    <col min="6165" max="6165" width="13.5" style="393" customWidth="1"/>
    <col min="6166" max="6400" width="8.875" style="393"/>
    <col min="6401" max="6401" width="5.875" style="393" customWidth="1"/>
    <col min="6402" max="6402" width="16" style="393" customWidth="1"/>
    <col min="6403" max="6403" width="12.5" style="393" customWidth="1"/>
    <col min="6404" max="6404" width="11.375" style="393" customWidth="1"/>
    <col min="6405" max="6405" width="12.375" style="393" customWidth="1"/>
    <col min="6406" max="6407" width="14.125" style="393" customWidth="1"/>
    <col min="6408" max="6408" width="11.375" style="393" bestFit="1" customWidth="1"/>
    <col min="6409" max="6409" width="10.125" style="393" bestFit="1" customWidth="1"/>
    <col min="6410" max="6410" width="11.375" style="393" customWidth="1"/>
    <col min="6411" max="6411" width="14.375" style="393" customWidth="1"/>
    <col min="6412" max="6412" width="9" style="393" customWidth="1"/>
    <col min="6413" max="6413" width="8.125" style="393" customWidth="1"/>
    <col min="6414" max="6414" width="12.5" style="393" customWidth="1"/>
    <col min="6415" max="6415" width="13.5" style="393" customWidth="1"/>
    <col min="6416" max="6416" width="15.125" style="393" customWidth="1"/>
    <col min="6417" max="6417" width="13.5" style="393" customWidth="1"/>
    <col min="6418" max="6418" width="11.5" style="393" customWidth="1"/>
    <col min="6419" max="6419" width="14.625" style="393" customWidth="1"/>
    <col min="6420" max="6420" width="14.875" style="393" customWidth="1"/>
    <col min="6421" max="6421" width="13.5" style="393" customWidth="1"/>
    <col min="6422" max="6656" width="8.875" style="393"/>
    <col min="6657" max="6657" width="5.875" style="393" customWidth="1"/>
    <col min="6658" max="6658" width="16" style="393" customWidth="1"/>
    <col min="6659" max="6659" width="12.5" style="393" customWidth="1"/>
    <col min="6660" max="6660" width="11.375" style="393" customWidth="1"/>
    <col min="6661" max="6661" width="12.375" style="393" customWidth="1"/>
    <col min="6662" max="6663" width="14.125" style="393" customWidth="1"/>
    <col min="6664" max="6664" width="11.375" style="393" bestFit="1" customWidth="1"/>
    <col min="6665" max="6665" width="10.125" style="393" bestFit="1" customWidth="1"/>
    <col min="6666" max="6666" width="11.375" style="393" customWidth="1"/>
    <col min="6667" max="6667" width="14.375" style="393" customWidth="1"/>
    <col min="6668" max="6668" width="9" style="393" customWidth="1"/>
    <col min="6669" max="6669" width="8.125" style="393" customWidth="1"/>
    <col min="6670" max="6670" width="12.5" style="393" customWidth="1"/>
    <col min="6671" max="6671" width="13.5" style="393" customWidth="1"/>
    <col min="6672" max="6672" width="15.125" style="393" customWidth="1"/>
    <col min="6673" max="6673" width="13.5" style="393" customWidth="1"/>
    <col min="6674" max="6674" width="11.5" style="393" customWidth="1"/>
    <col min="6675" max="6675" width="14.625" style="393" customWidth="1"/>
    <col min="6676" max="6676" width="14.875" style="393" customWidth="1"/>
    <col min="6677" max="6677" width="13.5" style="393" customWidth="1"/>
    <col min="6678" max="6912" width="8.875" style="393"/>
    <col min="6913" max="6913" width="5.875" style="393" customWidth="1"/>
    <col min="6914" max="6914" width="16" style="393" customWidth="1"/>
    <col min="6915" max="6915" width="12.5" style="393" customWidth="1"/>
    <col min="6916" max="6916" width="11.375" style="393" customWidth="1"/>
    <col min="6917" max="6917" width="12.375" style="393" customWidth="1"/>
    <col min="6918" max="6919" width="14.125" style="393" customWidth="1"/>
    <col min="6920" max="6920" width="11.375" style="393" bestFit="1" customWidth="1"/>
    <col min="6921" max="6921" width="10.125" style="393" bestFit="1" customWidth="1"/>
    <col min="6922" max="6922" width="11.375" style="393" customWidth="1"/>
    <col min="6923" max="6923" width="14.375" style="393" customWidth="1"/>
    <col min="6924" max="6924" width="9" style="393" customWidth="1"/>
    <col min="6925" max="6925" width="8.125" style="393" customWidth="1"/>
    <col min="6926" max="6926" width="12.5" style="393" customWidth="1"/>
    <col min="6927" max="6927" width="13.5" style="393" customWidth="1"/>
    <col min="6928" max="6928" width="15.125" style="393" customWidth="1"/>
    <col min="6929" max="6929" width="13.5" style="393" customWidth="1"/>
    <col min="6930" max="6930" width="11.5" style="393" customWidth="1"/>
    <col min="6931" max="6931" width="14.625" style="393" customWidth="1"/>
    <col min="6932" max="6932" width="14.875" style="393" customWidth="1"/>
    <col min="6933" max="6933" width="13.5" style="393" customWidth="1"/>
    <col min="6934" max="7168" width="8.875" style="393"/>
    <col min="7169" max="7169" width="5.875" style="393" customWidth="1"/>
    <col min="7170" max="7170" width="16" style="393" customWidth="1"/>
    <col min="7171" max="7171" width="12.5" style="393" customWidth="1"/>
    <col min="7172" max="7172" width="11.375" style="393" customWidth="1"/>
    <col min="7173" max="7173" width="12.375" style="393" customWidth="1"/>
    <col min="7174" max="7175" width="14.125" style="393" customWidth="1"/>
    <col min="7176" max="7176" width="11.375" style="393" bestFit="1" customWidth="1"/>
    <col min="7177" max="7177" width="10.125" style="393" bestFit="1" customWidth="1"/>
    <col min="7178" max="7178" width="11.375" style="393" customWidth="1"/>
    <col min="7179" max="7179" width="14.375" style="393" customWidth="1"/>
    <col min="7180" max="7180" width="9" style="393" customWidth="1"/>
    <col min="7181" max="7181" width="8.125" style="393" customWidth="1"/>
    <col min="7182" max="7182" width="12.5" style="393" customWidth="1"/>
    <col min="7183" max="7183" width="13.5" style="393" customWidth="1"/>
    <col min="7184" max="7184" width="15.125" style="393" customWidth="1"/>
    <col min="7185" max="7185" width="13.5" style="393" customWidth="1"/>
    <col min="7186" max="7186" width="11.5" style="393" customWidth="1"/>
    <col min="7187" max="7187" width="14.625" style="393" customWidth="1"/>
    <col min="7188" max="7188" width="14.875" style="393" customWidth="1"/>
    <col min="7189" max="7189" width="13.5" style="393" customWidth="1"/>
    <col min="7190" max="7424" width="8.875" style="393"/>
    <col min="7425" max="7425" width="5.875" style="393" customWidth="1"/>
    <col min="7426" max="7426" width="16" style="393" customWidth="1"/>
    <col min="7427" max="7427" width="12.5" style="393" customWidth="1"/>
    <col min="7428" max="7428" width="11.375" style="393" customWidth="1"/>
    <col min="7429" max="7429" width="12.375" style="393" customWidth="1"/>
    <col min="7430" max="7431" width="14.125" style="393" customWidth="1"/>
    <col min="7432" max="7432" width="11.375" style="393" bestFit="1" customWidth="1"/>
    <col min="7433" max="7433" width="10.125" style="393" bestFit="1" customWidth="1"/>
    <col min="7434" max="7434" width="11.375" style="393" customWidth="1"/>
    <col min="7435" max="7435" width="14.375" style="393" customWidth="1"/>
    <col min="7436" max="7436" width="9" style="393" customWidth="1"/>
    <col min="7437" max="7437" width="8.125" style="393" customWidth="1"/>
    <col min="7438" max="7438" width="12.5" style="393" customWidth="1"/>
    <col min="7439" max="7439" width="13.5" style="393" customWidth="1"/>
    <col min="7440" max="7440" width="15.125" style="393" customWidth="1"/>
    <col min="7441" max="7441" width="13.5" style="393" customWidth="1"/>
    <col min="7442" max="7442" width="11.5" style="393" customWidth="1"/>
    <col min="7443" max="7443" width="14.625" style="393" customWidth="1"/>
    <col min="7444" max="7444" width="14.875" style="393" customWidth="1"/>
    <col min="7445" max="7445" width="13.5" style="393" customWidth="1"/>
    <col min="7446" max="7680" width="8.875" style="393"/>
    <col min="7681" max="7681" width="5.875" style="393" customWidth="1"/>
    <col min="7682" max="7682" width="16" style="393" customWidth="1"/>
    <col min="7683" max="7683" width="12.5" style="393" customWidth="1"/>
    <col min="7684" max="7684" width="11.375" style="393" customWidth="1"/>
    <col min="7685" max="7685" width="12.375" style="393" customWidth="1"/>
    <col min="7686" max="7687" width="14.125" style="393" customWidth="1"/>
    <col min="7688" max="7688" width="11.375" style="393" bestFit="1" customWidth="1"/>
    <col min="7689" max="7689" width="10.125" style="393" bestFit="1" customWidth="1"/>
    <col min="7690" max="7690" width="11.375" style="393" customWidth="1"/>
    <col min="7691" max="7691" width="14.375" style="393" customWidth="1"/>
    <col min="7692" max="7692" width="9" style="393" customWidth="1"/>
    <col min="7693" max="7693" width="8.125" style="393" customWidth="1"/>
    <col min="7694" max="7694" width="12.5" style="393" customWidth="1"/>
    <col min="7695" max="7695" width="13.5" style="393" customWidth="1"/>
    <col min="7696" max="7696" width="15.125" style="393" customWidth="1"/>
    <col min="7697" max="7697" width="13.5" style="393" customWidth="1"/>
    <col min="7698" max="7698" width="11.5" style="393" customWidth="1"/>
    <col min="7699" max="7699" width="14.625" style="393" customWidth="1"/>
    <col min="7700" max="7700" width="14.875" style="393" customWidth="1"/>
    <col min="7701" max="7701" width="13.5" style="393" customWidth="1"/>
    <col min="7702" max="7936" width="8.875" style="393"/>
    <col min="7937" max="7937" width="5.875" style="393" customWidth="1"/>
    <col min="7938" max="7938" width="16" style="393" customWidth="1"/>
    <col min="7939" max="7939" width="12.5" style="393" customWidth="1"/>
    <col min="7940" max="7940" width="11.375" style="393" customWidth="1"/>
    <col min="7941" max="7941" width="12.375" style="393" customWidth="1"/>
    <col min="7942" max="7943" width="14.125" style="393" customWidth="1"/>
    <col min="7944" max="7944" width="11.375" style="393" bestFit="1" customWidth="1"/>
    <col min="7945" max="7945" width="10.125" style="393" bestFit="1" customWidth="1"/>
    <col min="7946" max="7946" width="11.375" style="393" customWidth="1"/>
    <col min="7947" max="7947" width="14.375" style="393" customWidth="1"/>
    <col min="7948" max="7948" width="9" style="393" customWidth="1"/>
    <col min="7949" max="7949" width="8.125" style="393" customWidth="1"/>
    <col min="7950" max="7950" width="12.5" style="393" customWidth="1"/>
    <col min="7951" max="7951" width="13.5" style="393" customWidth="1"/>
    <col min="7952" max="7952" width="15.125" style="393" customWidth="1"/>
    <col min="7953" max="7953" width="13.5" style="393" customWidth="1"/>
    <col min="7954" max="7954" width="11.5" style="393" customWidth="1"/>
    <col min="7955" max="7955" width="14.625" style="393" customWidth="1"/>
    <col min="7956" max="7956" width="14.875" style="393" customWidth="1"/>
    <col min="7957" max="7957" width="13.5" style="393" customWidth="1"/>
    <col min="7958" max="8192" width="8.875" style="393"/>
    <col min="8193" max="8193" width="5.875" style="393" customWidth="1"/>
    <col min="8194" max="8194" width="16" style="393" customWidth="1"/>
    <col min="8195" max="8195" width="12.5" style="393" customWidth="1"/>
    <col min="8196" max="8196" width="11.375" style="393" customWidth="1"/>
    <col min="8197" max="8197" width="12.375" style="393" customWidth="1"/>
    <col min="8198" max="8199" width="14.125" style="393" customWidth="1"/>
    <col min="8200" max="8200" width="11.375" style="393" bestFit="1" customWidth="1"/>
    <col min="8201" max="8201" width="10.125" style="393" bestFit="1" customWidth="1"/>
    <col min="8202" max="8202" width="11.375" style="393" customWidth="1"/>
    <col min="8203" max="8203" width="14.375" style="393" customWidth="1"/>
    <col min="8204" max="8204" width="9" style="393" customWidth="1"/>
    <col min="8205" max="8205" width="8.125" style="393" customWidth="1"/>
    <col min="8206" max="8206" width="12.5" style="393" customWidth="1"/>
    <col min="8207" max="8207" width="13.5" style="393" customWidth="1"/>
    <col min="8208" max="8208" width="15.125" style="393" customWidth="1"/>
    <col min="8209" max="8209" width="13.5" style="393" customWidth="1"/>
    <col min="8210" max="8210" width="11.5" style="393" customWidth="1"/>
    <col min="8211" max="8211" width="14.625" style="393" customWidth="1"/>
    <col min="8212" max="8212" width="14.875" style="393" customWidth="1"/>
    <col min="8213" max="8213" width="13.5" style="393" customWidth="1"/>
    <col min="8214" max="8448" width="8.875" style="393"/>
    <col min="8449" max="8449" width="5.875" style="393" customWidth="1"/>
    <col min="8450" max="8450" width="16" style="393" customWidth="1"/>
    <col min="8451" max="8451" width="12.5" style="393" customWidth="1"/>
    <col min="8452" max="8452" width="11.375" style="393" customWidth="1"/>
    <col min="8453" max="8453" width="12.375" style="393" customWidth="1"/>
    <col min="8454" max="8455" width="14.125" style="393" customWidth="1"/>
    <col min="8456" max="8456" width="11.375" style="393" bestFit="1" customWidth="1"/>
    <col min="8457" max="8457" width="10.125" style="393" bestFit="1" customWidth="1"/>
    <col min="8458" max="8458" width="11.375" style="393" customWidth="1"/>
    <col min="8459" max="8459" width="14.375" style="393" customWidth="1"/>
    <col min="8460" max="8460" width="9" style="393" customWidth="1"/>
    <col min="8461" max="8461" width="8.125" style="393" customWidth="1"/>
    <col min="8462" max="8462" width="12.5" style="393" customWidth="1"/>
    <col min="8463" max="8463" width="13.5" style="393" customWidth="1"/>
    <col min="8464" max="8464" width="15.125" style="393" customWidth="1"/>
    <col min="8465" max="8465" width="13.5" style="393" customWidth="1"/>
    <col min="8466" max="8466" width="11.5" style="393" customWidth="1"/>
    <col min="8467" max="8467" width="14.625" style="393" customWidth="1"/>
    <col min="8468" max="8468" width="14.875" style="393" customWidth="1"/>
    <col min="8469" max="8469" width="13.5" style="393" customWidth="1"/>
    <col min="8470" max="8704" width="8.875" style="393"/>
    <col min="8705" max="8705" width="5.875" style="393" customWidth="1"/>
    <col min="8706" max="8706" width="16" style="393" customWidth="1"/>
    <col min="8707" max="8707" width="12.5" style="393" customWidth="1"/>
    <col min="8708" max="8708" width="11.375" style="393" customWidth="1"/>
    <col min="8709" max="8709" width="12.375" style="393" customWidth="1"/>
    <col min="8710" max="8711" width="14.125" style="393" customWidth="1"/>
    <col min="8712" max="8712" width="11.375" style="393" bestFit="1" customWidth="1"/>
    <col min="8713" max="8713" width="10.125" style="393" bestFit="1" customWidth="1"/>
    <col min="8714" max="8714" width="11.375" style="393" customWidth="1"/>
    <col min="8715" max="8715" width="14.375" style="393" customWidth="1"/>
    <col min="8716" max="8716" width="9" style="393" customWidth="1"/>
    <col min="8717" max="8717" width="8.125" style="393" customWidth="1"/>
    <col min="8718" max="8718" width="12.5" style="393" customWidth="1"/>
    <col min="8719" max="8719" width="13.5" style="393" customWidth="1"/>
    <col min="8720" max="8720" width="15.125" style="393" customWidth="1"/>
    <col min="8721" max="8721" width="13.5" style="393" customWidth="1"/>
    <col min="8722" max="8722" width="11.5" style="393" customWidth="1"/>
    <col min="8723" max="8723" width="14.625" style="393" customWidth="1"/>
    <col min="8724" max="8724" width="14.875" style="393" customWidth="1"/>
    <col min="8725" max="8725" width="13.5" style="393" customWidth="1"/>
    <col min="8726" max="8960" width="8.875" style="393"/>
    <col min="8961" max="8961" width="5.875" style="393" customWidth="1"/>
    <col min="8962" max="8962" width="16" style="393" customWidth="1"/>
    <col min="8963" max="8963" width="12.5" style="393" customWidth="1"/>
    <col min="8964" max="8964" width="11.375" style="393" customWidth="1"/>
    <col min="8965" max="8965" width="12.375" style="393" customWidth="1"/>
    <col min="8966" max="8967" width="14.125" style="393" customWidth="1"/>
    <col min="8968" max="8968" width="11.375" style="393" bestFit="1" customWidth="1"/>
    <col min="8969" max="8969" width="10.125" style="393" bestFit="1" customWidth="1"/>
    <col min="8970" max="8970" width="11.375" style="393" customWidth="1"/>
    <col min="8971" max="8971" width="14.375" style="393" customWidth="1"/>
    <col min="8972" max="8972" width="9" style="393" customWidth="1"/>
    <col min="8973" max="8973" width="8.125" style="393" customWidth="1"/>
    <col min="8974" max="8974" width="12.5" style="393" customWidth="1"/>
    <col min="8975" max="8975" width="13.5" style="393" customWidth="1"/>
    <col min="8976" max="8976" width="15.125" style="393" customWidth="1"/>
    <col min="8977" max="8977" width="13.5" style="393" customWidth="1"/>
    <col min="8978" max="8978" width="11.5" style="393" customWidth="1"/>
    <col min="8979" max="8979" width="14.625" style="393" customWidth="1"/>
    <col min="8980" max="8980" width="14.875" style="393" customWidth="1"/>
    <col min="8981" max="8981" width="13.5" style="393" customWidth="1"/>
    <col min="8982" max="9216" width="8.875" style="393"/>
    <col min="9217" max="9217" width="5.875" style="393" customWidth="1"/>
    <col min="9218" max="9218" width="16" style="393" customWidth="1"/>
    <col min="9219" max="9219" width="12.5" style="393" customWidth="1"/>
    <col min="9220" max="9220" width="11.375" style="393" customWidth="1"/>
    <col min="9221" max="9221" width="12.375" style="393" customWidth="1"/>
    <col min="9222" max="9223" width="14.125" style="393" customWidth="1"/>
    <col min="9224" max="9224" width="11.375" style="393" bestFit="1" customWidth="1"/>
    <col min="9225" max="9225" width="10.125" style="393" bestFit="1" customWidth="1"/>
    <col min="9226" max="9226" width="11.375" style="393" customWidth="1"/>
    <col min="9227" max="9227" width="14.375" style="393" customWidth="1"/>
    <col min="9228" max="9228" width="9" style="393" customWidth="1"/>
    <col min="9229" max="9229" width="8.125" style="393" customWidth="1"/>
    <col min="9230" max="9230" width="12.5" style="393" customWidth="1"/>
    <col min="9231" max="9231" width="13.5" style="393" customWidth="1"/>
    <col min="9232" max="9232" width="15.125" style="393" customWidth="1"/>
    <col min="9233" max="9233" width="13.5" style="393" customWidth="1"/>
    <col min="9234" max="9234" width="11.5" style="393" customWidth="1"/>
    <col min="9235" max="9235" width="14.625" style="393" customWidth="1"/>
    <col min="9236" max="9236" width="14.875" style="393" customWidth="1"/>
    <col min="9237" max="9237" width="13.5" style="393" customWidth="1"/>
    <col min="9238" max="9472" width="8.875" style="393"/>
    <col min="9473" max="9473" width="5.875" style="393" customWidth="1"/>
    <col min="9474" max="9474" width="16" style="393" customWidth="1"/>
    <col min="9475" max="9475" width="12.5" style="393" customWidth="1"/>
    <col min="9476" max="9476" width="11.375" style="393" customWidth="1"/>
    <col min="9477" max="9477" width="12.375" style="393" customWidth="1"/>
    <col min="9478" max="9479" width="14.125" style="393" customWidth="1"/>
    <col min="9480" max="9480" width="11.375" style="393" bestFit="1" customWidth="1"/>
    <col min="9481" max="9481" width="10.125" style="393" bestFit="1" customWidth="1"/>
    <col min="9482" max="9482" width="11.375" style="393" customWidth="1"/>
    <col min="9483" max="9483" width="14.375" style="393" customWidth="1"/>
    <col min="9484" max="9484" width="9" style="393" customWidth="1"/>
    <col min="9485" max="9485" width="8.125" style="393" customWidth="1"/>
    <col min="9486" max="9486" width="12.5" style="393" customWidth="1"/>
    <col min="9487" max="9487" width="13.5" style="393" customWidth="1"/>
    <col min="9488" max="9488" width="15.125" style="393" customWidth="1"/>
    <col min="9489" max="9489" width="13.5" style="393" customWidth="1"/>
    <col min="9490" max="9490" width="11.5" style="393" customWidth="1"/>
    <col min="9491" max="9491" width="14.625" style="393" customWidth="1"/>
    <col min="9492" max="9492" width="14.875" style="393" customWidth="1"/>
    <col min="9493" max="9493" width="13.5" style="393" customWidth="1"/>
    <col min="9494" max="9728" width="8.875" style="393"/>
    <col min="9729" max="9729" width="5.875" style="393" customWidth="1"/>
    <col min="9730" max="9730" width="16" style="393" customWidth="1"/>
    <col min="9731" max="9731" width="12.5" style="393" customWidth="1"/>
    <col min="9732" max="9732" width="11.375" style="393" customWidth="1"/>
    <col min="9733" max="9733" width="12.375" style="393" customWidth="1"/>
    <col min="9734" max="9735" width="14.125" style="393" customWidth="1"/>
    <col min="9736" max="9736" width="11.375" style="393" bestFit="1" customWidth="1"/>
    <col min="9737" max="9737" width="10.125" style="393" bestFit="1" customWidth="1"/>
    <col min="9738" max="9738" width="11.375" style="393" customWidth="1"/>
    <col min="9739" max="9739" width="14.375" style="393" customWidth="1"/>
    <col min="9740" max="9740" width="9" style="393" customWidth="1"/>
    <col min="9741" max="9741" width="8.125" style="393" customWidth="1"/>
    <col min="9742" max="9742" width="12.5" style="393" customWidth="1"/>
    <col min="9743" max="9743" width="13.5" style="393" customWidth="1"/>
    <col min="9744" max="9744" width="15.125" style="393" customWidth="1"/>
    <col min="9745" max="9745" width="13.5" style="393" customWidth="1"/>
    <col min="9746" max="9746" width="11.5" style="393" customWidth="1"/>
    <col min="9747" max="9747" width="14.625" style="393" customWidth="1"/>
    <col min="9748" max="9748" width="14.875" style="393" customWidth="1"/>
    <col min="9749" max="9749" width="13.5" style="393" customWidth="1"/>
    <col min="9750" max="9984" width="8.875" style="393"/>
    <col min="9985" max="9985" width="5.875" style="393" customWidth="1"/>
    <col min="9986" max="9986" width="16" style="393" customWidth="1"/>
    <col min="9987" max="9987" width="12.5" style="393" customWidth="1"/>
    <col min="9988" max="9988" width="11.375" style="393" customWidth="1"/>
    <col min="9989" max="9989" width="12.375" style="393" customWidth="1"/>
    <col min="9990" max="9991" width="14.125" style="393" customWidth="1"/>
    <col min="9992" max="9992" width="11.375" style="393" bestFit="1" customWidth="1"/>
    <col min="9993" max="9993" width="10.125" style="393" bestFit="1" customWidth="1"/>
    <col min="9994" max="9994" width="11.375" style="393" customWidth="1"/>
    <col min="9995" max="9995" width="14.375" style="393" customWidth="1"/>
    <col min="9996" max="9996" width="9" style="393" customWidth="1"/>
    <col min="9997" max="9997" width="8.125" style="393" customWidth="1"/>
    <col min="9998" max="9998" width="12.5" style="393" customWidth="1"/>
    <col min="9999" max="9999" width="13.5" style="393" customWidth="1"/>
    <col min="10000" max="10000" width="15.125" style="393" customWidth="1"/>
    <col min="10001" max="10001" width="13.5" style="393" customWidth="1"/>
    <col min="10002" max="10002" width="11.5" style="393" customWidth="1"/>
    <col min="10003" max="10003" width="14.625" style="393" customWidth="1"/>
    <col min="10004" max="10004" width="14.875" style="393" customWidth="1"/>
    <col min="10005" max="10005" width="13.5" style="393" customWidth="1"/>
    <col min="10006" max="10240" width="8.875" style="393"/>
    <col min="10241" max="10241" width="5.875" style="393" customWidth="1"/>
    <col min="10242" max="10242" width="16" style="393" customWidth="1"/>
    <col min="10243" max="10243" width="12.5" style="393" customWidth="1"/>
    <col min="10244" max="10244" width="11.375" style="393" customWidth="1"/>
    <col min="10245" max="10245" width="12.375" style="393" customWidth="1"/>
    <col min="10246" max="10247" width="14.125" style="393" customWidth="1"/>
    <col min="10248" max="10248" width="11.375" style="393" bestFit="1" customWidth="1"/>
    <col min="10249" max="10249" width="10.125" style="393" bestFit="1" customWidth="1"/>
    <col min="10250" max="10250" width="11.375" style="393" customWidth="1"/>
    <col min="10251" max="10251" width="14.375" style="393" customWidth="1"/>
    <col min="10252" max="10252" width="9" style="393" customWidth="1"/>
    <col min="10253" max="10253" width="8.125" style="393" customWidth="1"/>
    <col min="10254" max="10254" width="12.5" style="393" customWidth="1"/>
    <col min="10255" max="10255" width="13.5" style="393" customWidth="1"/>
    <col min="10256" max="10256" width="15.125" style="393" customWidth="1"/>
    <col min="10257" max="10257" width="13.5" style="393" customWidth="1"/>
    <col min="10258" max="10258" width="11.5" style="393" customWidth="1"/>
    <col min="10259" max="10259" width="14.625" style="393" customWidth="1"/>
    <col min="10260" max="10260" width="14.875" style="393" customWidth="1"/>
    <col min="10261" max="10261" width="13.5" style="393" customWidth="1"/>
    <col min="10262" max="10496" width="8.875" style="393"/>
    <col min="10497" max="10497" width="5.875" style="393" customWidth="1"/>
    <col min="10498" max="10498" width="16" style="393" customWidth="1"/>
    <col min="10499" max="10499" width="12.5" style="393" customWidth="1"/>
    <col min="10500" max="10500" width="11.375" style="393" customWidth="1"/>
    <col min="10501" max="10501" width="12.375" style="393" customWidth="1"/>
    <col min="10502" max="10503" width="14.125" style="393" customWidth="1"/>
    <col min="10504" max="10504" width="11.375" style="393" bestFit="1" customWidth="1"/>
    <col min="10505" max="10505" width="10.125" style="393" bestFit="1" customWidth="1"/>
    <col min="10506" max="10506" width="11.375" style="393" customWidth="1"/>
    <col min="10507" max="10507" width="14.375" style="393" customWidth="1"/>
    <col min="10508" max="10508" width="9" style="393" customWidth="1"/>
    <col min="10509" max="10509" width="8.125" style="393" customWidth="1"/>
    <col min="10510" max="10510" width="12.5" style="393" customWidth="1"/>
    <col min="10511" max="10511" width="13.5" style="393" customWidth="1"/>
    <col min="10512" max="10512" width="15.125" style="393" customWidth="1"/>
    <col min="10513" max="10513" width="13.5" style="393" customWidth="1"/>
    <col min="10514" max="10514" width="11.5" style="393" customWidth="1"/>
    <col min="10515" max="10515" width="14.625" style="393" customWidth="1"/>
    <col min="10516" max="10516" width="14.875" style="393" customWidth="1"/>
    <col min="10517" max="10517" width="13.5" style="393" customWidth="1"/>
    <col min="10518" max="10752" width="8.875" style="393"/>
    <col min="10753" max="10753" width="5.875" style="393" customWidth="1"/>
    <col min="10754" max="10754" width="16" style="393" customWidth="1"/>
    <col min="10755" max="10755" width="12.5" style="393" customWidth="1"/>
    <col min="10756" max="10756" width="11.375" style="393" customWidth="1"/>
    <col min="10757" max="10757" width="12.375" style="393" customWidth="1"/>
    <col min="10758" max="10759" width="14.125" style="393" customWidth="1"/>
    <col min="10760" max="10760" width="11.375" style="393" bestFit="1" customWidth="1"/>
    <col min="10761" max="10761" width="10.125" style="393" bestFit="1" customWidth="1"/>
    <col min="10762" max="10762" width="11.375" style="393" customWidth="1"/>
    <col min="10763" max="10763" width="14.375" style="393" customWidth="1"/>
    <col min="10764" max="10764" width="9" style="393" customWidth="1"/>
    <col min="10765" max="10765" width="8.125" style="393" customWidth="1"/>
    <col min="10766" max="10766" width="12.5" style="393" customWidth="1"/>
    <col min="10767" max="10767" width="13.5" style="393" customWidth="1"/>
    <col min="10768" max="10768" width="15.125" style="393" customWidth="1"/>
    <col min="10769" max="10769" width="13.5" style="393" customWidth="1"/>
    <col min="10770" max="10770" width="11.5" style="393" customWidth="1"/>
    <col min="10771" max="10771" width="14.625" style="393" customWidth="1"/>
    <col min="10772" max="10772" width="14.875" style="393" customWidth="1"/>
    <col min="10773" max="10773" width="13.5" style="393" customWidth="1"/>
    <col min="10774" max="11008" width="8.875" style="393"/>
    <col min="11009" max="11009" width="5.875" style="393" customWidth="1"/>
    <col min="11010" max="11010" width="16" style="393" customWidth="1"/>
    <col min="11011" max="11011" width="12.5" style="393" customWidth="1"/>
    <col min="11012" max="11012" width="11.375" style="393" customWidth="1"/>
    <col min="11013" max="11013" width="12.375" style="393" customWidth="1"/>
    <col min="11014" max="11015" width="14.125" style="393" customWidth="1"/>
    <col min="11016" max="11016" width="11.375" style="393" bestFit="1" customWidth="1"/>
    <col min="11017" max="11017" width="10.125" style="393" bestFit="1" customWidth="1"/>
    <col min="11018" max="11018" width="11.375" style="393" customWidth="1"/>
    <col min="11019" max="11019" width="14.375" style="393" customWidth="1"/>
    <col min="11020" max="11020" width="9" style="393" customWidth="1"/>
    <col min="11021" max="11021" width="8.125" style="393" customWidth="1"/>
    <col min="11022" max="11022" width="12.5" style="393" customWidth="1"/>
    <col min="11023" max="11023" width="13.5" style="393" customWidth="1"/>
    <col min="11024" max="11024" width="15.125" style="393" customWidth="1"/>
    <col min="11025" max="11025" width="13.5" style="393" customWidth="1"/>
    <col min="11026" max="11026" width="11.5" style="393" customWidth="1"/>
    <col min="11027" max="11027" width="14.625" style="393" customWidth="1"/>
    <col min="11028" max="11028" width="14.875" style="393" customWidth="1"/>
    <col min="11029" max="11029" width="13.5" style="393" customWidth="1"/>
    <col min="11030" max="11264" width="8.875" style="393"/>
    <col min="11265" max="11265" width="5.875" style="393" customWidth="1"/>
    <col min="11266" max="11266" width="16" style="393" customWidth="1"/>
    <col min="11267" max="11267" width="12.5" style="393" customWidth="1"/>
    <col min="11268" max="11268" width="11.375" style="393" customWidth="1"/>
    <col min="11269" max="11269" width="12.375" style="393" customWidth="1"/>
    <col min="11270" max="11271" width="14.125" style="393" customWidth="1"/>
    <col min="11272" max="11272" width="11.375" style="393" bestFit="1" customWidth="1"/>
    <col min="11273" max="11273" width="10.125" style="393" bestFit="1" customWidth="1"/>
    <col min="11274" max="11274" width="11.375" style="393" customWidth="1"/>
    <col min="11275" max="11275" width="14.375" style="393" customWidth="1"/>
    <col min="11276" max="11276" width="9" style="393" customWidth="1"/>
    <col min="11277" max="11277" width="8.125" style="393" customWidth="1"/>
    <col min="11278" max="11278" width="12.5" style="393" customWidth="1"/>
    <col min="11279" max="11279" width="13.5" style="393" customWidth="1"/>
    <col min="11280" max="11280" width="15.125" style="393" customWidth="1"/>
    <col min="11281" max="11281" width="13.5" style="393" customWidth="1"/>
    <col min="11282" max="11282" width="11.5" style="393" customWidth="1"/>
    <col min="11283" max="11283" width="14.625" style="393" customWidth="1"/>
    <col min="11284" max="11284" width="14.875" style="393" customWidth="1"/>
    <col min="11285" max="11285" width="13.5" style="393" customWidth="1"/>
    <col min="11286" max="11520" width="8.875" style="393"/>
    <col min="11521" max="11521" width="5.875" style="393" customWidth="1"/>
    <col min="11522" max="11522" width="16" style="393" customWidth="1"/>
    <col min="11523" max="11523" width="12.5" style="393" customWidth="1"/>
    <col min="11524" max="11524" width="11.375" style="393" customWidth="1"/>
    <col min="11525" max="11525" width="12.375" style="393" customWidth="1"/>
    <col min="11526" max="11527" width="14.125" style="393" customWidth="1"/>
    <col min="11528" max="11528" width="11.375" style="393" bestFit="1" customWidth="1"/>
    <col min="11529" max="11529" width="10.125" style="393" bestFit="1" customWidth="1"/>
    <col min="11530" max="11530" width="11.375" style="393" customWidth="1"/>
    <col min="11531" max="11531" width="14.375" style="393" customWidth="1"/>
    <col min="11532" max="11532" width="9" style="393" customWidth="1"/>
    <col min="11533" max="11533" width="8.125" style="393" customWidth="1"/>
    <col min="11534" max="11534" width="12.5" style="393" customWidth="1"/>
    <col min="11535" max="11535" width="13.5" style="393" customWidth="1"/>
    <col min="11536" max="11536" width="15.125" style="393" customWidth="1"/>
    <col min="11537" max="11537" width="13.5" style="393" customWidth="1"/>
    <col min="11538" max="11538" width="11.5" style="393" customWidth="1"/>
    <col min="11539" max="11539" width="14.625" style="393" customWidth="1"/>
    <col min="11540" max="11540" width="14.875" style="393" customWidth="1"/>
    <col min="11541" max="11541" width="13.5" style="393" customWidth="1"/>
    <col min="11542" max="11776" width="8.875" style="393"/>
    <col min="11777" max="11777" width="5.875" style="393" customWidth="1"/>
    <col min="11778" max="11778" width="16" style="393" customWidth="1"/>
    <col min="11779" max="11779" width="12.5" style="393" customWidth="1"/>
    <col min="11780" max="11780" width="11.375" style="393" customWidth="1"/>
    <col min="11781" max="11781" width="12.375" style="393" customWidth="1"/>
    <col min="11782" max="11783" width="14.125" style="393" customWidth="1"/>
    <col min="11784" max="11784" width="11.375" style="393" bestFit="1" customWidth="1"/>
    <col min="11785" max="11785" width="10.125" style="393" bestFit="1" customWidth="1"/>
    <col min="11786" max="11786" width="11.375" style="393" customWidth="1"/>
    <col min="11787" max="11787" width="14.375" style="393" customWidth="1"/>
    <col min="11788" max="11788" width="9" style="393" customWidth="1"/>
    <col min="11789" max="11789" width="8.125" style="393" customWidth="1"/>
    <col min="11790" max="11790" width="12.5" style="393" customWidth="1"/>
    <col min="11791" max="11791" width="13.5" style="393" customWidth="1"/>
    <col min="11792" max="11792" width="15.125" style="393" customWidth="1"/>
    <col min="11793" max="11793" width="13.5" style="393" customWidth="1"/>
    <col min="11794" max="11794" width="11.5" style="393" customWidth="1"/>
    <col min="11795" max="11795" width="14.625" style="393" customWidth="1"/>
    <col min="11796" max="11796" width="14.875" style="393" customWidth="1"/>
    <col min="11797" max="11797" width="13.5" style="393" customWidth="1"/>
    <col min="11798" max="12032" width="8.875" style="393"/>
    <col min="12033" max="12033" width="5.875" style="393" customWidth="1"/>
    <col min="12034" max="12034" width="16" style="393" customWidth="1"/>
    <col min="12035" max="12035" width="12.5" style="393" customWidth="1"/>
    <col min="12036" max="12036" width="11.375" style="393" customWidth="1"/>
    <col min="12037" max="12037" width="12.375" style="393" customWidth="1"/>
    <col min="12038" max="12039" width="14.125" style="393" customWidth="1"/>
    <col min="12040" max="12040" width="11.375" style="393" bestFit="1" customWidth="1"/>
    <col min="12041" max="12041" width="10.125" style="393" bestFit="1" customWidth="1"/>
    <col min="12042" max="12042" width="11.375" style="393" customWidth="1"/>
    <col min="12043" max="12043" width="14.375" style="393" customWidth="1"/>
    <col min="12044" max="12044" width="9" style="393" customWidth="1"/>
    <col min="12045" max="12045" width="8.125" style="393" customWidth="1"/>
    <col min="12046" max="12046" width="12.5" style="393" customWidth="1"/>
    <col min="12047" max="12047" width="13.5" style="393" customWidth="1"/>
    <col min="12048" max="12048" width="15.125" style="393" customWidth="1"/>
    <col min="12049" max="12049" width="13.5" style="393" customWidth="1"/>
    <col min="12050" max="12050" width="11.5" style="393" customWidth="1"/>
    <col min="12051" max="12051" width="14.625" style="393" customWidth="1"/>
    <col min="12052" max="12052" width="14.875" style="393" customWidth="1"/>
    <col min="12053" max="12053" width="13.5" style="393" customWidth="1"/>
    <col min="12054" max="12288" width="8.875" style="393"/>
    <col min="12289" max="12289" width="5.875" style="393" customWidth="1"/>
    <col min="12290" max="12290" width="16" style="393" customWidth="1"/>
    <col min="12291" max="12291" width="12.5" style="393" customWidth="1"/>
    <col min="12292" max="12292" width="11.375" style="393" customWidth="1"/>
    <col min="12293" max="12293" width="12.375" style="393" customWidth="1"/>
    <col min="12294" max="12295" width="14.125" style="393" customWidth="1"/>
    <col min="12296" max="12296" width="11.375" style="393" bestFit="1" customWidth="1"/>
    <col min="12297" max="12297" width="10.125" style="393" bestFit="1" customWidth="1"/>
    <col min="12298" max="12298" width="11.375" style="393" customWidth="1"/>
    <col min="12299" max="12299" width="14.375" style="393" customWidth="1"/>
    <col min="12300" max="12300" width="9" style="393" customWidth="1"/>
    <col min="12301" max="12301" width="8.125" style="393" customWidth="1"/>
    <col min="12302" max="12302" width="12.5" style="393" customWidth="1"/>
    <col min="12303" max="12303" width="13.5" style="393" customWidth="1"/>
    <col min="12304" max="12304" width="15.125" style="393" customWidth="1"/>
    <col min="12305" max="12305" width="13.5" style="393" customWidth="1"/>
    <col min="12306" max="12306" width="11.5" style="393" customWidth="1"/>
    <col min="12307" max="12307" width="14.625" style="393" customWidth="1"/>
    <col min="12308" max="12308" width="14.875" style="393" customWidth="1"/>
    <col min="12309" max="12309" width="13.5" style="393" customWidth="1"/>
    <col min="12310" max="12544" width="8.875" style="393"/>
    <col min="12545" max="12545" width="5.875" style="393" customWidth="1"/>
    <col min="12546" max="12546" width="16" style="393" customWidth="1"/>
    <col min="12547" max="12547" width="12.5" style="393" customWidth="1"/>
    <col min="12548" max="12548" width="11.375" style="393" customWidth="1"/>
    <col min="12549" max="12549" width="12.375" style="393" customWidth="1"/>
    <col min="12550" max="12551" width="14.125" style="393" customWidth="1"/>
    <col min="12552" max="12552" width="11.375" style="393" bestFit="1" customWidth="1"/>
    <col min="12553" max="12553" width="10.125" style="393" bestFit="1" customWidth="1"/>
    <col min="12554" max="12554" width="11.375" style="393" customWidth="1"/>
    <col min="12555" max="12555" width="14.375" style="393" customWidth="1"/>
    <col min="12556" max="12556" width="9" style="393" customWidth="1"/>
    <col min="12557" max="12557" width="8.125" style="393" customWidth="1"/>
    <col min="12558" max="12558" width="12.5" style="393" customWidth="1"/>
    <col min="12559" max="12559" width="13.5" style="393" customWidth="1"/>
    <col min="12560" max="12560" width="15.125" style="393" customWidth="1"/>
    <col min="12561" max="12561" width="13.5" style="393" customWidth="1"/>
    <col min="12562" max="12562" width="11.5" style="393" customWidth="1"/>
    <col min="12563" max="12563" width="14.625" style="393" customWidth="1"/>
    <col min="12564" max="12564" width="14.875" style="393" customWidth="1"/>
    <col min="12565" max="12565" width="13.5" style="393" customWidth="1"/>
    <col min="12566" max="12800" width="8.875" style="393"/>
    <col min="12801" max="12801" width="5.875" style="393" customWidth="1"/>
    <col min="12802" max="12802" width="16" style="393" customWidth="1"/>
    <col min="12803" max="12803" width="12.5" style="393" customWidth="1"/>
    <col min="12804" max="12804" width="11.375" style="393" customWidth="1"/>
    <col min="12805" max="12805" width="12.375" style="393" customWidth="1"/>
    <col min="12806" max="12807" width="14.125" style="393" customWidth="1"/>
    <col min="12808" max="12808" width="11.375" style="393" bestFit="1" customWidth="1"/>
    <col min="12809" max="12809" width="10.125" style="393" bestFit="1" customWidth="1"/>
    <col min="12810" max="12810" width="11.375" style="393" customWidth="1"/>
    <col min="12811" max="12811" width="14.375" style="393" customWidth="1"/>
    <col min="12812" max="12812" width="9" style="393" customWidth="1"/>
    <col min="12813" max="12813" width="8.125" style="393" customWidth="1"/>
    <col min="12814" max="12814" width="12.5" style="393" customWidth="1"/>
    <col min="12815" max="12815" width="13.5" style="393" customWidth="1"/>
    <col min="12816" max="12816" width="15.125" style="393" customWidth="1"/>
    <col min="12817" max="12817" width="13.5" style="393" customWidth="1"/>
    <col min="12818" max="12818" width="11.5" style="393" customWidth="1"/>
    <col min="12819" max="12819" width="14.625" style="393" customWidth="1"/>
    <col min="12820" max="12820" width="14.875" style="393" customWidth="1"/>
    <col min="12821" max="12821" width="13.5" style="393" customWidth="1"/>
    <col min="12822" max="13056" width="8.875" style="393"/>
    <col min="13057" max="13057" width="5.875" style="393" customWidth="1"/>
    <col min="13058" max="13058" width="16" style="393" customWidth="1"/>
    <col min="13059" max="13059" width="12.5" style="393" customWidth="1"/>
    <col min="13060" max="13060" width="11.375" style="393" customWidth="1"/>
    <col min="13061" max="13061" width="12.375" style="393" customWidth="1"/>
    <col min="13062" max="13063" width="14.125" style="393" customWidth="1"/>
    <col min="13064" max="13064" width="11.375" style="393" bestFit="1" customWidth="1"/>
    <col min="13065" max="13065" width="10.125" style="393" bestFit="1" customWidth="1"/>
    <col min="13066" max="13066" width="11.375" style="393" customWidth="1"/>
    <col min="13067" max="13067" width="14.375" style="393" customWidth="1"/>
    <col min="13068" max="13068" width="9" style="393" customWidth="1"/>
    <col min="13069" max="13069" width="8.125" style="393" customWidth="1"/>
    <col min="13070" max="13070" width="12.5" style="393" customWidth="1"/>
    <col min="13071" max="13071" width="13.5" style="393" customWidth="1"/>
    <col min="13072" max="13072" width="15.125" style="393" customWidth="1"/>
    <col min="13073" max="13073" width="13.5" style="393" customWidth="1"/>
    <col min="13074" max="13074" width="11.5" style="393" customWidth="1"/>
    <col min="13075" max="13075" width="14.625" style="393" customWidth="1"/>
    <col min="13076" max="13076" width="14.875" style="393" customWidth="1"/>
    <col min="13077" max="13077" width="13.5" style="393" customWidth="1"/>
    <col min="13078" max="13312" width="8.875" style="393"/>
    <col min="13313" max="13313" width="5.875" style="393" customWidth="1"/>
    <col min="13314" max="13314" width="16" style="393" customWidth="1"/>
    <col min="13315" max="13315" width="12.5" style="393" customWidth="1"/>
    <col min="13316" max="13316" width="11.375" style="393" customWidth="1"/>
    <col min="13317" max="13317" width="12.375" style="393" customWidth="1"/>
    <col min="13318" max="13319" width="14.125" style="393" customWidth="1"/>
    <col min="13320" max="13320" width="11.375" style="393" bestFit="1" customWidth="1"/>
    <col min="13321" max="13321" width="10.125" style="393" bestFit="1" customWidth="1"/>
    <col min="13322" max="13322" width="11.375" style="393" customWidth="1"/>
    <col min="13323" max="13323" width="14.375" style="393" customWidth="1"/>
    <col min="13324" max="13324" width="9" style="393" customWidth="1"/>
    <col min="13325" max="13325" width="8.125" style="393" customWidth="1"/>
    <col min="13326" max="13326" width="12.5" style="393" customWidth="1"/>
    <col min="13327" max="13327" width="13.5" style="393" customWidth="1"/>
    <col min="13328" max="13328" width="15.125" style="393" customWidth="1"/>
    <col min="13329" max="13329" width="13.5" style="393" customWidth="1"/>
    <col min="13330" max="13330" width="11.5" style="393" customWidth="1"/>
    <col min="13331" max="13331" width="14.625" style="393" customWidth="1"/>
    <col min="13332" max="13332" width="14.875" style="393" customWidth="1"/>
    <col min="13333" max="13333" width="13.5" style="393" customWidth="1"/>
    <col min="13334" max="13568" width="8.875" style="393"/>
    <col min="13569" max="13569" width="5.875" style="393" customWidth="1"/>
    <col min="13570" max="13570" width="16" style="393" customWidth="1"/>
    <col min="13571" max="13571" width="12.5" style="393" customWidth="1"/>
    <col min="13572" max="13572" width="11.375" style="393" customWidth="1"/>
    <col min="13573" max="13573" width="12.375" style="393" customWidth="1"/>
    <col min="13574" max="13575" width="14.125" style="393" customWidth="1"/>
    <col min="13576" max="13576" width="11.375" style="393" bestFit="1" customWidth="1"/>
    <col min="13577" max="13577" width="10.125" style="393" bestFit="1" customWidth="1"/>
    <col min="13578" max="13578" width="11.375" style="393" customWidth="1"/>
    <col min="13579" max="13579" width="14.375" style="393" customWidth="1"/>
    <col min="13580" max="13580" width="9" style="393" customWidth="1"/>
    <col min="13581" max="13581" width="8.125" style="393" customWidth="1"/>
    <col min="13582" max="13582" width="12.5" style="393" customWidth="1"/>
    <col min="13583" max="13583" width="13.5" style="393" customWidth="1"/>
    <col min="13584" max="13584" width="15.125" style="393" customWidth="1"/>
    <col min="13585" max="13585" width="13.5" style="393" customWidth="1"/>
    <col min="13586" max="13586" width="11.5" style="393" customWidth="1"/>
    <col min="13587" max="13587" width="14.625" style="393" customWidth="1"/>
    <col min="13588" max="13588" width="14.875" style="393" customWidth="1"/>
    <col min="13589" max="13589" width="13.5" style="393" customWidth="1"/>
    <col min="13590" max="13824" width="8.875" style="393"/>
    <col min="13825" max="13825" width="5.875" style="393" customWidth="1"/>
    <col min="13826" max="13826" width="16" style="393" customWidth="1"/>
    <col min="13827" max="13827" width="12.5" style="393" customWidth="1"/>
    <col min="13828" max="13828" width="11.375" style="393" customWidth="1"/>
    <col min="13829" max="13829" width="12.375" style="393" customWidth="1"/>
    <col min="13830" max="13831" width="14.125" style="393" customWidth="1"/>
    <col min="13832" max="13832" width="11.375" style="393" bestFit="1" customWidth="1"/>
    <col min="13833" max="13833" width="10.125" style="393" bestFit="1" customWidth="1"/>
    <col min="13834" max="13834" width="11.375" style="393" customWidth="1"/>
    <col min="13835" max="13835" width="14.375" style="393" customWidth="1"/>
    <col min="13836" max="13836" width="9" style="393" customWidth="1"/>
    <col min="13837" max="13837" width="8.125" style="393" customWidth="1"/>
    <col min="13838" max="13838" width="12.5" style="393" customWidth="1"/>
    <col min="13839" max="13839" width="13.5" style="393" customWidth="1"/>
    <col min="13840" max="13840" width="15.125" style="393" customWidth="1"/>
    <col min="13841" max="13841" width="13.5" style="393" customWidth="1"/>
    <col min="13842" max="13842" width="11.5" style="393" customWidth="1"/>
    <col min="13843" max="13843" width="14.625" style="393" customWidth="1"/>
    <col min="13844" max="13844" width="14.875" style="393" customWidth="1"/>
    <col min="13845" max="13845" width="13.5" style="393" customWidth="1"/>
    <col min="13846" max="14080" width="8.875" style="393"/>
    <col min="14081" max="14081" width="5.875" style="393" customWidth="1"/>
    <col min="14082" max="14082" width="16" style="393" customWidth="1"/>
    <col min="14083" max="14083" width="12.5" style="393" customWidth="1"/>
    <col min="14084" max="14084" width="11.375" style="393" customWidth="1"/>
    <col min="14085" max="14085" width="12.375" style="393" customWidth="1"/>
    <col min="14086" max="14087" width="14.125" style="393" customWidth="1"/>
    <col min="14088" max="14088" width="11.375" style="393" bestFit="1" customWidth="1"/>
    <col min="14089" max="14089" width="10.125" style="393" bestFit="1" customWidth="1"/>
    <col min="14090" max="14090" width="11.375" style="393" customWidth="1"/>
    <col min="14091" max="14091" width="14.375" style="393" customWidth="1"/>
    <col min="14092" max="14092" width="9" style="393" customWidth="1"/>
    <col min="14093" max="14093" width="8.125" style="393" customWidth="1"/>
    <col min="14094" max="14094" width="12.5" style="393" customWidth="1"/>
    <col min="14095" max="14095" width="13.5" style="393" customWidth="1"/>
    <col min="14096" max="14096" width="15.125" style="393" customWidth="1"/>
    <col min="14097" max="14097" width="13.5" style="393" customWidth="1"/>
    <col min="14098" max="14098" width="11.5" style="393" customWidth="1"/>
    <col min="14099" max="14099" width="14.625" style="393" customWidth="1"/>
    <col min="14100" max="14100" width="14.875" style="393" customWidth="1"/>
    <col min="14101" max="14101" width="13.5" style="393" customWidth="1"/>
    <col min="14102" max="14336" width="8.875" style="393"/>
    <col min="14337" max="14337" width="5.875" style="393" customWidth="1"/>
    <col min="14338" max="14338" width="16" style="393" customWidth="1"/>
    <col min="14339" max="14339" width="12.5" style="393" customWidth="1"/>
    <col min="14340" max="14340" width="11.375" style="393" customWidth="1"/>
    <col min="14341" max="14341" width="12.375" style="393" customWidth="1"/>
    <col min="14342" max="14343" width="14.125" style="393" customWidth="1"/>
    <col min="14344" max="14344" width="11.375" style="393" bestFit="1" customWidth="1"/>
    <col min="14345" max="14345" width="10.125" style="393" bestFit="1" customWidth="1"/>
    <col min="14346" max="14346" width="11.375" style="393" customWidth="1"/>
    <col min="14347" max="14347" width="14.375" style="393" customWidth="1"/>
    <col min="14348" max="14348" width="9" style="393" customWidth="1"/>
    <col min="14349" max="14349" width="8.125" style="393" customWidth="1"/>
    <col min="14350" max="14350" width="12.5" style="393" customWidth="1"/>
    <col min="14351" max="14351" width="13.5" style="393" customWidth="1"/>
    <col min="14352" max="14352" width="15.125" style="393" customWidth="1"/>
    <col min="14353" max="14353" width="13.5" style="393" customWidth="1"/>
    <col min="14354" max="14354" width="11.5" style="393" customWidth="1"/>
    <col min="14355" max="14355" width="14.625" style="393" customWidth="1"/>
    <col min="14356" max="14356" width="14.875" style="393" customWidth="1"/>
    <col min="14357" max="14357" width="13.5" style="393" customWidth="1"/>
    <col min="14358" max="14592" width="8.875" style="393"/>
    <col min="14593" max="14593" width="5.875" style="393" customWidth="1"/>
    <col min="14594" max="14594" width="16" style="393" customWidth="1"/>
    <col min="14595" max="14595" width="12.5" style="393" customWidth="1"/>
    <col min="14596" max="14596" width="11.375" style="393" customWidth="1"/>
    <col min="14597" max="14597" width="12.375" style="393" customWidth="1"/>
    <col min="14598" max="14599" width="14.125" style="393" customWidth="1"/>
    <col min="14600" max="14600" width="11.375" style="393" bestFit="1" customWidth="1"/>
    <col min="14601" max="14601" width="10.125" style="393" bestFit="1" customWidth="1"/>
    <col min="14602" max="14602" width="11.375" style="393" customWidth="1"/>
    <col min="14603" max="14603" width="14.375" style="393" customWidth="1"/>
    <col min="14604" max="14604" width="9" style="393" customWidth="1"/>
    <col min="14605" max="14605" width="8.125" style="393" customWidth="1"/>
    <col min="14606" max="14606" width="12.5" style="393" customWidth="1"/>
    <col min="14607" max="14607" width="13.5" style="393" customWidth="1"/>
    <col min="14608" max="14608" width="15.125" style="393" customWidth="1"/>
    <col min="14609" max="14609" width="13.5" style="393" customWidth="1"/>
    <col min="14610" max="14610" width="11.5" style="393" customWidth="1"/>
    <col min="14611" max="14611" width="14.625" style="393" customWidth="1"/>
    <col min="14612" max="14612" width="14.875" style="393" customWidth="1"/>
    <col min="14613" max="14613" width="13.5" style="393" customWidth="1"/>
    <col min="14614" max="14848" width="8.875" style="393"/>
    <col min="14849" max="14849" width="5.875" style="393" customWidth="1"/>
    <col min="14850" max="14850" width="16" style="393" customWidth="1"/>
    <col min="14851" max="14851" width="12.5" style="393" customWidth="1"/>
    <col min="14852" max="14852" width="11.375" style="393" customWidth="1"/>
    <col min="14853" max="14853" width="12.375" style="393" customWidth="1"/>
    <col min="14854" max="14855" width="14.125" style="393" customWidth="1"/>
    <col min="14856" max="14856" width="11.375" style="393" bestFit="1" customWidth="1"/>
    <col min="14857" max="14857" width="10.125" style="393" bestFit="1" customWidth="1"/>
    <col min="14858" max="14858" width="11.375" style="393" customWidth="1"/>
    <col min="14859" max="14859" width="14.375" style="393" customWidth="1"/>
    <col min="14860" max="14860" width="9" style="393" customWidth="1"/>
    <col min="14861" max="14861" width="8.125" style="393" customWidth="1"/>
    <col min="14862" max="14862" width="12.5" style="393" customWidth="1"/>
    <col min="14863" max="14863" width="13.5" style="393" customWidth="1"/>
    <col min="14864" max="14864" width="15.125" style="393" customWidth="1"/>
    <col min="14865" max="14865" width="13.5" style="393" customWidth="1"/>
    <col min="14866" max="14866" width="11.5" style="393" customWidth="1"/>
    <col min="14867" max="14867" width="14.625" style="393" customWidth="1"/>
    <col min="14868" max="14868" width="14.875" style="393" customWidth="1"/>
    <col min="14869" max="14869" width="13.5" style="393" customWidth="1"/>
    <col min="14870" max="15104" width="8.875" style="393"/>
    <col min="15105" max="15105" width="5.875" style="393" customWidth="1"/>
    <col min="15106" max="15106" width="16" style="393" customWidth="1"/>
    <col min="15107" max="15107" width="12.5" style="393" customWidth="1"/>
    <col min="15108" max="15108" width="11.375" style="393" customWidth="1"/>
    <col min="15109" max="15109" width="12.375" style="393" customWidth="1"/>
    <col min="15110" max="15111" width="14.125" style="393" customWidth="1"/>
    <col min="15112" max="15112" width="11.375" style="393" bestFit="1" customWidth="1"/>
    <col min="15113" max="15113" width="10.125" style="393" bestFit="1" customWidth="1"/>
    <col min="15114" max="15114" width="11.375" style="393" customWidth="1"/>
    <col min="15115" max="15115" width="14.375" style="393" customWidth="1"/>
    <col min="15116" max="15116" width="9" style="393" customWidth="1"/>
    <col min="15117" max="15117" width="8.125" style="393" customWidth="1"/>
    <col min="15118" max="15118" width="12.5" style="393" customWidth="1"/>
    <col min="15119" max="15119" width="13.5" style="393" customWidth="1"/>
    <col min="15120" max="15120" width="15.125" style="393" customWidth="1"/>
    <col min="15121" max="15121" width="13.5" style="393" customWidth="1"/>
    <col min="15122" max="15122" width="11.5" style="393" customWidth="1"/>
    <col min="15123" max="15123" width="14.625" style="393" customWidth="1"/>
    <col min="15124" max="15124" width="14.875" style="393" customWidth="1"/>
    <col min="15125" max="15125" width="13.5" style="393" customWidth="1"/>
    <col min="15126" max="15360" width="8.875" style="393"/>
    <col min="15361" max="15361" width="5.875" style="393" customWidth="1"/>
    <col min="15362" max="15362" width="16" style="393" customWidth="1"/>
    <col min="15363" max="15363" width="12.5" style="393" customWidth="1"/>
    <col min="15364" max="15364" width="11.375" style="393" customWidth="1"/>
    <col min="15365" max="15365" width="12.375" style="393" customWidth="1"/>
    <col min="15366" max="15367" width="14.125" style="393" customWidth="1"/>
    <col min="15368" max="15368" width="11.375" style="393" bestFit="1" customWidth="1"/>
    <col min="15369" max="15369" width="10.125" style="393" bestFit="1" customWidth="1"/>
    <col min="15370" max="15370" width="11.375" style="393" customWidth="1"/>
    <col min="15371" max="15371" width="14.375" style="393" customWidth="1"/>
    <col min="15372" max="15372" width="9" style="393" customWidth="1"/>
    <col min="15373" max="15373" width="8.125" style="393" customWidth="1"/>
    <col min="15374" max="15374" width="12.5" style="393" customWidth="1"/>
    <col min="15375" max="15375" width="13.5" style="393" customWidth="1"/>
    <col min="15376" max="15376" width="15.125" style="393" customWidth="1"/>
    <col min="15377" max="15377" width="13.5" style="393" customWidth="1"/>
    <col min="15378" max="15378" width="11.5" style="393" customWidth="1"/>
    <col min="15379" max="15379" width="14.625" style="393" customWidth="1"/>
    <col min="15380" max="15380" width="14.875" style="393" customWidth="1"/>
    <col min="15381" max="15381" width="13.5" style="393" customWidth="1"/>
    <col min="15382" max="15616" width="8.875" style="393"/>
    <col min="15617" max="15617" width="5.875" style="393" customWidth="1"/>
    <col min="15618" max="15618" width="16" style="393" customWidth="1"/>
    <col min="15619" max="15619" width="12.5" style="393" customWidth="1"/>
    <col min="15620" max="15620" width="11.375" style="393" customWidth="1"/>
    <col min="15621" max="15621" width="12.375" style="393" customWidth="1"/>
    <col min="15622" max="15623" width="14.125" style="393" customWidth="1"/>
    <col min="15624" max="15624" width="11.375" style="393" bestFit="1" customWidth="1"/>
    <col min="15625" max="15625" width="10.125" style="393" bestFit="1" customWidth="1"/>
    <col min="15626" max="15626" width="11.375" style="393" customWidth="1"/>
    <col min="15627" max="15627" width="14.375" style="393" customWidth="1"/>
    <col min="15628" max="15628" width="9" style="393" customWidth="1"/>
    <col min="15629" max="15629" width="8.125" style="393" customWidth="1"/>
    <col min="15630" max="15630" width="12.5" style="393" customWidth="1"/>
    <col min="15631" max="15631" width="13.5" style="393" customWidth="1"/>
    <col min="15632" max="15632" width="15.125" style="393" customWidth="1"/>
    <col min="15633" max="15633" width="13.5" style="393" customWidth="1"/>
    <col min="15634" max="15634" width="11.5" style="393" customWidth="1"/>
    <col min="15635" max="15635" width="14.625" style="393" customWidth="1"/>
    <col min="15636" max="15636" width="14.875" style="393" customWidth="1"/>
    <col min="15637" max="15637" width="13.5" style="393" customWidth="1"/>
    <col min="15638" max="15872" width="8.875" style="393"/>
    <col min="15873" max="15873" width="5.875" style="393" customWidth="1"/>
    <col min="15874" max="15874" width="16" style="393" customWidth="1"/>
    <col min="15875" max="15875" width="12.5" style="393" customWidth="1"/>
    <col min="15876" max="15876" width="11.375" style="393" customWidth="1"/>
    <col min="15877" max="15877" width="12.375" style="393" customWidth="1"/>
    <col min="15878" max="15879" width="14.125" style="393" customWidth="1"/>
    <col min="15880" max="15880" width="11.375" style="393" bestFit="1" customWidth="1"/>
    <col min="15881" max="15881" width="10.125" style="393" bestFit="1" customWidth="1"/>
    <col min="15882" max="15882" width="11.375" style="393" customWidth="1"/>
    <col min="15883" max="15883" width="14.375" style="393" customWidth="1"/>
    <col min="15884" max="15884" width="9" style="393" customWidth="1"/>
    <col min="15885" max="15885" width="8.125" style="393" customWidth="1"/>
    <col min="15886" max="15886" width="12.5" style="393" customWidth="1"/>
    <col min="15887" max="15887" width="13.5" style="393" customWidth="1"/>
    <col min="15888" max="15888" width="15.125" style="393" customWidth="1"/>
    <col min="15889" max="15889" width="13.5" style="393" customWidth="1"/>
    <col min="15890" max="15890" width="11.5" style="393" customWidth="1"/>
    <col min="15891" max="15891" width="14.625" style="393" customWidth="1"/>
    <col min="15892" max="15892" width="14.875" style="393" customWidth="1"/>
    <col min="15893" max="15893" width="13.5" style="393" customWidth="1"/>
    <col min="15894" max="16128" width="8.875" style="393"/>
    <col min="16129" max="16129" width="5.875" style="393" customWidth="1"/>
    <col min="16130" max="16130" width="16" style="393" customWidth="1"/>
    <col min="16131" max="16131" width="12.5" style="393" customWidth="1"/>
    <col min="16132" max="16132" width="11.375" style="393" customWidth="1"/>
    <col min="16133" max="16133" width="12.375" style="393" customWidth="1"/>
    <col min="16134" max="16135" width="14.125" style="393" customWidth="1"/>
    <col min="16136" max="16136" width="11.375" style="393" bestFit="1" customWidth="1"/>
    <col min="16137" max="16137" width="10.125" style="393" bestFit="1" customWidth="1"/>
    <col min="16138" max="16138" width="11.375" style="393" customWidth="1"/>
    <col min="16139" max="16139" width="14.375" style="393" customWidth="1"/>
    <col min="16140" max="16140" width="9" style="393" customWidth="1"/>
    <col min="16141" max="16141" width="8.125" style="393" customWidth="1"/>
    <col min="16142" max="16142" width="12.5" style="393" customWidth="1"/>
    <col min="16143" max="16143" width="13.5" style="393" customWidth="1"/>
    <col min="16144" max="16144" width="15.125" style="393" customWidth="1"/>
    <col min="16145" max="16145" width="13.5" style="393" customWidth="1"/>
    <col min="16146" max="16146" width="11.5" style="393" customWidth="1"/>
    <col min="16147" max="16147" width="14.625" style="393" customWidth="1"/>
    <col min="16148" max="16148" width="14.875" style="393" customWidth="1"/>
    <col min="16149" max="16149" width="13.5" style="393" customWidth="1"/>
    <col min="16150" max="16384" width="8.875" style="393"/>
  </cols>
  <sheetData>
    <row r="1" spans="1:20" x14ac:dyDescent="0.25">
      <c r="A1" s="1604" t="s">
        <v>751</v>
      </c>
      <c r="B1" s="1604"/>
      <c r="C1" s="1604"/>
      <c r="D1" s="1604"/>
      <c r="E1" s="1604"/>
      <c r="F1" s="1604"/>
      <c r="G1" s="1604"/>
      <c r="H1" s="1604"/>
      <c r="I1" s="1604"/>
      <c r="J1" s="1604"/>
      <c r="K1" s="1604"/>
      <c r="L1" s="1604"/>
      <c r="M1" s="1604"/>
      <c r="N1" s="1604"/>
      <c r="O1" s="1604"/>
      <c r="P1" s="1604"/>
      <c r="Q1" s="1604"/>
      <c r="R1" s="1604"/>
      <c r="S1" s="1604"/>
    </row>
    <row r="2" spans="1:20" ht="18" x14ac:dyDescent="0.4">
      <c r="A2" s="757"/>
      <c r="B2" s="392"/>
      <c r="C2" s="392"/>
      <c r="D2" s="757"/>
      <c r="E2" s="392"/>
      <c r="F2" s="1518"/>
      <c r="G2" s="392" t="s">
        <v>752</v>
      </c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</row>
    <row r="3" spans="1:20" ht="18" x14ac:dyDescent="0.4">
      <c r="A3" s="757"/>
      <c r="B3" s="758"/>
      <c r="C3" s="758"/>
      <c r="D3" s="759"/>
      <c r="E3" s="758"/>
      <c r="F3" s="1519"/>
      <c r="G3" s="392" t="s">
        <v>753</v>
      </c>
      <c r="H3" s="758"/>
      <c r="I3" s="760"/>
      <c r="J3" s="758"/>
      <c r="K3" s="758"/>
      <c r="L3" s="758"/>
      <c r="M3" s="758"/>
      <c r="N3" s="758"/>
      <c r="O3" s="758"/>
      <c r="P3" s="758"/>
      <c r="Q3" s="758"/>
      <c r="R3" s="758"/>
      <c r="S3" s="758"/>
    </row>
    <row r="4" spans="1:20" x14ac:dyDescent="0.25">
      <c r="A4" s="757"/>
      <c r="B4" s="392"/>
      <c r="C4" s="392"/>
      <c r="D4" s="757"/>
      <c r="E4" s="392"/>
      <c r="F4" s="1518"/>
      <c r="G4" s="392" t="s">
        <v>754</v>
      </c>
      <c r="H4" s="392"/>
      <c r="I4" s="761"/>
      <c r="J4" s="392"/>
      <c r="K4" s="392"/>
      <c r="L4" s="392"/>
      <c r="M4" s="392"/>
      <c r="N4" s="392"/>
      <c r="O4" s="392"/>
      <c r="P4" s="392"/>
      <c r="Q4" s="392"/>
      <c r="R4" s="392"/>
      <c r="S4" s="392"/>
    </row>
    <row r="5" spans="1:20" x14ac:dyDescent="0.25">
      <c r="A5" s="757"/>
      <c r="B5" s="392"/>
      <c r="C5" s="392"/>
      <c r="D5" s="757"/>
      <c r="E5" s="392"/>
      <c r="F5" s="1518"/>
      <c r="G5" s="392" t="s">
        <v>755</v>
      </c>
      <c r="H5" s="392"/>
      <c r="I5" s="762"/>
      <c r="J5" s="392"/>
      <c r="K5" s="392"/>
      <c r="L5" s="392"/>
      <c r="M5" s="392"/>
      <c r="N5" s="392"/>
      <c r="O5" s="392"/>
      <c r="P5" s="392"/>
      <c r="Q5" s="392"/>
      <c r="R5" s="392"/>
      <c r="S5" s="392"/>
    </row>
    <row r="6" spans="1:20" x14ac:dyDescent="0.25">
      <c r="A6" s="757"/>
      <c r="B6" s="392"/>
      <c r="C6" s="392"/>
      <c r="D6" s="757"/>
      <c r="E6" s="392"/>
      <c r="F6" s="1518"/>
      <c r="G6" s="392" t="s">
        <v>756</v>
      </c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392"/>
      <c r="S6" s="392"/>
    </row>
    <row r="7" spans="1:20" ht="16.5" thickBot="1" x14ac:dyDescent="0.3">
      <c r="A7" s="1598"/>
      <c r="B7" s="1598"/>
      <c r="C7" s="1598"/>
      <c r="D7" s="1598"/>
      <c r="E7" s="1598"/>
      <c r="F7" s="1598"/>
      <c r="G7" s="1598"/>
      <c r="H7" s="1598"/>
      <c r="I7" s="1598"/>
      <c r="J7" s="1598"/>
      <c r="K7" s="1598"/>
      <c r="L7" s="1598"/>
      <c r="M7" s="1598"/>
      <c r="N7" s="1598"/>
      <c r="O7" s="1598"/>
      <c r="P7" s="1598"/>
      <c r="Q7" s="1598"/>
      <c r="R7" s="1598"/>
      <c r="S7" s="1598"/>
    </row>
    <row r="8" spans="1:20" x14ac:dyDescent="0.25">
      <c r="A8" s="763" t="s">
        <v>417</v>
      </c>
      <c r="B8" s="764"/>
      <c r="C8" s="764"/>
      <c r="D8" s="765"/>
      <c r="E8" s="765"/>
      <c r="F8" s="766"/>
      <c r="G8" s="764"/>
      <c r="H8" s="764"/>
      <c r="I8" s="764"/>
      <c r="J8" s="764"/>
      <c r="K8" s="764"/>
      <c r="L8" s="764"/>
      <c r="M8" s="1668" t="s">
        <v>418</v>
      </c>
      <c r="N8" s="1669"/>
      <c r="O8" s="1669"/>
      <c r="P8" s="1669"/>
      <c r="Q8" s="1669"/>
      <c r="R8" s="1669"/>
      <c r="S8" s="1669"/>
      <c r="T8" s="767"/>
    </row>
    <row r="9" spans="1:20" x14ac:dyDescent="0.25">
      <c r="A9" s="768"/>
      <c r="B9" s="403" t="s">
        <v>757</v>
      </c>
      <c r="C9" s="412" t="s">
        <v>758</v>
      </c>
      <c r="D9" s="413"/>
      <c r="E9" s="404"/>
      <c r="F9" s="769"/>
      <c r="G9" s="403"/>
      <c r="H9" s="403"/>
      <c r="I9" s="403"/>
      <c r="J9" s="403"/>
      <c r="K9" s="403"/>
      <c r="L9" s="403"/>
      <c r="M9" s="405" t="s">
        <v>421</v>
      </c>
      <c r="N9" s="395"/>
      <c r="O9" s="395"/>
      <c r="P9" s="395" t="s">
        <v>422</v>
      </c>
      <c r="Q9" s="395"/>
      <c r="R9" s="395"/>
      <c r="S9" s="395"/>
      <c r="T9" s="770"/>
    </row>
    <row r="10" spans="1:20" ht="18" x14ac:dyDescent="0.4">
      <c r="A10" s="768"/>
      <c r="B10" s="403" t="s">
        <v>759</v>
      </c>
      <c r="C10" s="771"/>
      <c r="D10" s="772"/>
      <c r="E10" s="404"/>
      <c r="F10" s="769"/>
      <c r="G10" s="403"/>
      <c r="H10" s="403"/>
      <c r="I10" s="403"/>
      <c r="J10" s="403"/>
      <c r="K10" s="403"/>
      <c r="L10" s="403"/>
      <c r="M10" s="773"/>
      <c r="N10" s="774"/>
      <c r="O10" s="408" t="s">
        <v>423</v>
      </c>
      <c r="P10" s="403"/>
      <c r="Q10" s="403" t="s">
        <v>760</v>
      </c>
      <c r="R10" s="403"/>
      <c r="S10" s="403"/>
      <c r="T10" s="775"/>
    </row>
    <row r="11" spans="1:20" x14ac:dyDescent="0.25">
      <c r="A11" s="768"/>
      <c r="B11" s="403" t="s">
        <v>761</v>
      </c>
      <c r="C11" s="771"/>
      <c r="D11" s="772"/>
      <c r="E11" s="404"/>
      <c r="F11" s="769"/>
      <c r="G11" s="403"/>
      <c r="H11" s="403"/>
      <c r="I11" s="403"/>
      <c r="J11" s="403"/>
      <c r="K11" s="403"/>
      <c r="L11" s="403"/>
      <c r="M11" s="773"/>
      <c r="N11" s="769"/>
      <c r="O11" s="408" t="s">
        <v>426</v>
      </c>
      <c r="P11" s="403"/>
      <c r="Q11" s="403" t="s">
        <v>762</v>
      </c>
      <c r="R11" s="403"/>
      <c r="S11" s="403"/>
      <c r="T11" s="775"/>
    </row>
    <row r="12" spans="1:20" x14ac:dyDescent="0.25">
      <c r="A12" s="768"/>
      <c r="B12" s="403"/>
      <c r="C12" s="403"/>
      <c r="D12" s="404"/>
      <c r="E12" s="404"/>
      <c r="F12" s="769"/>
      <c r="G12" s="403"/>
      <c r="H12" s="403"/>
      <c r="I12" s="403"/>
      <c r="J12" s="403"/>
      <c r="K12" s="403"/>
      <c r="L12" s="403"/>
      <c r="M12" s="773"/>
      <c r="N12" s="1513" t="s">
        <v>425</v>
      </c>
      <c r="O12" s="776" t="s">
        <v>428</v>
      </c>
      <c r="P12" s="403"/>
      <c r="Q12" s="403" t="s">
        <v>763</v>
      </c>
      <c r="R12" s="403"/>
      <c r="S12" s="403"/>
      <c r="T12" s="775"/>
    </row>
    <row r="13" spans="1:20" ht="15.75" customHeight="1" x14ac:dyDescent="0.25">
      <c r="A13" s="1670" t="s">
        <v>430</v>
      </c>
      <c r="B13" s="1671"/>
      <c r="C13" s="1671"/>
      <c r="D13" s="1671"/>
      <c r="E13" s="1671"/>
      <c r="F13" s="1671"/>
      <c r="G13" s="1671"/>
      <c r="H13" s="1671"/>
      <c r="I13" s="1671"/>
      <c r="J13" s="1671"/>
      <c r="K13" s="1671"/>
      <c r="L13" s="1671"/>
      <c r="M13" s="1671"/>
      <c r="N13" s="1672"/>
      <c r="O13" s="1672"/>
      <c r="P13" s="1672"/>
      <c r="Q13" s="1672"/>
      <c r="R13" s="1672"/>
      <c r="S13" s="1672"/>
      <c r="T13" s="770"/>
    </row>
    <row r="14" spans="1:20" ht="15.75" customHeight="1" x14ac:dyDescent="0.25">
      <c r="A14" s="1673" t="s">
        <v>431</v>
      </c>
      <c r="B14" s="1660" t="s">
        <v>671</v>
      </c>
      <c r="C14" s="1661" t="s">
        <v>668</v>
      </c>
      <c r="D14" s="1675" t="s">
        <v>434</v>
      </c>
      <c r="E14" s="1675" t="s">
        <v>435</v>
      </c>
      <c r="F14" s="1661" t="s">
        <v>436</v>
      </c>
      <c r="G14" s="1660" t="s">
        <v>764</v>
      </c>
      <c r="H14" s="1586" t="s">
        <v>765</v>
      </c>
      <c r="I14" s="1662"/>
      <c r="J14" s="1663"/>
      <c r="K14" s="1586" t="s">
        <v>673</v>
      </c>
      <c r="L14" s="1663"/>
      <c r="M14" s="1586" t="s">
        <v>439</v>
      </c>
      <c r="N14" s="1588" t="s">
        <v>440</v>
      </c>
      <c r="O14" s="1589"/>
      <c r="P14" s="1589"/>
      <c r="Q14" s="1589"/>
      <c r="R14" s="1589"/>
      <c r="S14" s="1589"/>
      <c r="T14" s="777"/>
    </row>
    <row r="15" spans="1:20" ht="14.25" customHeight="1" x14ac:dyDescent="0.25">
      <c r="A15" s="1674"/>
      <c r="B15" s="1660"/>
      <c r="C15" s="1591"/>
      <c r="D15" s="1599"/>
      <c r="E15" s="1599"/>
      <c r="F15" s="1591"/>
      <c r="G15" s="1660"/>
      <c r="H15" s="1587"/>
      <c r="I15" s="1602"/>
      <c r="J15" s="1603"/>
      <c r="K15" s="1587"/>
      <c r="L15" s="1603"/>
      <c r="M15" s="1586"/>
      <c r="N15" s="1664" t="s">
        <v>766</v>
      </c>
      <c r="O15" s="1665"/>
      <c r="P15" s="1666"/>
      <c r="Q15" s="1664" t="s">
        <v>767</v>
      </c>
      <c r="R15" s="1667"/>
      <c r="S15" s="1667"/>
      <c r="T15" s="1658" t="s">
        <v>452</v>
      </c>
    </row>
    <row r="16" spans="1:20" ht="47.25" customHeight="1" x14ac:dyDescent="0.25">
      <c r="A16" s="1674"/>
      <c r="B16" s="1661"/>
      <c r="C16" s="1591"/>
      <c r="D16" s="1599"/>
      <c r="E16" s="1599"/>
      <c r="F16" s="1591"/>
      <c r="G16" s="1661"/>
      <c r="H16" s="778" t="s">
        <v>447</v>
      </c>
      <c r="I16" s="779" t="s">
        <v>448</v>
      </c>
      <c r="J16" s="779" t="s">
        <v>449</v>
      </c>
      <c r="K16" s="779" t="s">
        <v>441</v>
      </c>
      <c r="L16" s="779" t="s">
        <v>442</v>
      </c>
      <c r="M16" s="1587"/>
      <c r="N16" s="1517" t="s">
        <v>450</v>
      </c>
      <c r="O16" s="1517" t="s">
        <v>451</v>
      </c>
      <c r="P16" s="1517" t="s">
        <v>452</v>
      </c>
      <c r="Q16" s="1517" t="s">
        <v>450</v>
      </c>
      <c r="R16" s="1517" t="s">
        <v>453</v>
      </c>
      <c r="S16" s="780" t="s">
        <v>452</v>
      </c>
      <c r="T16" s="1659"/>
    </row>
    <row r="17" spans="1:20" x14ac:dyDescent="0.25">
      <c r="A17" s="711" t="s">
        <v>454</v>
      </c>
      <c r="B17" s="422" t="s">
        <v>455</v>
      </c>
      <c r="C17" s="422" t="s">
        <v>456</v>
      </c>
      <c r="D17" s="423" t="s">
        <v>457</v>
      </c>
      <c r="E17" s="423" t="s">
        <v>458</v>
      </c>
      <c r="F17" s="422" t="s">
        <v>459</v>
      </c>
      <c r="G17" s="422" t="s">
        <v>460</v>
      </c>
      <c r="H17" s="422" t="s">
        <v>461</v>
      </c>
      <c r="I17" s="422" t="s">
        <v>462</v>
      </c>
      <c r="J17" s="422" t="s">
        <v>463</v>
      </c>
      <c r="K17" s="422" t="s">
        <v>464</v>
      </c>
      <c r="L17" s="422" t="s">
        <v>465</v>
      </c>
      <c r="M17" s="422" t="s">
        <v>768</v>
      </c>
      <c r="N17" s="422" t="s">
        <v>466</v>
      </c>
      <c r="O17" s="422" t="s">
        <v>467</v>
      </c>
      <c r="P17" s="422" t="s">
        <v>468</v>
      </c>
      <c r="Q17" s="422" t="s">
        <v>469</v>
      </c>
      <c r="R17" s="422" t="s">
        <v>769</v>
      </c>
      <c r="S17" s="781" t="s">
        <v>770</v>
      </c>
      <c r="T17" s="713"/>
    </row>
    <row r="18" spans="1:20" s="693" customFormat="1" ht="18" x14ac:dyDescent="0.25">
      <c r="A18" s="782"/>
      <c r="B18" s="783" t="s">
        <v>771</v>
      </c>
      <c r="C18" s="424"/>
      <c r="D18" s="784"/>
      <c r="E18" s="784"/>
      <c r="F18" s="424"/>
      <c r="G18" s="424"/>
      <c r="H18" s="785">
        <f>H26+H76+H19</f>
        <v>968.75</v>
      </c>
      <c r="I18" s="785">
        <f>I26+I76+I19</f>
        <v>456.65</v>
      </c>
      <c r="J18" s="785">
        <f>J26+J76+J19</f>
        <v>512.1</v>
      </c>
      <c r="K18" s="424"/>
      <c r="L18" s="424"/>
      <c r="M18" s="424"/>
      <c r="N18" s="785">
        <f>N26+N76+N19</f>
        <v>723.65160000000003</v>
      </c>
      <c r="O18" s="424"/>
      <c r="P18" s="785">
        <f>P26+P76+P19</f>
        <v>16847255.600000001</v>
      </c>
      <c r="Q18" s="785">
        <f>Q26+Q76+Q19</f>
        <v>25.200000000000003</v>
      </c>
      <c r="R18" s="424"/>
      <c r="S18" s="785">
        <f>S26+S76+S19</f>
        <v>0</v>
      </c>
      <c r="T18" s="786">
        <f>T26+T76+T19</f>
        <v>17288255.600000001</v>
      </c>
    </row>
    <row r="19" spans="1:20" s="793" customFormat="1" ht="18" x14ac:dyDescent="0.25">
      <c r="A19" s="787"/>
      <c r="B19" s="788" t="s">
        <v>478</v>
      </c>
      <c r="C19" s="789"/>
      <c r="D19" s="790"/>
      <c r="E19" s="790"/>
      <c r="F19" s="789"/>
      <c r="G19" s="789"/>
      <c r="H19" s="791">
        <f>SUM(H21:H24)</f>
        <v>319</v>
      </c>
      <c r="I19" s="791">
        <f>SUM(I21:I24)</f>
        <v>319</v>
      </c>
      <c r="J19" s="791">
        <f>SUM(J21:J24)</f>
        <v>0</v>
      </c>
      <c r="K19" s="789"/>
      <c r="L19" s="789"/>
      <c r="M19" s="789"/>
      <c r="N19" s="791">
        <f>SUM(N21:N24)</f>
        <v>0</v>
      </c>
      <c r="O19" s="789"/>
      <c r="P19" s="791">
        <f>SUM(P21:P24)</f>
        <v>5396080</v>
      </c>
      <c r="Q19" s="791">
        <f>SUM(Q21:Q24)</f>
        <v>0</v>
      </c>
      <c r="R19" s="789"/>
      <c r="S19" s="791">
        <f>SUM(S21:S24)</f>
        <v>0</v>
      </c>
      <c r="T19" s="792">
        <f>SUM(T21:T24)</f>
        <v>5396080</v>
      </c>
    </row>
    <row r="20" spans="1:20" s="515" customFormat="1" ht="18" x14ac:dyDescent="0.25">
      <c r="A20" s="1069"/>
      <c r="B20" s="795" t="s">
        <v>772</v>
      </c>
      <c r="C20" s="751"/>
      <c r="D20" s="1070">
        <f>SUM(D21:D24)</f>
        <v>2785</v>
      </c>
      <c r="E20" s="1070">
        <f t="shared" ref="E20:T20" si="0">SUM(E21:E24)</f>
        <v>0</v>
      </c>
      <c r="F20" s="1070">
        <f t="shared" si="0"/>
        <v>0</v>
      </c>
      <c r="G20" s="1070">
        <f t="shared" si="0"/>
        <v>0</v>
      </c>
      <c r="H20" s="1070">
        <f t="shared" si="0"/>
        <v>319</v>
      </c>
      <c r="I20" s="1070">
        <f t="shared" si="0"/>
        <v>319</v>
      </c>
      <c r="J20" s="1070">
        <f t="shared" si="0"/>
        <v>0</v>
      </c>
      <c r="K20" s="1070">
        <f t="shared" si="0"/>
        <v>0</v>
      </c>
      <c r="L20" s="1070">
        <f t="shared" si="0"/>
        <v>0</v>
      </c>
      <c r="M20" s="1070">
        <f t="shared" si="0"/>
        <v>200</v>
      </c>
      <c r="N20" s="1070">
        <f t="shared" si="0"/>
        <v>0</v>
      </c>
      <c r="O20" s="1070">
        <f t="shared" si="0"/>
        <v>24260</v>
      </c>
      <c r="P20" s="1070">
        <f t="shared" si="0"/>
        <v>5396080</v>
      </c>
      <c r="Q20" s="1070">
        <f t="shared" si="0"/>
        <v>0</v>
      </c>
      <c r="R20" s="1070">
        <f t="shared" si="0"/>
        <v>0</v>
      </c>
      <c r="S20" s="1070">
        <f t="shared" si="0"/>
        <v>0</v>
      </c>
      <c r="T20" s="1070">
        <f t="shared" si="0"/>
        <v>5396080</v>
      </c>
    </row>
    <row r="21" spans="1:20" s="509" customFormat="1" x14ac:dyDescent="0.25">
      <c r="A21" s="794"/>
      <c r="C21" s="796" t="s">
        <v>713</v>
      </c>
      <c r="D21" s="797">
        <v>2785</v>
      </c>
      <c r="E21" s="798"/>
      <c r="F21" s="796" t="s">
        <v>482</v>
      </c>
      <c r="G21" s="697"/>
      <c r="H21" s="695">
        <f>SUM(I21:J21)</f>
        <v>0</v>
      </c>
      <c r="I21" s="1655" t="s">
        <v>773</v>
      </c>
      <c r="J21" s="1656"/>
      <c r="K21" s="697"/>
      <c r="L21" s="697"/>
      <c r="M21" s="697"/>
      <c r="N21" s="799"/>
      <c r="O21" s="697">
        <v>1360</v>
      </c>
      <c r="P21" s="799">
        <f>O21*963</f>
        <v>1309680</v>
      </c>
      <c r="Q21" s="799"/>
      <c r="R21" s="697"/>
      <c r="S21" s="799"/>
      <c r="T21" s="800">
        <f>S21+P21</f>
        <v>1309680</v>
      </c>
    </row>
    <row r="22" spans="1:20" s="509" customFormat="1" ht="18" x14ac:dyDescent="0.25">
      <c r="A22" s="794"/>
      <c r="B22" s="801"/>
      <c r="C22" s="697"/>
      <c r="D22" s="797"/>
      <c r="E22" s="797"/>
      <c r="F22" s="796" t="s">
        <v>774</v>
      </c>
      <c r="G22" s="697"/>
      <c r="H22" s="695">
        <f>SUM(I22:J22)</f>
        <v>0</v>
      </c>
      <c r="I22" s="1655" t="s">
        <v>775</v>
      </c>
      <c r="J22" s="1656"/>
      <c r="K22" s="697"/>
      <c r="L22" s="697"/>
      <c r="M22" s="697"/>
      <c r="N22" s="799"/>
      <c r="O22" s="697">
        <v>1400</v>
      </c>
      <c r="P22" s="799">
        <f>O22*351</f>
        <v>491400</v>
      </c>
      <c r="Q22" s="799"/>
      <c r="R22" s="697"/>
      <c r="S22" s="799"/>
      <c r="T22" s="800">
        <f>S22+P22</f>
        <v>491400</v>
      </c>
    </row>
    <row r="23" spans="1:20" s="509" customFormat="1" ht="18" x14ac:dyDescent="0.25">
      <c r="A23" s="794"/>
      <c r="B23" s="801"/>
      <c r="C23" s="697"/>
      <c r="D23" s="797"/>
      <c r="E23" s="797"/>
      <c r="F23" s="796" t="s">
        <v>776</v>
      </c>
      <c r="G23" s="697"/>
      <c r="H23" s="695">
        <f>SUM(I23:J23)</f>
        <v>140</v>
      </c>
      <c r="I23" s="799">
        <v>140</v>
      </c>
      <c r="J23" s="799">
        <v>0</v>
      </c>
      <c r="K23" s="697"/>
      <c r="L23" s="697"/>
      <c r="M23" s="697">
        <v>100</v>
      </c>
      <c r="N23" s="799"/>
      <c r="O23" s="697">
        <v>6500</v>
      </c>
      <c r="P23" s="799">
        <f>I23*O23</f>
        <v>910000</v>
      </c>
      <c r="Q23" s="799"/>
      <c r="R23" s="697"/>
      <c r="S23" s="799"/>
      <c r="T23" s="800">
        <f>S23+P23</f>
        <v>910000</v>
      </c>
    </row>
    <row r="24" spans="1:20" s="509" customFormat="1" ht="18" x14ac:dyDescent="0.25">
      <c r="A24" s="794"/>
      <c r="B24" s="801"/>
      <c r="C24" s="697"/>
      <c r="D24" s="797"/>
      <c r="E24" s="797"/>
      <c r="F24" s="796" t="s">
        <v>588</v>
      </c>
      <c r="G24" s="697"/>
      <c r="H24" s="695">
        <f>SUM(I24:J24)</f>
        <v>179</v>
      </c>
      <c r="I24" s="799">
        <f>60+119</f>
        <v>179</v>
      </c>
      <c r="J24" s="799">
        <v>0</v>
      </c>
      <c r="K24" s="697"/>
      <c r="L24" s="697"/>
      <c r="M24" s="697">
        <v>100</v>
      </c>
      <c r="N24" s="799"/>
      <c r="O24" s="697">
        <v>15000</v>
      </c>
      <c r="P24" s="799">
        <f>I24*O24</f>
        <v>2685000</v>
      </c>
      <c r="Q24" s="799"/>
      <c r="R24" s="697"/>
      <c r="S24" s="799"/>
      <c r="T24" s="800">
        <f>S24+P24</f>
        <v>2685000</v>
      </c>
    </row>
    <row r="25" spans="1:20" s="509" customFormat="1" ht="18" x14ac:dyDescent="0.25">
      <c r="A25" s="794"/>
      <c r="B25" s="801"/>
      <c r="C25" s="697"/>
      <c r="D25" s="797"/>
      <c r="E25" s="797"/>
      <c r="F25" s="697"/>
      <c r="G25" s="697"/>
      <c r="H25" s="799"/>
      <c r="I25" s="799"/>
      <c r="J25" s="799"/>
      <c r="K25" s="697"/>
      <c r="L25" s="697"/>
      <c r="M25" s="697"/>
      <c r="N25" s="799"/>
      <c r="O25" s="697"/>
      <c r="P25" s="799"/>
      <c r="Q25" s="799"/>
      <c r="R25" s="697"/>
      <c r="S25" s="799"/>
      <c r="T25" s="802"/>
    </row>
    <row r="26" spans="1:20" s="793" customFormat="1" x14ac:dyDescent="0.25">
      <c r="A26" s="803"/>
      <c r="B26" s="804" t="s">
        <v>589</v>
      </c>
      <c r="C26" s="789"/>
      <c r="D26" s="790"/>
      <c r="E26" s="790"/>
      <c r="F26" s="789"/>
      <c r="G26" s="789"/>
      <c r="H26" s="792">
        <f>H27+H60</f>
        <v>585</v>
      </c>
      <c r="I26" s="792">
        <f>I27+I60</f>
        <v>134.9</v>
      </c>
      <c r="J26" s="792">
        <f>J27+J60</f>
        <v>450.1</v>
      </c>
      <c r="K26" s="789"/>
      <c r="L26" s="789"/>
      <c r="M26" s="789"/>
      <c r="N26" s="792">
        <f>N27+N60</f>
        <v>723.65160000000003</v>
      </c>
      <c r="O26" s="789"/>
      <c r="P26" s="792">
        <f>P27+P60</f>
        <v>10570550.6</v>
      </c>
      <c r="Q26" s="792">
        <f>Q27+Q60</f>
        <v>25.200000000000003</v>
      </c>
      <c r="R26" s="789"/>
      <c r="S26" s="792">
        <f>S27+S60</f>
        <v>0</v>
      </c>
      <c r="T26" s="792">
        <f>T27+T60</f>
        <v>11011550.6</v>
      </c>
    </row>
    <row r="27" spans="1:20" s="811" customFormat="1" x14ac:dyDescent="0.25">
      <c r="A27" s="805"/>
      <c r="B27" s="806" t="s">
        <v>777</v>
      </c>
      <c r="C27" s="807"/>
      <c r="D27" s="808"/>
      <c r="E27" s="808"/>
      <c r="F27" s="807"/>
      <c r="G27" s="807"/>
      <c r="H27" s="809">
        <f>SUM(H29:H57)</f>
        <v>477.5</v>
      </c>
      <c r="I27" s="809">
        <f>SUM(I29:I57)</f>
        <v>94.4</v>
      </c>
      <c r="J27" s="809">
        <f>SUM(J29:J57)</f>
        <v>383.1</v>
      </c>
      <c r="K27" s="809"/>
      <c r="L27" s="809"/>
      <c r="M27" s="809"/>
      <c r="N27" s="809">
        <f>SUM(N29:N57)</f>
        <v>723.65160000000003</v>
      </c>
      <c r="O27" s="809"/>
      <c r="P27" s="809">
        <f>SUM(P29:P57)</f>
        <v>8760158.5999999996</v>
      </c>
      <c r="Q27" s="809">
        <f>SUM(Q30:Q52)</f>
        <v>25.200000000000003</v>
      </c>
      <c r="R27" s="809"/>
      <c r="S27" s="809"/>
      <c r="T27" s="810">
        <f>SUM(T29:T57)</f>
        <v>9201158.5999999996</v>
      </c>
    </row>
    <row r="28" spans="1:20" s="515" customFormat="1" x14ac:dyDescent="0.25">
      <c r="A28" s="1071"/>
      <c r="B28" t="s">
        <v>218</v>
      </c>
      <c r="C28" s="751"/>
      <c r="D28" s="1070">
        <f>SUM(D29:D32)</f>
        <v>0</v>
      </c>
      <c r="E28" s="1070">
        <f t="shared" ref="E28:T28" si="1">SUM(E29:E32)</f>
        <v>471</v>
      </c>
      <c r="F28" s="1070">
        <f t="shared" si="1"/>
        <v>0</v>
      </c>
      <c r="G28" s="1070">
        <f t="shared" si="1"/>
        <v>0</v>
      </c>
      <c r="H28" s="1070">
        <f t="shared" si="1"/>
        <v>10.5</v>
      </c>
      <c r="I28" s="1070">
        <f t="shared" si="1"/>
        <v>2.4</v>
      </c>
      <c r="J28" s="1070">
        <f t="shared" si="1"/>
        <v>8.1</v>
      </c>
      <c r="K28" s="1070">
        <f t="shared" si="1"/>
        <v>8.4</v>
      </c>
      <c r="L28" s="1070">
        <f t="shared" si="1"/>
        <v>3.8600000000000003</v>
      </c>
      <c r="M28" s="1070">
        <f t="shared" si="1"/>
        <v>308</v>
      </c>
      <c r="N28" s="1070">
        <f t="shared" si="1"/>
        <v>12.801600000000001</v>
      </c>
      <c r="O28" s="1070">
        <f t="shared" si="1"/>
        <v>35380</v>
      </c>
      <c r="P28" s="1070">
        <f t="shared" si="1"/>
        <v>555955.1</v>
      </c>
      <c r="Q28" s="1070">
        <f t="shared" si="1"/>
        <v>0</v>
      </c>
      <c r="R28" s="1070">
        <f t="shared" si="1"/>
        <v>0</v>
      </c>
      <c r="S28" s="1070">
        <f t="shared" si="1"/>
        <v>0</v>
      </c>
      <c r="T28" s="1070">
        <f t="shared" si="1"/>
        <v>555955.1</v>
      </c>
    </row>
    <row r="29" spans="1:20" ht="16.5" customHeight="1" x14ac:dyDescent="0.25">
      <c r="A29" s="711">
        <v>1</v>
      </c>
      <c r="C29" s="705" t="s">
        <v>713</v>
      </c>
      <c r="D29" s="710"/>
      <c r="E29" s="691">
        <v>471</v>
      </c>
      <c r="F29" s="796" t="s">
        <v>778</v>
      </c>
      <c r="G29" s="1526"/>
      <c r="H29" s="695">
        <f t="shared" ref="H29:H59" si="2">SUM(I29:J29)</f>
        <v>0</v>
      </c>
      <c r="I29" s="1655" t="s">
        <v>779</v>
      </c>
      <c r="J29" s="1656"/>
      <c r="K29" s="695"/>
      <c r="L29" s="695"/>
      <c r="M29" s="812">
        <v>100</v>
      </c>
      <c r="N29" s="695">
        <v>0</v>
      </c>
      <c r="O29" s="695">
        <v>1400</v>
      </c>
      <c r="P29" s="695">
        <f>O29*350</f>
        <v>490000</v>
      </c>
      <c r="Q29" s="695"/>
      <c r="R29" s="691"/>
      <c r="S29" s="813"/>
      <c r="T29" s="800">
        <f>S29+P29</f>
        <v>490000</v>
      </c>
    </row>
    <row r="30" spans="1:20" ht="16.5" customHeight="1" x14ac:dyDescent="0.25">
      <c r="A30" s="711"/>
      <c r="B30" s="464"/>
      <c r="C30" s="705" t="s">
        <v>713</v>
      </c>
      <c r="D30" s="710"/>
      <c r="E30" s="691"/>
      <c r="F30" s="796" t="s">
        <v>780</v>
      </c>
      <c r="G30" s="1526"/>
      <c r="H30" s="695">
        <f t="shared" si="2"/>
        <v>0</v>
      </c>
      <c r="I30" s="1655" t="s">
        <v>781</v>
      </c>
      <c r="J30" s="1656"/>
      <c r="K30" s="695"/>
      <c r="L30" s="695"/>
      <c r="M30" s="812">
        <v>100</v>
      </c>
      <c r="N30" s="695">
        <v>0</v>
      </c>
      <c r="O30" s="695">
        <v>1360</v>
      </c>
      <c r="P30" s="695">
        <f>O30*10</f>
        <v>13600</v>
      </c>
      <c r="Q30" s="695"/>
      <c r="R30" s="691"/>
      <c r="S30" s="813"/>
      <c r="T30" s="800">
        <f>S30+P30</f>
        <v>13600</v>
      </c>
    </row>
    <row r="31" spans="1:20" ht="16.5" customHeight="1" x14ac:dyDescent="0.25">
      <c r="A31" s="711"/>
      <c r="B31" s="464"/>
      <c r="C31" s="705" t="s">
        <v>713</v>
      </c>
      <c r="D31" s="710"/>
      <c r="E31" s="691"/>
      <c r="F31" s="796" t="s">
        <v>539</v>
      </c>
      <c r="G31" s="1526"/>
      <c r="H31" s="695">
        <f t="shared" si="2"/>
        <v>2.4</v>
      </c>
      <c r="I31" s="1526">
        <v>2.4</v>
      </c>
      <c r="J31" s="1526">
        <v>0</v>
      </c>
      <c r="K31" s="695">
        <v>4.2</v>
      </c>
      <c r="L31" s="695">
        <v>0</v>
      </c>
      <c r="M31" s="812">
        <v>100</v>
      </c>
      <c r="N31" s="695">
        <f>I31*K31</f>
        <v>10.08</v>
      </c>
      <c r="O31" s="695">
        <f>3860+12450</f>
        <v>16310</v>
      </c>
      <c r="P31" s="695">
        <f>O31*I31</f>
        <v>39144</v>
      </c>
      <c r="Q31" s="695"/>
      <c r="R31" s="691"/>
      <c r="S31" s="813"/>
      <c r="T31" s="800">
        <f t="shared" ref="T31:T83" si="3">S31+P31</f>
        <v>39144</v>
      </c>
    </row>
    <row r="32" spans="1:20" ht="16.5" customHeight="1" x14ac:dyDescent="0.25">
      <c r="A32" s="711"/>
      <c r="B32" s="464"/>
      <c r="C32" s="705" t="s">
        <v>713</v>
      </c>
      <c r="D32" s="423"/>
      <c r="E32" s="691"/>
      <c r="F32" s="796" t="s">
        <v>539</v>
      </c>
      <c r="G32" s="796"/>
      <c r="H32" s="695">
        <f t="shared" si="2"/>
        <v>8.1</v>
      </c>
      <c r="I32" s="695">
        <v>0</v>
      </c>
      <c r="J32" s="695">
        <v>8.1</v>
      </c>
      <c r="K32" s="695">
        <v>4.2</v>
      </c>
      <c r="L32" s="695">
        <f>K32-0.34</f>
        <v>3.8600000000000003</v>
      </c>
      <c r="M32" s="812">
        <v>8</v>
      </c>
      <c r="N32" s="695">
        <f>J32*K32*0.08</f>
        <v>2.7216000000000005</v>
      </c>
      <c r="O32" s="695">
        <f>12450+3860</f>
        <v>16310</v>
      </c>
      <c r="P32" s="695">
        <f>J32*O32*0.1</f>
        <v>13211.1</v>
      </c>
      <c r="Q32" s="695"/>
      <c r="R32" s="691"/>
      <c r="S32" s="813"/>
      <c r="T32" s="800">
        <f>S32+P32</f>
        <v>13211.1</v>
      </c>
    </row>
    <row r="33" spans="1:20" s="515" customFormat="1" ht="16.5" customHeight="1" x14ac:dyDescent="0.25">
      <c r="A33" s="1069"/>
      <c r="B33" s="464" t="s">
        <v>595</v>
      </c>
      <c r="C33" s="1073"/>
      <c r="D33" s="1070">
        <f>SUM(D34:D35)</f>
        <v>0</v>
      </c>
      <c r="E33" s="1070">
        <f t="shared" ref="E33:T33" si="4">SUM(E34:E35)</f>
        <v>131</v>
      </c>
      <c r="F33" s="1070">
        <f t="shared" si="4"/>
        <v>0</v>
      </c>
      <c r="G33" s="1070">
        <f t="shared" si="4"/>
        <v>0</v>
      </c>
      <c r="H33" s="1070">
        <f t="shared" si="4"/>
        <v>0</v>
      </c>
      <c r="I33" s="1070">
        <f t="shared" si="4"/>
        <v>0</v>
      </c>
      <c r="J33" s="1070">
        <f t="shared" si="4"/>
        <v>0</v>
      </c>
      <c r="K33" s="1070">
        <f t="shared" si="4"/>
        <v>0</v>
      </c>
      <c r="L33" s="1070">
        <f t="shared" si="4"/>
        <v>0</v>
      </c>
      <c r="M33" s="1070">
        <f t="shared" si="4"/>
        <v>100</v>
      </c>
      <c r="N33" s="1070">
        <f t="shared" si="4"/>
        <v>0</v>
      </c>
      <c r="O33" s="1070">
        <f t="shared" si="4"/>
        <v>2760</v>
      </c>
      <c r="P33" s="1070">
        <f t="shared" si="4"/>
        <v>1355600</v>
      </c>
      <c r="Q33" s="1070">
        <f t="shared" si="4"/>
        <v>0</v>
      </c>
      <c r="R33" s="1070">
        <f t="shared" si="4"/>
        <v>0</v>
      </c>
      <c r="S33" s="1070">
        <f t="shared" si="4"/>
        <v>0</v>
      </c>
      <c r="T33" s="1070">
        <f t="shared" si="4"/>
        <v>1355600</v>
      </c>
    </row>
    <row r="34" spans="1:20" ht="16.5" customHeight="1" x14ac:dyDescent="0.25">
      <c r="A34" s="711">
        <v>2</v>
      </c>
      <c r="C34" s="705" t="s">
        <v>713</v>
      </c>
      <c r="D34" s="423"/>
      <c r="E34" s="691">
        <v>131</v>
      </c>
      <c r="F34" s="796" t="s">
        <v>780</v>
      </c>
      <c r="G34" s="796"/>
      <c r="H34" s="695">
        <f t="shared" si="2"/>
        <v>0</v>
      </c>
      <c r="I34" s="1655" t="s">
        <v>782</v>
      </c>
      <c r="J34" s="1656"/>
      <c r="K34" s="695"/>
      <c r="L34" s="695"/>
      <c r="M34" s="812"/>
      <c r="N34" s="695">
        <v>0</v>
      </c>
      <c r="O34" s="695">
        <v>1360</v>
      </c>
      <c r="P34" s="695">
        <f>O34*760</f>
        <v>1033600</v>
      </c>
      <c r="Q34" s="695"/>
      <c r="R34" s="691"/>
      <c r="S34" s="813"/>
      <c r="T34" s="800">
        <f t="shared" si="3"/>
        <v>1033600</v>
      </c>
    </row>
    <row r="35" spans="1:20" ht="16.5" customHeight="1" x14ac:dyDescent="0.25">
      <c r="A35" s="711"/>
      <c r="B35" s="464"/>
      <c r="C35" s="705"/>
      <c r="D35" s="423"/>
      <c r="E35" s="691"/>
      <c r="F35" s="796" t="s">
        <v>778</v>
      </c>
      <c r="G35" s="796"/>
      <c r="H35" s="695">
        <f t="shared" si="2"/>
        <v>0</v>
      </c>
      <c r="I35" s="1655" t="s">
        <v>783</v>
      </c>
      <c r="J35" s="1656"/>
      <c r="K35" s="695"/>
      <c r="L35" s="695">
        <v>0</v>
      </c>
      <c r="M35" s="812">
        <v>100</v>
      </c>
      <c r="N35" s="695">
        <v>0</v>
      </c>
      <c r="O35" s="695">
        <v>1400</v>
      </c>
      <c r="P35" s="695">
        <f>O35*230</f>
        <v>322000</v>
      </c>
      <c r="Q35" s="695"/>
      <c r="R35" s="691"/>
      <c r="S35" s="813"/>
      <c r="T35" s="800">
        <f t="shared" si="3"/>
        <v>322000</v>
      </c>
    </row>
    <row r="36" spans="1:20" s="515" customFormat="1" ht="16.5" customHeight="1" x14ac:dyDescent="0.25">
      <c r="A36" s="1069"/>
      <c r="B36" s="481" t="s">
        <v>570</v>
      </c>
      <c r="C36" s="1073"/>
      <c r="D36" s="1070">
        <f>SUM(D37:D38)</f>
        <v>0</v>
      </c>
      <c r="E36" s="1070">
        <f t="shared" ref="E36:T36" si="5">SUM(E37:E38)</f>
        <v>8</v>
      </c>
      <c r="F36" s="1070">
        <f t="shared" si="5"/>
        <v>0</v>
      </c>
      <c r="G36" s="1070">
        <f t="shared" si="5"/>
        <v>0</v>
      </c>
      <c r="H36" s="1070">
        <f t="shared" si="5"/>
        <v>9</v>
      </c>
      <c r="I36" s="1070">
        <f t="shared" si="5"/>
        <v>3</v>
      </c>
      <c r="J36" s="1070">
        <f t="shared" si="5"/>
        <v>6</v>
      </c>
      <c r="K36" s="1070">
        <f t="shared" si="5"/>
        <v>8.4</v>
      </c>
      <c r="L36" s="1070">
        <f t="shared" si="5"/>
        <v>3.7800000000000002</v>
      </c>
      <c r="M36" s="1070">
        <f t="shared" si="5"/>
        <v>110</v>
      </c>
      <c r="N36" s="1070">
        <f t="shared" si="5"/>
        <v>2.5200000000000005</v>
      </c>
      <c r="O36" s="1070">
        <f t="shared" si="5"/>
        <v>21305</v>
      </c>
      <c r="P36" s="1070">
        <f t="shared" si="5"/>
        <v>12783</v>
      </c>
      <c r="Q36" s="1070">
        <f t="shared" si="5"/>
        <v>12.600000000000001</v>
      </c>
      <c r="R36" s="1070">
        <f t="shared" si="5"/>
        <v>17.5</v>
      </c>
      <c r="S36" s="1070">
        <f t="shared" si="5"/>
        <v>220500.00000000003</v>
      </c>
      <c r="T36" s="1070">
        <f t="shared" si="5"/>
        <v>233283.00000000003</v>
      </c>
    </row>
    <row r="37" spans="1:20" s="509" customFormat="1" ht="16.5" customHeight="1" x14ac:dyDescent="0.25">
      <c r="A37" s="794">
        <v>3</v>
      </c>
      <c r="C37" s="796" t="s">
        <v>713</v>
      </c>
      <c r="D37" s="797"/>
      <c r="E37" s="695">
        <v>8</v>
      </c>
      <c r="F37" s="796" t="s">
        <v>539</v>
      </c>
      <c r="G37" s="697"/>
      <c r="H37" s="695">
        <f>SUM(I37:J37)</f>
        <v>6</v>
      </c>
      <c r="I37" s="695">
        <v>0</v>
      </c>
      <c r="J37" s="695">
        <v>6</v>
      </c>
      <c r="K37" s="695">
        <v>4.2</v>
      </c>
      <c r="L37" s="695">
        <f>K37-0.42</f>
        <v>3.7800000000000002</v>
      </c>
      <c r="M37" s="812">
        <v>10</v>
      </c>
      <c r="N37" s="695">
        <f>J37*K37*0.1</f>
        <v>2.5200000000000005</v>
      </c>
      <c r="O37" s="695">
        <f>3860+12450+4995</f>
        <v>21305</v>
      </c>
      <c r="P37" s="695">
        <f>J37*O37*0.1</f>
        <v>12783</v>
      </c>
      <c r="Q37" s="695"/>
      <c r="R37" s="691"/>
      <c r="S37" s="813"/>
      <c r="T37" s="800">
        <f>S37+P37</f>
        <v>12783</v>
      </c>
    </row>
    <row r="38" spans="1:20" s="509" customFormat="1" ht="16.5" customHeight="1" x14ac:dyDescent="0.25">
      <c r="A38" s="794"/>
      <c r="B38" s="481"/>
      <c r="C38" s="796"/>
      <c r="D38" s="797"/>
      <c r="E38" s="695"/>
      <c r="F38" s="796" t="s">
        <v>474</v>
      </c>
      <c r="G38" s="697"/>
      <c r="H38" s="695">
        <f>SUM(I38:J38)</f>
        <v>3</v>
      </c>
      <c r="I38" s="695">
        <v>3</v>
      </c>
      <c r="J38" s="695"/>
      <c r="K38" s="695">
        <v>4.2</v>
      </c>
      <c r="L38" s="695"/>
      <c r="M38" s="812">
        <v>100</v>
      </c>
      <c r="N38" s="695"/>
      <c r="O38" s="695"/>
      <c r="P38" s="695"/>
      <c r="Q38" s="695">
        <f>I38*K38</f>
        <v>12.600000000000001</v>
      </c>
      <c r="R38" s="691">
        <v>17.5</v>
      </c>
      <c r="S38" s="813">
        <f>Q38*1000*R38</f>
        <v>220500.00000000003</v>
      </c>
      <c r="T38" s="800">
        <f>S38+P38</f>
        <v>220500.00000000003</v>
      </c>
    </row>
    <row r="39" spans="1:20" s="515" customFormat="1" ht="16.5" customHeight="1" x14ac:dyDescent="0.25">
      <c r="A39" s="1069"/>
      <c r="B39" s="464" t="s">
        <v>472</v>
      </c>
      <c r="C39" s="1073"/>
      <c r="D39" s="1070">
        <f>SUM(D40:D43)</f>
        <v>0</v>
      </c>
      <c r="E39" s="1070">
        <f t="shared" ref="E39:T39" si="6">SUM(E40:E43)</f>
        <v>40</v>
      </c>
      <c r="F39" s="1070">
        <f t="shared" si="6"/>
        <v>0</v>
      </c>
      <c r="G39" s="1070">
        <f t="shared" si="6"/>
        <v>0</v>
      </c>
      <c r="H39" s="1070">
        <f t="shared" si="6"/>
        <v>50</v>
      </c>
      <c r="I39" s="1070">
        <f t="shared" si="6"/>
        <v>32</v>
      </c>
      <c r="J39" s="1070">
        <f t="shared" si="6"/>
        <v>18</v>
      </c>
      <c r="K39" s="1070">
        <f t="shared" si="6"/>
        <v>17.599999999999998</v>
      </c>
      <c r="L39" s="1070">
        <f t="shared" si="6"/>
        <v>3.78</v>
      </c>
      <c r="M39" s="1070">
        <f t="shared" si="6"/>
        <v>310</v>
      </c>
      <c r="N39" s="1070">
        <f t="shared" si="6"/>
        <v>141.96</v>
      </c>
      <c r="O39" s="1070">
        <f t="shared" si="6"/>
        <v>45370</v>
      </c>
      <c r="P39" s="1070">
        <f t="shared" si="6"/>
        <v>814389</v>
      </c>
      <c r="Q39" s="1070">
        <f t="shared" si="6"/>
        <v>0</v>
      </c>
      <c r="R39" s="1070">
        <f t="shared" si="6"/>
        <v>0</v>
      </c>
      <c r="S39" s="1070">
        <f t="shared" si="6"/>
        <v>0</v>
      </c>
      <c r="T39" s="1070">
        <f t="shared" si="6"/>
        <v>814389</v>
      </c>
    </row>
    <row r="40" spans="1:20" ht="16.5" customHeight="1" x14ac:dyDescent="0.25">
      <c r="A40" s="711">
        <v>4</v>
      </c>
      <c r="C40" s="705" t="s">
        <v>713</v>
      </c>
      <c r="D40" s="423"/>
      <c r="E40" s="691">
        <v>40</v>
      </c>
      <c r="F40" s="796" t="s">
        <v>778</v>
      </c>
      <c r="G40" s="697"/>
      <c r="H40" s="695">
        <f t="shared" si="2"/>
        <v>0</v>
      </c>
      <c r="I40" s="1655" t="s">
        <v>784</v>
      </c>
      <c r="J40" s="1656"/>
      <c r="K40" s="695">
        <v>5</v>
      </c>
      <c r="L40" s="695">
        <v>0</v>
      </c>
      <c r="M40" s="812">
        <v>100</v>
      </c>
      <c r="N40" s="695">
        <v>0</v>
      </c>
      <c r="O40" s="695">
        <v>1400</v>
      </c>
      <c r="P40" s="695">
        <f>O40*45</f>
        <v>63000</v>
      </c>
      <c r="Q40" s="695"/>
      <c r="R40" s="691"/>
      <c r="S40" s="813"/>
      <c r="T40" s="800">
        <f t="shared" si="3"/>
        <v>63000</v>
      </c>
    </row>
    <row r="41" spans="1:20" ht="16.5" customHeight="1" x14ac:dyDescent="0.25">
      <c r="A41" s="711"/>
      <c r="B41" s="464"/>
      <c r="C41" s="705"/>
      <c r="D41" s="423"/>
      <c r="E41" s="691"/>
      <c r="F41" s="796" t="s">
        <v>780</v>
      </c>
      <c r="G41" s="697"/>
      <c r="H41" s="695">
        <f t="shared" si="2"/>
        <v>0</v>
      </c>
      <c r="I41" s="1655" t="s">
        <v>785</v>
      </c>
      <c r="J41" s="1656"/>
      <c r="K41" s="695">
        <v>4.2</v>
      </c>
      <c r="L41" s="695">
        <v>0</v>
      </c>
      <c r="M41" s="812">
        <v>100</v>
      </c>
      <c r="N41" s="695">
        <v>0</v>
      </c>
      <c r="O41" s="695">
        <v>1360</v>
      </c>
      <c r="P41" s="695">
        <f>O41*23</f>
        <v>31280</v>
      </c>
      <c r="Q41" s="695"/>
      <c r="R41" s="691"/>
      <c r="S41" s="813"/>
      <c r="T41" s="800">
        <f t="shared" si="3"/>
        <v>31280</v>
      </c>
    </row>
    <row r="42" spans="1:20" ht="15.6" customHeight="1" x14ac:dyDescent="0.25">
      <c r="A42" s="711"/>
      <c r="B42" s="814"/>
      <c r="C42" s="422"/>
      <c r="D42" s="423"/>
      <c r="E42" s="691"/>
      <c r="F42" s="796" t="s">
        <v>539</v>
      </c>
      <c r="G42" s="697"/>
      <c r="H42" s="695">
        <f t="shared" si="2"/>
        <v>32</v>
      </c>
      <c r="I42" s="695">
        <v>32</v>
      </c>
      <c r="J42" s="695">
        <v>0</v>
      </c>
      <c r="K42" s="695">
        <v>4.2</v>
      </c>
      <c r="L42" s="695">
        <v>0</v>
      </c>
      <c r="M42" s="812">
        <v>100</v>
      </c>
      <c r="N42" s="695">
        <f>I42*K42</f>
        <v>134.4</v>
      </c>
      <c r="O42" s="695">
        <v>21305</v>
      </c>
      <c r="P42" s="695">
        <f>I42*O42</f>
        <v>681760</v>
      </c>
      <c r="Q42" s="695"/>
      <c r="R42" s="691"/>
      <c r="S42" s="813"/>
      <c r="T42" s="800">
        <f t="shared" si="3"/>
        <v>681760</v>
      </c>
    </row>
    <row r="43" spans="1:20" ht="15.6" customHeight="1" x14ac:dyDescent="0.25">
      <c r="A43" s="711"/>
      <c r="B43" s="814"/>
      <c r="C43" s="422"/>
      <c r="D43" s="423"/>
      <c r="E43" s="691"/>
      <c r="F43" s="796" t="s">
        <v>539</v>
      </c>
      <c r="G43" s="697"/>
      <c r="H43" s="695">
        <f t="shared" si="2"/>
        <v>18</v>
      </c>
      <c r="I43" s="695">
        <v>0</v>
      </c>
      <c r="J43" s="695">
        <v>18</v>
      </c>
      <c r="K43" s="695">
        <v>4.2</v>
      </c>
      <c r="L43" s="695">
        <v>3.78</v>
      </c>
      <c r="M43" s="812">
        <v>10</v>
      </c>
      <c r="N43" s="695">
        <f>J43*K43*0.1</f>
        <v>7.5600000000000014</v>
      </c>
      <c r="O43" s="695">
        <v>21305</v>
      </c>
      <c r="P43" s="695">
        <f>J43*0.1*O43</f>
        <v>38349</v>
      </c>
      <c r="Q43" s="695">
        <f>I43*K43</f>
        <v>0</v>
      </c>
      <c r="R43" s="691"/>
      <c r="S43" s="813"/>
      <c r="T43" s="800">
        <f t="shared" si="3"/>
        <v>38349</v>
      </c>
    </row>
    <row r="44" spans="1:20" s="515" customFormat="1" ht="15.6" customHeight="1" x14ac:dyDescent="0.25">
      <c r="A44" s="1069"/>
      <c r="B44" s="464" t="s">
        <v>598</v>
      </c>
      <c r="C44" s="751"/>
      <c r="D44" s="1070">
        <f>SUM(D45:D48)</f>
        <v>0</v>
      </c>
      <c r="E44" s="1070">
        <f t="shared" ref="E44:T44" si="7">SUM(E45:E48)</f>
        <v>10</v>
      </c>
      <c r="F44" s="1070">
        <f t="shared" si="7"/>
        <v>0</v>
      </c>
      <c r="G44" s="1070">
        <f t="shared" si="7"/>
        <v>0</v>
      </c>
      <c r="H44" s="1070">
        <f t="shared" si="7"/>
        <v>11</v>
      </c>
      <c r="I44" s="1070">
        <f t="shared" si="7"/>
        <v>0</v>
      </c>
      <c r="J44" s="1070">
        <f t="shared" si="7"/>
        <v>11</v>
      </c>
      <c r="K44" s="1070">
        <f t="shared" si="7"/>
        <v>17.599999999999998</v>
      </c>
      <c r="L44" s="1070">
        <f t="shared" si="7"/>
        <v>7.3599999999999994</v>
      </c>
      <c r="M44" s="1070">
        <f t="shared" si="7"/>
        <v>220</v>
      </c>
      <c r="N44" s="1070">
        <f t="shared" si="7"/>
        <v>4.62</v>
      </c>
      <c r="O44" s="1070">
        <f t="shared" si="7"/>
        <v>35380</v>
      </c>
      <c r="P44" s="1070">
        <f t="shared" si="7"/>
        <v>38501</v>
      </c>
      <c r="Q44" s="1070">
        <f t="shared" si="7"/>
        <v>0</v>
      </c>
      <c r="R44" s="1070">
        <f t="shared" si="7"/>
        <v>0</v>
      </c>
      <c r="S44" s="1070">
        <f t="shared" si="7"/>
        <v>0</v>
      </c>
      <c r="T44" s="1070">
        <f t="shared" si="7"/>
        <v>38501</v>
      </c>
    </row>
    <row r="45" spans="1:20" ht="15.6" customHeight="1" x14ac:dyDescent="0.25">
      <c r="A45" s="711"/>
      <c r="C45" s="422"/>
      <c r="D45" s="423"/>
      <c r="E45" s="691">
        <v>10</v>
      </c>
      <c r="F45" s="796" t="s">
        <v>780</v>
      </c>
      <c r="G45" s="697"/>
      <c r="H45" s="695">
        <f t="shared" si="2"/>
        <v>0</v>
      </c>
      <c r="I45" s="1655" t="s">
        <v>786</v>
      </c>
      <c r="J45" s="1656"/>
      <c r="K45" s="695">
        <v>4.2</v>
      </c>
      <c r="L45" s="695">
        <v>0</v>
      </c>
      <c r="M45" s="812">
        <v>100</v>
      </c>
      <c r="N45" s="695">
        <v>0</v>
      </c>
      <c r="O45" s="695">
        <v>1360</v>
      </c>
      <c r="P45" s="695">
        <f>O45*11</f>
        <v>14960</v>
      </c>
      <c r="Q45" s="695"/>
      <c r="R45" s="691"/>
      <c r="S45" s="813"/>
      <c r="T45" s="800">
        <f t="shared" si="3"/>
        <v>14960</v>
      </c>
    </row>
    <row r="46" spans="1:20" ht="15.6" customHeight="1" x14ac:dyDescent="0.25">
      <c r="A46" s="711"/>
      <c r="B46" s="464"/>
      <c r="C46" s="422"/>
      <c r="D46" s="423"/>
      <c r="E46" s="691"/>
      <c r="F46" s="796" t="s">
        <v>778</v>
      </c>
      <c r="G46" s="697"/>
      <c r="H46" s="695">
        <f t="shared" si="2"/>
        <v>0</v>
      </c>
      <c r="I46" s="1655" t="s">
        <v>787</v>
      </c>
      <c r="J46" s="1656"/>
      <c r="K46" s="695">
        <v>5</v>
      </c>
      <c r="L46" s="695"/>
      <c r="M46" s="812">
        <v>100</v>
      </c>
      <c r="N46" s="695"/>
      <c r="O46" s="695">
        <v>1400</v>
      </c>
      <c r="P46" s="695">
        <f>O46*4</f>
        <v>5600</v>
      </c>
      <c r="Q46" s="695"/>
      <c r="R46" s="691"/>
      <c r="S46" s="813"/>
      <c r="T46" s="800">
        <f t="shared" si="3"/>
        <v>5600</v>
      </c>
    </row>
    <row r="47" spans="1:20" ht="15.6" customHeight="1" x14ac:dyDescent="0.25">
      <c r="A47" s="711"/>
      <c r="B47" s="464"/>
      <c r="C47" s="422"/>
      <c r="D47" s="423"/>
      <c r="E47" s="691"/>
      <c r="F47" s="796" t="s">
        <v>539</v>
      </c>
      <c r="G47" s="697"/>
      <c r="H47" s="695">
        <f t="shared" si="2"/>
        <v>1</v>
      </c>
      <c r="I47" s="695"/>
      <c r="J47" s="695">
        <v>1</v>
      </c>
      <c r="K47" s="695">
        <v>4.2</v>
      </c>
      <c r="L47" s="695">
        <f>4-0.42</f>
        <v>3.58</v>
      </c>
      <c r="M47" s="812">
        <v>10</v>
      </c>
      <c r="N47" s="695">
        <f>J47*K47*0.1</f>
        <v>0.42000000000000004</v>
      </c>
      <c r="O47" s="695">
        <v>16310</v>
      </c>
      <c r="P47" s="695">
        <f>J47*0.1*O47</f>
        <v>1631</v>
      </c>
      <c r="Q47" s="695"/>
      <c r="R47" s="691"/>
      <c r="S47" s="706"/>
      <c r="T47" s="800">
        <f t="shared" si="3"/>
        <v>1631</v>
      </c>
    </row>
    <row r="48" spans="1:20" ht="15.6" customHeight="1" x14ac:dyDescent="0.25">
      <c r="A48" s="711"/>
      <c r="B48" s="464"/>
      <c r="C48" s="422"/>
      <c r="D48" s="423"/>
      <c r="E48" s="691"/>
      <c r="F48" s="796" t="s">
        <v>539</v>
      </c>
      <c r="G48" s="697"/>
      <c r="H48" s="695">
        <f t="shared" si="2"/>
        <v>10</v>
      </c>
      <c r="I48" s="695">
        <v>0</v>
      </c>
      <c r="J48" s="695">
        <v>10</v>
      </c>
      <c r="K48" s="695">
        <v>4.2</v>
      </c>
      <c r="L48" s="695">
        <v>3.78</v>
      </c>
      <c r="M48" s="812">
        <v>10</v>
      </c>
      <c r="N48" s="695">
        <f>J48*K48*0.1</f>
        <v>4.2</v>
      </c>
      <c r="O48" s="695">
        <v>16310</v>
      </c>
      <c r="P48" s="695">
        <f>J48*0.1*O48</f>
        <v>16310</v>
      </c>
      <c r="Q48" s="695"/>
      <c r="R48" s="691"/>
      <c r="S48" s="813"/>
      <c r="T48" s="800">
        <f t="shared" si="3"/>
        <v>16310</v>
      </c>
    </row>
    <row r="49" spans="1:20" ht="15.6" customHeight="1" x14ac:dyDescent="0.25">
      <c r="A49" s="711"/>
      <c r="B49" s="464" t="s">
        <v>592</v>
      </c>
      <c r="C49" s="422"/>
      <c r="D49" s="423"/>
      <c r="E49" s="691"/>
      <c r="F49" s="796" t="s">
        <v>780</v>
      </c>
      <c r="G49" s="697"/>
      <c r="H49" s="695">
        <f t="shared" si="2"/>
        <v>0</v>
      </c>
      <c r="I49" s="1655" t="s">
        <v>788</v>
      </c>
      <c r="J49" s="1656"/>
      <c r="K49" s="695">
        <v>4.2</v>
      </c>
      <c r="L49" s="695">
        <v>0</v>
      </c>
      <c r="M49" s="812">
        <v>100</v>
      </c>
      <c r="N49" s="695">
        <v>0</v>
      </c>
      <c r="O49" s="695">
        <v>1360</v>
      </c>
      <c r="P49" s="695">
        <f>O49*34</f>
        <v>46240</v>
      </c>
      <c r="Q49" s="695"/>
      <c r="R49" s="691"/>
      <c r="S49" s="813"/>
      <c r="T49" s="800">
        <f t="shared" si="3"/>
        <v>46240</v>
      </c>
    </row>
    <row r="50" spans="1:20" s="515" customFormat="1" ht="15.6" customHeight="1" x14ac:dyDescent="0.25">
      <c r="A50" s="1069"/>
      <c r="B50" s="464" t="s">
        <v>596</v>
      </c>
      <c r="C50" s="751"/>
      <c r="D50" s="1070">
        <f>SUM(D51:D52)</f>
        <v>0</v>
      </c>
      <c r="E50" s="1070">
        <f t="shared" ref="E50:T50" si="8">SUM(E51:E52)</f>
        <v>0</v>
      </c>
      <c r="F50" s="1070">
        <f t="shared" si="8"/>
        <v>0</v>
      </c>
      <c r="G50" s="1070">
        <f t="shared" si="8"/>
        <v>0</v>
      </c>
      <c r="H50" s="1070">
        <f t="shared" si="8"/>
        <v>0</v>
      </c>
      <c r="I50" s="1070">
        <f t="shared" si="8"/>
        <v>0</v>
      </c>
      <c r="J50" s="1070">
        <f t="shared" si="8"/>
        <v>0</v>
      </c>
      <c r="K50" s="1070">
        <f t="shared" si="8"/>
        <v>9</v>
      </c>
      <c r="L50" s="1070">
        <f t="shared" si="8"/>
        <v>0</v>
      </c>
      <c r="M50" s="1070">
        <f t="shared" si="8"/>
        <v>200</v>
      </c>
      <c r="N50" s="1070">
        <f t="shared" si="8"/>
        <v>0</v>
      </c>
      <c r="O50" s="1070">
        <f t="shared" si="8"/>
        <v>2150</v>
      </c>
      <c r="P50" s="1070">
        <f t="shared" si="8"/>
        <v>192000</v>
      </c>
      <c r="Q50" s="1070">
        <f t="shared" si="8"/>
        <v>0</v>
      </c>
      <c r="R50" s="1070">
        <f t="shared" si="8"/>
        <v>0</v>
      </c>
      <c r="S50" s="1070">
        <f t="shared" si="8"/>
        <v>0</v>
      </c>
      <c r="T50" s="1070">
        <f t="shared" si="8"/>
        <v>192000</v>
      </c>
    </row>
    <row r="51" spans="1:20" ht="15.6" customHeight="1" x14ac:dyDescent="0.25">
      <c r="A51" s="711"/>
      <c r="C51" s="422"/>
      <c r="D51" s="423"/>
      <c r="E51" s="691"/>
      <c r="F51" s="796" t="s">
        <v>778</v>
      </c>
      <c r="G51" s="697"/>
      <c r="H51" s="695">
        <f t="shared" si="2"/>
        <v>0</v>
      </c>
      <c r="I51" s="1655" t="s">
        <v>789</v>
      </c>
      <c r="J51" s="1656"/>
      <c r="K51" s="695">
        <v>5</v>
      </c>
      <c r="L51" s="695">
        <v>0</v>
      </c>
      <c r="M51" s="812">
        <v>100</v>
      </c>
      <c r="N51" s="695">
        <v>0</v>
      </c>
      <c r="O51" s="695">
        <v>1400</v>
      </c>
      <c r="P51" s="695">
        <f>O51*105</f>
        <v>147000</v>
      </c>
      <c r="Q51" s="695"/>
      <c r="R51" s="691"/>
      <c r="S51" s="813"/>
      <c r="T51" s="800">
        <f t="shared" si="3"/>
        <v>147000</v>
      </c>
    </row>
    <row r="52" spans="1:20" ht="15.6" customHeight="1" x14ac:dyDescent="0.25">
      <c r="A52" s="711"/>
      <c r="B52" s="814"/>
      <c r="C52" s="422"/>
      <c r="D52" s="423"/>
      <c r="E52" s="691"/>
      <c r="F52" s="796" t="s">
        <v>790</v>
      </c>
      <c r="G52" s="697"/>
      <c r="H52" s="695">
        <f t="shared" si="2"/>
        <v>0</v>
      </c>
      <c r="I52" s="1655" t="s">
        <v>791</v>
      </c>
      <c r="J52" s="1656"/>
      <c r="K52" s="695">
        <v>4</v>
      </c>
      <c r="L52" s="695">
        <v>0</v>
      </c>
      <c r="M52" s="812">
        <v>100</v>
      </c>
      <c r="N52" s="695">
        <v>0</v>
      </c>
      <c r="O52" s="695">
        <v>750</v>
      </c>
      <c r="P52" s="695">
        <f>O52*60</f>
        <v>45000</v>
      </c>
      <c r="Q52" s="695"/>
      <c r="R52" s="691"/>
      <c r="S52" s="813"/>
      <c r="T52" s="800">
        <f t="shared" si="3"/>
        <v>45000</v>
      </c>
    </row>
    <row r="53" spans="1:20" s="515" customFormat="1" ht="15.6" customHeight="1" x14ac:dyDescent="0.25">
      <c r="A53" s="1069"/>
      <c r="B53" s="814" t="s">
        <v>597</v>
      </c>
      <c r="C53" s="751"/>
      <c r="D53" s="1070">
        <f>SUM(D54:D57)</f>
        <v>0</v>
      </c>
      <c r="E53" s="1070">
        <f t="shared" ref="E53:T53" si="9">SUM(E54:E57)</f>
        <v>0</v>
      </c>
      <c r="F53" s="1070">
        <f t="shared" si="9"/>
        <v>0</v>
      </c>
      <c r="G53" s="1070">
        <f t="shared" si="9"/>
        <v>0</v>
      </c>
      <c r="H53" s="1070">
        <f t="shared" si="9"/>
        <v>163.5</v>
      </c>
      <c r="I53" s="1070">
        <f t="shared" si="9"/>
        <v>11</v>
      </c>
      <c r="J53" s="1070">
        <f t="shared" si="9"/>
        <v>152.5</v>
      </c>
      <c r="K53" s="1070">
        <f t="shared" si="9"/>
        <v>17.599999999999998</v>
      </c>
      <c r="L53" s="1070">
        <f t="shared" si="9"/>
        <v>3.1500000000000004</v>
      </c>
      <c r="M53" s="1070">
        <f t="shared" si="9"/>
        <v>325</v>
      </c>
      <c r="N53" s="1070">
        <f t="shared" si="9"/>
        <v>206.32499999999999</v>
      </c>
      <c r="O53" s="1070">
        <f t="shared" si="9"/>
        <v>35380</v>
      </c>
      <c r="P53" s="1070">
        <f t="shared" si="9"/>
        <v>1665708.75</v>
      </c>
      <c r="Q53" s="1070">
        <f t="shared" si="9"/>
        <v>0</v>
      </c>
      <c r="R53" s="1070">
        <f t="shared" si="9"/>
        <v>0</v>
      </c>
      <c r="S53" s="1070">
        <f t="shared" si="9"/>
        <v>0</v>
      </c>
      <c r="T53" s="1070">
        <f t="shared" si="9"/>
        <v>1665708.75</v>
      </c>
    </row>
    <row r="54" spans="1:20" ht="15.6" customHeight="1" x14ac:dyDescent="0.25">
      <c r="A54" s="711"/>
      <c r="C54" s="422"/>
      <c r="D54" s="423"/>
      <c r="E54" s="691"/>
      <c r="F54" s="796" t="s">
        <v>778</v>
      </c>
      <c r="G54" s="697"/>
      <c r="H54" s="695">
        <f t="shared" si="2"/>
        <v>0</v>
      </c>
      <c r="I54" s="1655" t="s">
        <v>792</v>
      </c>
      <c r="J54" s="1656"/>
      <c r="K54" s="695">
        <v>5</v>
      </c>
      <c r="L54" s="695"/>
      <c r="M54" s="812">
        <v>100</v>
      </c>
      <c r="N54" s="695"/>
      <c r="O54" s="695">
        <v>1400</v>
      </c>
      <c r="P54" s="695">
        <f>O54*158</f>
        <v>221200</v>
      </c>
      <c r="Q54" s="695"/>
      <c r="R54" s="691"/>
      <c r="S54" s="813"/>
      <c r="T54" s="800">
        <f t="shared" si="3"/>
        <v>221200</v>
      </c>
    </row>
    <row r="55" spans="1:20" ht="15.6" customHeight="1" x14ac:dyDescent="0.25">
      <c r="A55" s="711"/>
      <c r="B55" s="814"/>
      <c r="C55" s="422"/>
      <c r="D55" s="423"/>
      <c r="E55" s="691"/>
      <c r="F55" s="796" t="s">
        <v>780</v>
      </c>
      <c r="G55" s="697"/>
      <c r="H55" s="695">
        <f t="shared" si="2"/>
        <v>0</v>
      </c>
      <c r="I55" s="1655" t="s">
        <v>793</v>
      </c>
      <c r="J55" s="1656"/>
      <c r="K55" s="695">
        <v>4.2</v>
      </c>
      <c r="L55" s="695"/>
      <c r="M55" s="812">
        <v>100</v>
      </c>
      <c r="N55" s="695"/>
      <c r="O55" s="695">
        <v>1360</v>
      </c>
      <c r="P55" s="695">
        <f>O55*473</f>
        <v>643280</v>
      </c>
      <c r="Q55" s="695"/>
      <c r="R55" s="691"/>
      <c r="S55" s="813"/>
      <c r="T55" s="800">
        <f t="shared" si="3"/>
        <v>643280</v>
      </c>
    </row>
    <row r="56" spans="1:20" ht="15.6" customHeight="1" x14ac:dyDescent="0.25">
      <c r="A56" s="711"/>
      <c r="B56" s="814"/>
      <c r="C56" s="422"/>
      <c r="D56" s="423"/>
      <c r="E56" s="691"/>
      <c r="F56" s="796" t="s">
        <v>539</v>
      </c>
      <c r="G56" s="697"/>
      <c r="H56" s="695">
        <f t="shared" si="2"/>
        <v>11</v>
      </c>
      <c r="I56" s="695">
        <v>11</v>
      </c>
      <c r="J56" s="695"/>
      <c r="K56" s="695">
        <v>4.2</v>
      </c>
      <c r="L56" s="695"/>
      <c r="M56" s="812">
        <v>100</v>
      </c>
      <c r="N56" s="695">
        <f>I56*K56</f>
        <v>46.2</v>
      </c>
      <c r="O56" s="695">
        <v>16310</v>
      </c>
      <c r="P56" s="695">
        <f>I56*O56</f>
        <v>179410</v>
      </c>
      <c r="Q56" s="695"/>
      <c r="R56" s="691"/>
      <c r="S56" s="813"/>
      <c r="T56" s="800">
        <f t="shared" si="3"/>
        <v>179410</v>
      </c>
    </row>
    <row r="57" spans="1:20" ht="15.6" customHeight="1" x14ac:dyDescent="0.25">
      <c r="A57" s="711"/>
      <c r="B57" s="814"/>
      <c r="C57" s="422"/>
      <c r="D57" s="423"/>
      <c r="E57" s="691"/>
      <c r="F57" s="796" t="s">
        <v>539</v>
      </c>
      <c r="G57" s="697"/>
      <c r="H57" s="695">
        <f t="shared" si="2"/>
        <v>152.5</v>
      </c>
      <c r="I57" s="695"/>
      <c r="J57" s="695">
        <v>152.5</v>
      </c>
      <c r="K57" s="695">
        <v>4.2</v>
      </c>
      <c r="L57" s="695">
        <f>4.2-1.05</f>
        <v>3.1500000000000004</v>
      </c>
      <c r="M57" s="812">
        <v>25</v>
      </c>
      <c r="N57" s="695">
        <f>J57*K57*0.25</f>
        <v>160.125</v>
      </c>
      <c r="O57" s="695">
        <v>16310</v>
      </c>
      <c r="P57" s="695">
        <f>J57*0.25*O57</f>
        <v>621818.75</v>
      </c>
      <c r="Q57" s="695"/>
      <c r="R57" s="691"/>
      <c r="S57" s="813"/>
      <c r="T57" s="800">
        <f t="shared" si="3"/>
        <v>621818.75</v>
      </c>
    </row>
    <row r="58" spans="1:20" ht="15.6" customHeight="1" x14ac:dyDescent="0.25">
      <c r="A58" s="711"/>
      <c r="B58" s="814"/>
      <c r="C58" s="422"/>
      <c r="D58" s="423"/>
      <c r="E58" s="691"/>
      <c r="F58" s="796"/>
      <c r="G58" s="697"/>
      <c r="H58" s="695"/>
      <c r="I58" s="695"/>
      <c r="J58" s="695"/>
      <c r="K58" s="695"/>
      <c r="L58" s="695"/>
      <c r="M58" s="812"/>
      <c r="N58" s="695"/>
      <c r="O58" s="695"/>
      <c r="P58" s="695"/>
      <c r="Q58" s="695"/>
      <c r="R58" s="691"/>
      <c r="S58" s="813"/>
      <c r="T58" s="800"/>
    </row>
    <row r="59" spans="1:20" ht="15.6" customHeight="1" x14ac:dyDescent="0.25">
      <c r="A59" s="711"/>
      <c r="B59" s="814"/>
      <c r="C59" s="422"/>
      <c r="D59" s="423"/>
      <c r="E59" s="691"/>
      <c r="F59" s="705"/>
      <c r="G59" s="422"/>
      <c r="H59" s="691">
        <f t="shared" si="2"/>
        <v>0</v>
      </c>
      <c r="I59" s="691"/>
      <c r="J59" s="691"/>
      <c r="K59" s="695"/>
      <c r="L59" s="695"/>
      <c r="M59" s="710"/>
      <c r="N59" s="691"/>
      <c r="O59" s="691"/>
      <c r="P59" s="691"/>
      <c r="Q59" s="691"/>
      <c r="R59" s="691"/>
      <c r="S59" s="813"/>
      <c r="T59" s="800">
        <f t="shared" si="3"/>
        <v>0</v>
      </c>
    </row>
    <row r="60" spans="1:20" s="793" customFormat="1" ht="15.6" customHeight="1" x14ac:dyDescent="0.25">
      <c r="A60" s="787"/>
      <c r="B60" s="815" t="s">
        <v>622</v>
      </c>
      <c r="C60" s="789"/>
      <c r="D60" s="790"/>
      <c r="E60" s="816"/>
      <c r="F60" s="817"/>
      <c r="G60" s="789"/>
      <c r="H60" s="816">
        <f>SUM(H61:H75)</f>
        <v>107.5</v>
      </c>
      <c r="I60" s="816">
        <f>SUM(I61:I75)</f>
        <v>40.5</v>
      </c>
      <c r="J60" s="816">
        <f>SUM(J61:J75)</f>
        <v>67</v>
      </c>
      <c r="K60" s="816"/>
      <c r="L60" s="816"/>
      <c r="M60" s="818"/>
      <c r="N60" s="816"/>
      <c r="O60" s="816"/>
      <c r="P60" s="816">
        <f>SUM(P61:P75)</f>
        <v>1810392</v>
      </c>
      <c r="Q60" s="816"/>
      <c r="R60" s="816"/>
      <c r="S60" s="791"/>
      <c r="T60" s="792">
        <f>SUM(T61:T75)</f>
        <v>1810392</v>
      </c>
    </row>
    <row r="61" spans="1:20" s="515" customFormat="1" ht="15.6" customHeight="1" x14ac:dyDescent="0.25">
      <c r="A61" s="1069"/>
      <c r="B61" s="814" t="s">
        <v>599</v>
      </c>
      <c r="C61" s="751"/>
      <c r="D61" s="1070">
        <f>SUM(D62:D63)</f>
        <v>0</v>
      </c>
      <c r="E61" s="1070">
        <f t="shared" ref="E61:T61" si="10">SUM(E62:E63)</f>
        <v>0</v>
      </c>
      <c r="F61" s="1070">
        <f t="shared" si="10"/>
        <v>0</v>
      </c>
      <c r="G61" s="1070">
        <f t="shared" si="10"/>
        <v>0</v>
      </c>
      <c r="H61" s="1070">
        <f t="shared" si="10"/>
        <v>23.5</v>
      </c>
      <c r="I61" s="1070">
        <f t="shared" si="10"/>
        <v>0</v>
      </c>
      <c r="J61" s="1070">
        <f t="shared" si="10"/>
        <v>23.5</v>
      </c>
      <c r="K61" s="1070">
        <f t="shared" si="10"/>
        <v>8.4</v>
      </c>
      <c r="L61" s="1070">
        <f t="shared" si="10"/>
        <v>3.78</v>
      </c>
      <c r="M61" s="1070">
        <f t="shared" si="10"/>
        <v>110</v>
      </c>
      <c r="N61" s="1070">
        <f t="shared" si="10"/>
        <v>9.870000000000001</v>
      </c>
      <c r="O61" s="1070">
        <f t="shared" si="10"/>
        <v>17670</v>
      </c>
      <c r="P61" s="1070">
        <f t="shared" si="10"/>
        <v>64168.5</v>
      </c>
      <c r="Q61" s="1070">
        <f t="shared" si="10"/>
        <v>0</v>
      </c>
      <c r="R61" s="1070">
        <f t="shared" si="10"/>
        <v>0</v>
      </c>
      <c r="S61" s="1070">
        <f t="shared" si="10"/>
        <v>0</v>
      </c>
      <c r="T61" s="1070">
        <f t="shared" si="10"/>
        <v>64168.5</v>
      </c>
    </row>
    <row r="62" spans="1:20" ht="15.6" customHeight="1" x14ac:dyDescent="0.25">
      <c r="A62" s="711"/>
      <c r="C62" s="422"/>
      <c r="D62" s="423"/>
      <c r="E62" s="691"/>
      <c r="F62" s="796" t="s">
        <v>780</v>
      </c>
      <c r="G62" s="697"/>
      <c r="H62" s="695">
        <f>SUM(I62:J62)</f>
        <v>0</v>
      </c>
      <c r="I62" s="1655" t="s">
        <v>794</v>
      </c>
      <c r="J62" s="1656"/>
      <c r="K62" s="695">
        <v>4.2</v>
      </c>
      <c r="L62" s="695">
        <v>0</v>
      </c>
      <c r="M62" s="812">
        <v>100</v>
      </c>
      <c r="N62" s="695">
        <v>0</v>
      </c>
      <c r="O62" s="695">
        <v>1360</v>
      </c>
      <c r="P62" s="695">
        <f>O62*19</f>
        <v>25840</v>
      </c>
      <c r="Q62" s="695"/>
      <c r="R62" s="691"/>
      <c r="S62" s="813"/>
      <c r="T62" s="800">
        <f t="shared" si="3"/>
        <v>25840</v>
      </c>
    </row>
    <row r="63" spans="1:20" ht="15.6" customHeight="1" x14ac:dyDescent="0.25">
      <c r="A63" s="711"/>
      <c r="B63" s="814"/>
      <c r="C63" s="422"/>
      <c r="D63" s="423"/>
      <c r="E63" s="691"/>
      <c r="F63" s="796" t="s">
        <v>539</v>
      </c>
      <c r="G63" s="697"/>
      <c r="H63" s="695">
        <f>SUM(I63:J63)</f>
        <v>23.5</v>
      </c>
      <c r="I63" s="695">
        <v>0</v>
      </c>
      <c r="J63" s="695">
        <v>23.5</v>
      </c>
      <c r="K63" s="695">
        <v>4.2</v>
      </c>
      <c r="L63" s="695">
        <v>3.78</v>
      </c>
      <c r="M63" s="812">
        <v>10</v>
      </c>
      <c r="N63" s="695">
        <f>J63*K63*0.1</f>
        <v>9.870000000000001</v>
      </c>
      <c r="O63" s="695">
        <v>16310</v>
      </c>
      <c r="P63" s="695">
        <f>J63*0.1*O63</f>
        <v>38328.5</v>
      </c>
      <c r="Q63" s="695"/>
      <c r="R63" s="691"/>
      <c r="S63" s="813"/>
      <c r="T63" s="800">
        <f>S63+P63</f>
        <v>38328.5</v>
      </c>
    </row>
    <row r="64" spans="1:20" ht="15.6" hidden="1" customHeight="1" x14ac:dyDescent="0.25">
      <c r="A64" s="711"/>
      <c r="B64" s="814"/>
      <c r="C64" s="422"/>
      <c r="D64" s="423"/>
      <c r="E64" s="691"/>
      <c r="F64" s="796"/>
      <c r="G64" s="697"/>
      <c r="H64" s="695">
        <f t="shared" ref="H64:H74" si="11">SUM(I64:J64)</f>
        <v>0</v>
      </c>
      <c r="I64" s="695"/>
      <c r="J64" s="695">
        <v>0</v>
      </c>
      <c r="K64" s="695"/>
      <c r="L64" s="695"/>
      <c r="M64" s="812"/>
      <c r="N64" s="695"/>
      <c r="O64" s="695"/>
      <c r="P64" s="695"/>
      <c r="Q64" s="695">
        <f>I64*K64</f>
        <v>0</v>
      </c>
      <c r="R64" s="691"/>
      <c r="S64" s="813"/>
      <c r="T64" s="800">
        <f t="shared" si="3"/>
        <v>0</v>
      </c>
    </row>
    <row r="65" spans="1:20" s="515" customFormat="1" ht="15.6" customHeight="1" x14ac:dyDescent="0.25">
      <c r="A65" s="1069"/>
      <c r="B65" s="814" t="s">
        <v>602</v>
      </c>
      <c r="C65" s="751"/>
      <c r="D65" s="1070">
        <f>SUM(D66:D69)</f>
        <v>0</v>
      </c>
      <c r="E65" s="1070">
        <f t="shared" ref="E65:T65" si="12">SUM(E66:E69)</f>
        <v>0</v>
      </c>
      <c r="F65" s="1070">
        <f t="shared" si="12"/>
        <v>0</v>
      </c>
      <c r="G65" s="1070">
        <f t="shared" si="12"/>
        <v>0</v>
      </c>
      <c r="H65" s="1070">
        <f t="shared" si="12"/>
        <v>10.25</v>
      </c>
      <c r="I65" s="1070">
        <f t="shared" si="12"/>
        <v>0.25</v>
      </c>
      <c r="J65" s="1070">
        <f t="shared" si="12"/>
        <v>10</v>
      </c>
      <c r="K65" s="1070">
        <f t="shared" si="12"/>
        <v>18.399999999999999</v>
      </c>
      <c r="L65" s="1070">
        <f t="shared" si="12"/>
        <v>3.8600000000000003</v>
      </c>
      <c r="M65" s="1070">
        <f t="shared" si="12"/>
        <v>310</v>
      </c>
      <c r="N65" s="1070">
        <f t="shared" si="12"/>
        <v>5.45</v>
      </c>
      <c r="O65" s="1070">
        <f t="shared" si="12"/>
        <v>35380</v>
      </c>
      <c r="P65" s="1070">
        <f t="shared" si="12"/>
        <v>32827.5</v>
      </c>
      <c r="Q65" s="1070">
        <f t="shared" si="12"/>
        <v>0</v>
      </c>
      <c r="R65" s="1070">
        <f t="shared" si="12"/>
        <v>0</v>
      </c>
      <c r="S65" s="1070">
        <f t="shared" si="12"/>
        <v>0</v>
      </c>
      <c r="T65" s="1070">
        <f t="shared" si="12"/>
        <v>32827.5</v>
      </c>
    </row>
    <row r="66" spans="1:20" ht="15.6" customHeight="1" x14ac:dyDescent="0.25">
      <c r="A66" s="711"/>
      <c r="C66" s="422"/>
      <c r="D66" s="423"/>
      <c r="E66" s="691"/>
      <c r="F66" s="796" t="s">
        <v>778</v>
      </c>
      <c r="G66" s="697"/>
      <c r="H66" s="695">
        <f t="shared" si="11"/>
        <v>0</v>
      </c>
      <c r="I66" s="1655" t="s">
        <v>795</v>
      </c>
      <c r="J66" s="1656"/>
      <c r="K66" s="695">
        <v>5</v>
      </c>
      <c r="L66" s="695">
        <v>0</v>
      </c>
      <c r="M66" s="812">
        <v>100</v>
      </c>
      <c r="N66" s="695">
        <v>0</v>
      </c>
      <c r="O66" s="695">
        <v>1400</v>
      </c>
      <c r="P66" s="695">
        <f>O66*5</f>
        <v>7000</v>
      </c>
      <c r="Q66" s="695"/>
      <c r="R66" s="691"/>
      <c r="S66" s="813"/>
      <c r="T66" s="800">
        <f t="shared" si="3"/>
        <v>7000</v>
      </c>
    </row>
    <row r="67" spans="1:20" ht="15.6" customHeight="1" x14ac:dyDescent="0.25">
      <c r="A67" s="711"/>
      <c r="B67" s="814"/>
      <c r="C67" s="422"/>
      <c r="D67" s="423"/>
      <c r="E67" s="691"/>
      <c r="F67" s="796" t="s">
        <v>780</v>
      </c>
      <c r="G67" s="697"/>
      <c r="H67" s="695">
        <f t="shared" si="11"/>
        <v>0</v>
      </c>
      <c r="I67" s="1655" t="s">
        <v>796</v>
      </c>
      <c r="J67" s="1656"/>
      <c r="K67" s="695">
        <v>4.2</v>
      </c>
      <c r="L67" s="695">
        <v>0</v>
      </c>
      <c r="M67" s="812">
        <v>100</v>
      </c>
      <c r="N67" s="695">
        <v>0</v>
      </c>
      <c r="O67" s="695">
        <v>1360</v>
      </c>
      <c r="P67" s="695">
        <f>O67*4</f>
        <v>5440</v>
      </c>
      <c r="Q67" s="695"/>
      <c r="R67" s="691"/>
      <c r="S67" s="813"/>
      <c r="T67" s="800">
        <f t="shared" si="3"/>
        <v>5440</v>
      </c>
    </row>
    <row r="68" spans="1:20" ht="15.6" customHeight="1" x14ac:dyDescent="0.25">
      <c r="A68" s="711"/>
      <c r="B68" s="814"/>
      <c r="C68" s="422"/>
      <c r="D68" s="423"/>
      <c r="E68" s="691"/>
      <c r="F68" s="796" t="s">
        <v>539</v>
      </c>
      <c r="G68" s="697"/>
      <c r="H68" s="695">
        <f t="shared" si="11"/>
        <v>0.25</v>
      </c>
      <c r="I68" s="695">
        <v>0.25</v>
      </c>
      <c r="J68" s="695">
        <v>0</v>
      </c>
      <c r="K68" s="695">
        <v>5</v>
      </c>
      <c r="L68" s="695">
        <v>0</v>
      </c>
      <c r="M68" s="812">
        <v>100</v>
      </c>
      <c r="N68" s="695">
        <f>I68*K68</f>
        <v>1.25</v>
      </c>
      <c r="O68" s="695">
        <v>16310</v>
      </c>
      <c r="P68" s="695">
        <f>I68*O68</f>
        <v>4077.5</v>
      </c>
      <c r="Q68" s="695"/>
      <c r="R68" s="691"/>
      <c r="S68" s="813"/>
      <c r="T68" s="800">
        <f t="shared" si="3"/>
        <v>4077.5</v>
      </c>
    </row>
    <row r="69" spans="1:20" ht="15.6" customHeight="1" x14ac:dyDescent="0.25">
      <c r="A69" s="711"/>
      <c r="B69" s="814"/>
      <c r="C69" s="422"/>
      <c r="D69" s="423"/>
      <c r="E69" s="691"/>
      <c r="F69" s="796" t="s">
        <v>539</v>
      </c>
      <c r="G69" s="697"/>
      <c r="H69" s="695">
        <f t="shared" si="11"/>
        <v>10</v>
      </c>
      <c r="I69" s="695">
        <v>0</v>
      </c>
      <c r="J69" s="695">
        <v>10</v>
      </c>
      <c r="K69" s="695">
        <v>4.2</v>
      </c>
      <c r="L69" s="695">
        <f>K69-0.34</f>
        <v>3.8600000000000003</v>
      </c>
      <c r="M69" s="812">
        <v>10</v>
      </c>
      <c r="N69" s="695">
        <f>J69*K69*0.1</f>
        <v>4.2</v>
      </c>
      <c r="O69" s="695">
        <v>16310</v>
      </c>
      <c r="P69" s="695">
        <f>J69*0.1*O69</f>
        <v>16310</v>
      </c>
      <c r="Q69" s="695"/>
      <c r="R69" s="691"/>
      <c r="S69" s="813"/>
      <c r="T69" s="800">
        <f t="shared" si="3"/>
        <v>16310</v>
      </c>
    </row>
    <row r="70" spans="1:20" s="515" customFormat="1" ht="15.6" customHeight="1" x14ac:dyDescent="0.25">
      <c r="A70" s="1069"/>
      <c r="B70" s="814" t="s">
        <v>603</v>
      </c>
      <c r="C70" s="751"/>
      <c r="D70" s="1070">
        <f>SUM(D71:D75)</f>
        <v>0</v>
      </c>
      <c r="E70" s="1070">
        <f t="shared" ref="E70:T70" si="13">SUM(E71:E75)</f>
        <v>0</v>
      </c>
      <c r="F70" s="1070">
        <f t="shared" si="13"/>
        <v>0</v>
      </c>
      <c r="G70" s="1070">
        <f t="shared" si="13"/>
        <v>0</v>
      </c>
      <c r="H70" s="1070">
        <f t="shared" si="13"/>
        <v>20</v>
      </c>
      <c r="I70" s="1070">
        <f t="shared" si="13"/>
        <v>20</v>
      </c>
      <c r="J70" s="1070">
        <f t="shared" si="13"/>
        <v>0</v>
      </c>
      <c r="K70" s="1070">
        <f t="shared" si="13"/>
        <v>13.399999999999999</v>
      </c>
      <c r="L70" s="1070">
        <f t="shared" si="13"/>
        <v>0</v>
      </c>
      <c r="M70" s="1070">
        <f t="shared" si="13"/>
        <v>300</v>
      </c>
      <c r="N70" s="1070">
        <f t="shared" si="13"/>
        <v>84</v>
      </c>
      <c r="O70" s="1070">
        <f t="shared" si="13"/>
        <v>19070</v>
      </c>
      <c r="P70" s="1070">
        <f t="shared" si="13"/>
        <v>808200</v>
      </c>
      <c r="Q70" s="1070">
        <f t="shared" si="13"/>
        <v>0</v>
      </c>
      <c r="R70" s="1070">
        <f t="shared" si="13"/>
        <v>0</v>
      </c>
      <c r="S70" s="1070">
        <f t="shared" si="13"/>
        <v>0</v>
      </c>
      <c r="T70" s="1070">
        <f t="shared" si="13"/>
        <v>808200</v>
      </c>
    </row>
    <row r="71" spans="1:20" ht="15.6" customHeight="1" x14ac:dyDescent="0.25">
      <c r="A71" s="711"/>
      <c r="C71" s="422"/>
      <c r="D71" s="423"/>
      <c r="E71" s="691"/>
      <c r="F71" s="796" t="s">
        <v>778</v>
      </c>
      <c r="G71" s="697"/>
      <c r="H71" s="695">
        <f t="shared" si="11"/>
        <v>0</v>
      </c>
      <c r="I71" s="1655" t="s">
        <v>797</v>
      </c>
      <c r="J71" s="1656"/>
      <c r="K71" s="695">
        <v>5</v>
      </c>
      <c r="L71" s="695">
        <v>0</v>
      </c>
      <c r="M71" s="812">
        <v>100</v>
      </c>
      <c r="N71" s="695">
        <v>0</v>
      </c>
      <c r="O71" s="695">
        <v>1400</v>
      </c>
      <c r="P71" s="695">
        <f>O71*150</f>
        <v>210000</v>
      </c>
      <c r="Q71" s="695"/>
      <c r="R71" s="691"/>
      <c r="S71" s="813"/>
      <c r="T71" s="800">
        <f t="shared" si="3"/>
        <v>210000</v>
      </c>
    </row>
    <row r="72" spans="1:20" ht="15.6" customHeight="1" x14ac:dyDescent="0.25">
      <c r="A72" s="711"/>
      <c r="B72" s="814"/>
      <c r="C72" s="422"/>
      <c r="D72" s="423"/>
      <c r="E72" s="691"/>
      <c r="F72" s="796" t="s">
        <v>780</v>
      </c>
      <c r="G72" s="697"/>
      <c r="H72" s="695">
        <f t="shared" si="11"/>
        <v>0</v>
      </c>
      <c r="I72" s="1655" t="s">
        <v>798</v>
      </c>
      <c r="J72" s="1656"/>
      <c r="K72" s="695">
        <v>4.2</v>
      </c>
      <c r="L72" s="695">
        <v>0</v>
      </c>
      <c r="M72" s="812">
        <v>100</v>
      </c>
      <c r="N72" s="695">
        <v>0</v>
      </c>
      <c r="O72" s="695">
        <v>1360</v>
      </c>
      <c r="P72" s="695">
        <f>O72*200</f>
        <v>272000</v>
      </c>
      <c r="Q72" s="695"/>
      <c r="R72" s="691"/>
      <c r="S72" s="813"/>
      <c r="T72" s="800">
        <f t="shared" si="3"/>
        <v>272000</v>
      </c>
    </row>
    <row r="73" spans="1:20" ht="15.6" hidden="1" customHeight="1" x14ac:dyDescent="0.25">
      <c r="A73" s="711"/>
      <c r="B73" s="814"/>
      <c r="C73" s="422"/>
      <c r="D73" s="423"/>
      <c r="E73" s="691"/>
      <c r="F73" s="705"/>
      <c r="G73" s="422"/>
      <c r="H73" s="695">
        <f t="shared" si="11"/>
        <v>0</v>
      </c>
      <c r="I73" s="691"/>
      <c r="J73" s="691"/>
      <c r="K73" s="695"/>
      <c r="L73" s="695"/>
      <c r="M73" s="710"/>
      <c r="N73" s="691"/>
      <c r="O73" s="691"/>
      <c r="P73" s="691"/>
      <c r="Q73" s="691"/>
      <c r="R73" s="691"/>
      <c r="S73" s="813"/>
      <c r="T73" s="800">
        <f t="shared" si="3"/>
        <v>0</v>
      </c>
    </row>
    <row r="74" spans="1:20" ht="15.6" hidden="1" customHeight="1" x14ac:dyDescent="0.25">
      <c r="A74" s="711"/>
      <c r="B74" s="814"/>
      <c r="C74" s="422"/>
      <c r="D74" s="423"/>
      <c r="E74" s="691"/>
      <c r="F74" s="705"/>
      <c r="G74" s="422"/>
      <c r="H74" s="695">
        <f t="shared" si="11"/>
        <v>0</v>
      </c>
      <c r="I74" s="691"/>
      <c r="J74" s="691"/>
      <c r="K74" s="695"/>
      <c r="L74" s="695"/>
      <c r="M74" s="710"/>
      <c r="N74" s="691"/>
      <c r="O74" s="691"/>
      <c r="P74" s="691"/>
      <c r="Q74" s="691"/>
      <c r="R74" s="691"/>
      <c r="S74" s="813"/>
      <c r="T74" s="800">
        <f t="shared" si="3"/>
        <v>0</v>
      </c>
    </row>
    <row r="75" spans="1:20" ht="15.6" customHeight="1" x14ac:dyDescent="0.25">
      <c r="A75" s="711"/>
      <c r="B75" s="814"/>
      <c r="C75" s="422"/>
      <c r="D75" s="423"/>
      <c r="E75" s="691"/>
      <c r="F75" s="705" t="s">
        <v>539</v>
      </c>
      <c r="G75" s="422"/>
      <c r="H75" s="695">
        <f>SUM(I75:J75)</f>
        <v>20</v>
      </c>
      <c r="I75" s="691">
        <v>20</v>
      </c>
      <c r="J75" s="691"/>
      <c r="K75" s="695">
        <v>4.2</v>
      </c>
      <c r="L75" s="695"/>
      <c r="M75" s="710">
        <v>100</v>
      </c>
      <c r="N75" s="691">
        <f>I75*K75</f>
        <v>84</v>
      </c>
      <c r="O75" s="691">
        <v>16310</v>
      </c>
      <c r="P75" s="691">
        <f>I75*O75</f>
        <v>326200</v>
      </c>
      <c r="Q75" s="691"/>
      <c r="R75" s="691"/>
      <c r="S75" s="813"/>
      <c r="T75" s="800">
        <f t="shared" si="3"/>
        <v>326200</v>
      </c>
    </row>
    <row r="76" spans="1:20" s="793" customFormat="1" ht="15.6" customHeight="1" x14ac:dyDescent="0.25">
      <c r="A76" s="787"/>
      <c r="B76" s="815" t="s">
        <v>540</v>
      </c>
      <c r="C76" s="789"/>
      <c r="D76" s="790"/>
      <c r="E76" s="816"/>
      <c r="F76" s="817"/>
      <c r="G76" s="789"/>
      <c r="H76" s="816">
        <f>SUM(H78:H83)</f>
        <v>64.75</v>
      </c>
      <c r="I76" s="816">
        <f>SUM(I78:I83)</f>
        <v>2.75</v>
      </c>
      <c r="J76" s="816">
        <f>SUM(J78:J83)</f>
        <v>62</v>
      </c>
      <c r="K76" s="816"/>
      <c r="L76" s="816"/>
      <c r="M76" s="816"/>
      <c r="N76" s="816"/>
      <c r="O76" s="816"/>
      <c r="P76" s="816">
        <f>SUM(P78:P83)</f>
        <v>880625</v>
      </c>
      <c r="Q76" s="816"/>
      <c r="R76" s="816"/>
      <c r="S76" s="819"/>
      <c r="T76" s="816">
        <f>SUM(T78:T83)</f>
        <v>880625</v>
      </c>
    </row>
    <row r="77" spans="1:20" s="515" customFormat="1" ht="15.6" customHeight="1" x14ac:dyDescent="0.25">
      <c r="A77" s="1074"/>
      <c r="B77" s="814" t="s">
        <v>543</v>
      </c>
      <c r="C77" s="1075"/>
      <c r="D77" s="1076">
        <f>SUM(D78:D79)</f>
        <v>9</v>
      </c>
      <c r="E77" s="1076">
        <f t="shared" ref="E77:T77" si="14">SUM(E78:E79)</f>
        <v>2.75</v>
      </c>
      <c r="F77" s="1076">
        <f t="shared" si="14"/>
        <v>0</v>
      </c>
      <c r="G77" s="1076">
        <f t="shared" si="14"/>
        <v>0</v>
      </c>
      <c r="H77" s="1076">
        <f t="shared" si="14"/>
        <v>6.75</v>
      </c>
      <c r="I77" s="1076">
        <f t="shared" si="14"/>
        <v>2.75</v>
      </c>
      <c r="J77" s="1076">
        <f t="shared" si="14"/>
        <v>4</v>
      </c>
      <c r="K77" s="1076">
        <f t="shared" si="14"/>
        <v>7.8</v>
      </c>
      <c r="L77" s="1076">
        <f t="shared" si="14"/>
        <v>3.66</v>
      </c>
      <c r="M77" s="1076">
        <f t="shared" si="14"/>
        <v>125</v>
      </c>
      <c r="N77" s="1076">
        <f t="shared" si="14"/>
        <v>0</v>
      </c>
      <c r="O77" s="1076">
        <f t="shared" si="14"/>
        <v>37300</v>
      </c>
      <c r="P77" s="1076">
        <f t="shared" si="14"/>
        <v>133825</v>
      </c>
      <c r="Q77" s="1076">
        <f t="shared" si="14"/>
        <v>0</v>
      </c>
      <c r="R77" s="1076">
        <f t="shared" si="14"/>
        <v>0</v>
      </c>
      <c r="S77" s="1076">
        <f t="shared" si="14"/>
        <v>0</v>
      </c>
      <c r="T77" s="1076">
        <f t="shared" si="14"/>
        <v>133825</v>
      </c>
    </row>
    <row r="78" spans="1:20" s="509" customFormat="1" ht="15.6" customHeight="1" x14ac:dyDescent="0.25">
      <c r="A78" s="820"/>
      <c r="C78" s="821"/>
      <c r="D78" s="822">
        <v>4</v>
      </c>
      <c r="E78" s="823">
        <v>2.75</v>
      </c>
      <c r="F78" s="824" t="s">
        <v>799</v>
      </c>
      <c r="G78" s="821"/>
      <c r="H78" s="695">
        <f>SUM(I78:J78)</f>
        <v>2.75</v>
      </c>
      <c r="I78" s="823">
        <v>2.75</v>
      </c>
      <c r="J78" s="823">
        <v>0</v>
      </c>
      <c r="K78" s="823">
        <v>3.8</v>
      </c>
      <c r="L78" s="695"/>
      <c r="M78" s="825">
        <v>100</v>
      </c>
      <c r="N78" s="823"/>
      <c r="O78" s="823">
        <v>12300</v>
      </c>
      <c r="P78" s="823">
        <f>O78*I78</f>
        <v>33825</v>
      </c>
      <c r="Q78" s="823"/>
      <c r="R78" s="823"/>
      <c r="S78" s="826"/>
      <c r="T78" s="800">
        <f t="shared" si="3"/>
        <v>33825</v>
      </c>
    </row>
    <row r="79" spans="1:20" s="509" customFormat="1" ht="15.6" customHeight="1" x14ac:dyDescent="0.25">
      <c r="A79" s="820"/>
      <c r="B79" s="814"/>
      <c r="C79" s="821"/>
      <c r="D79" s="822">
        <v>5</v>
      </c>
      <c r="E79" s="823"/>
      <c r="F79" s="824" t="s">
        <v>539</v>
      </c>
      <c r="G79" s="821"/>
      <c r="H79" s="695">
        <f>SUM(I79:J79)</f>
        <v>4</v>
      </c>
      <c r="I79" s="823">
        <v>0</v>
      </c>
      <c r="J79" s="823">
        <v>4</v>
      </c>
      <c r="K79" s="823">
        <v>4</v>
      </c>
      <c r="L79" s="695">
        <f>K79-0.34</f>
        <v>3.66</v>
      </c>
      <c r="M79" s="825">
        <v>25</v>
      </c>
      <c r="N79" s="823"/>
      <c r="O79" s="823">
        <v>25000</v>
      </c>
      <c r="P79" s="823">
        <f>O79*4</f>
        <v>100000</v>
      </c>
      <c r="Q79" s="823"/>
      <c r="R79" s="823"/>
      <c r="S79" s="826"/>
      <c r="T79" s="800">
        <f t="shared" si="3"/>
        <v>100000</v>
      </c>
    </row>
    <row r="80" spans="1:20" s="515" customFormat="1" ht="15.6" customHeight="1" x14ac:dyDescent="0.25">
      <c r="A80" s="1074"/>
      <c r="B80" s="814" t="s">
        <v>559</v>
      </c>
      <c r="C80" s="1075"/>
      <c r="D80" s="1076">
        <f>SUM(D81:D82)</f>
        <v>125</v>
      </c>
      <c r="E80" s="1076">
        <f t="shared" ref="E80:T80" si="15">SUM(E81:E82)</f>
        <v>0</v>
      </c>
      <c r="F80" s="1076">
        <f t="shared" si="15"/>
        <v>0</v>
      </c>
      <c r="G80" s="1076">
        <f t="shared" si="15"/>
        <v>0</v>
      </c>
      <c r="H80" s="1076">
        <f t="shared" si="15"/>
        <v>29</v>
      </c>
      <c r="I80" s="1076">
        <f t="shared" si="15"/>
        <v>0</v>
      </c>
      <c r="J80" s="1076">
        <f t="shared" si="15"/>
        <v>29</v>
      </c>
      <c r="K80" s="1076">
        <f t="shared" si="15"/>
        <v>8</v>
      </c>
      <c r="L80" s="1076">
        <f t="shared" si="15"/>
        <v>7.32</v>
      </c>
      <c r="M80" s="1076">
        <f t="shared" si="15"/>
        <v>45</v>
      </c>
      <c r="N80" s="1076">
        <f t="shared" si="15"/>
        <v>0</v>
      </c>
      <c r="O80" s="1076">
        <f t="shared" si="15"/>
        <v>25000</v>
      </c>
      <c r="P80" s="1076">
        <f t="shared" si="15"/>
        <v>365000</v>
      </c>
      <c r="Q80" s="1076">
        <f t="shared" si="15"/>
        <v>0</v>
      </c>
      <c r="R80" s="1076">
        <f t="shared" si="15"/>
        <v>0</v>
      </c>
      <c r="S80" s="1076">
        <f t="shared" si="15"/>
        <v>0</v>
      </c>
      <c r="T80" s="1076">
        <f t="shared" si="15"/>
        <v>365000</v>
      </c>
    </row>
    <row r="81" spans="1:20" s="509" customFormat="1" ht="15.6" customHeight="1" x14ac:dyDescent="0.25">
      <c r="A81" s="820"/>
      <c r="C81" s="821"/>
      <c r="D81" s="822">
        <v>24</v>
      </c>
      <c r="E81" s="823"/>
      <c r="F81" s="824" t="s">
        <v>799</v>
      </c>
      <c r="G81" s="821"/>
      <c r="H81" s="695">
        <f>SUM(I81:J81)</f>
        <v>5</v>
      </c>
      <c r="I81" s="823">
        <v>0</v>
      </c>
      <c r="J81" s="823">
        <v>5</v>
      </c>
      <c r="K81" s="823">
        <v>4</v>
      </c>
      <c r="L81" s="695">
        <f>K81-0.34</f>
        <v>3.66</v>
      </c>
      <c r="M81" s="825">
        <v>25</v>
      </c>
      <c r="N81" s="823"/>
      <c r="O81" s="823">
        <v>10000</v>
      </c>
      <c r="P81" s="695">
        <f>J81*0.1*O81</f>
        <v>5000</v>
      </c>
      <c r="Q81" s="823"/>
      <c r="R81" s="823"/>
      <c r="S81" s="826"/>
      <c r="T81" s="800">
        <f t="shared" si="3"/>
        <v>5000</v>
      </c>
    </row>
    <row r="82" spans="1:20" s="509" customFormat="1" ht="15.6" customHeight="1" x14ac:dyDescent="0.25">
      <c r="A82" s="820"/>
      <c r="B82" s="827"/>
      <c r="C82" s="821"/>
      <c r="D82" s="822">
        <v>101</v>
      </c>
      <c r="E82" s="823"/>
      <c r="F82" s="824" t="s">
        <v>539</v>
      </c>
      <c r="G82" s="821"/>
      <c r="H82" s="695">
        <f>SUM(I82:J82)</f>
        <v>24</v>
      </c>
      <c r="I82" s="823">
        <v>0</v>
      </c>
      <c r="J82" s="823">
        <v>24</v>
      </c>
      <c r="K82" s="823">
        <v>4</v>
      </c>
      <c r="L82" s="695">
        <f>K82-0.34</f>
        <v>3.66</v>
      </c>
      <c r="M82" s="825">
        <v>20</v>
      </c>
      <c r="N82" s="823"/>
      <c r="O82" s="823">
        <v>15000</v>
      </c>
      <c r="P82" s="823">
        <f>O82*J82</f>
        <v>360000</v>
      </c>
      <c r="Q82" s="823"/>
      <c r="R82" s="823"/>
      <c r="S82" s="826"/>
      <c r="T82" s="800">
        <f t="shared" si="3"/>
        <v>360000</v>
      </c>
    </row>
    <row r="83" spans="1:20" ht="16.5" customHeight="1" thickBot="1" x14ac:dyDescent="0.3">
      <c r="A83" s="828">
        <v>1</v>
      </c>
      <c r="B83" s="829" t="s">
        <v>576</v>
      </c>
      <c r="C83" s="830"/>
      <c r="D83" s="831">
        <v>2</v>
      </c>
      <c r="E83" s="831"/>
      <c r="F83" s="832" t="s">
        <v>778</v>
      </c>
      <c r="G83" s="833"/>
      <c r="H83" s="834">
        <f>SUM(I83:J83)</f>
        <v>0</v>
      </c>
      <c r="I83" s="1657" t="s">
        <v>800</v>
      </c>
      <c r="J83" s="1657"/>
      <c r="K83" s="695">
        <v>5</v>
      </c>
      <c r="L83" s="695"/>
      <c r="M83" s="812">
        <v>100</v>
      </c>
      <c r="N83" s="695">
        <v>0</v>
      </c>
      <c r="O83" s="695">
        <v>1400</v>
      </c>
      <c r="P83" s="695">
        <f>O83*12</f>
        <v>16800</v>
      </c>
      <c r="Q83" s="695"/>
      <c r="R83" s="400"/>
      <c r="S83" s="400"/>
      <c r="T83" s="419">
        <f t="shared" si="3"/>
        <v>16800</v>
      </c>
    </row>
    <row r="84" spans="1:20" ht="16.5" customHeight="1" x14ac:dyDescent="0.25">
      <c r="A84" s="835" t="s">
        <v>801</v>
      </c>
      <c r="B84" s="836" t="s">
        <v>680</v>
      </c>
      <c r="C84" s="837" t="s">
        <v>802</v>
      </c>
      <c r="D84" s="838"/>
      <c r="E84" s="839" t="s">
        <v>803</v>
      </c>
      <c r="F84" s="840"/>
      <c r="G84" s="839" t="s">
        <v>804</v>
      </c>
      <c r="H84" s="840"/>
      <c r="I84" s="839" t="s">
        <v>805</v>
      </c>
      <c r="J84" s="840"/>
      <c r="K84" s="839" t="s">
        <v>806</v>
      </c>
      <c r="L84" s="841"/>
      <c r="M84" s="842"/>
      <c r="N84" s="841"/>
      <c r="O84" s="841"/>
      <c r="P84" s="841"/>
      <c r="Q84" s="841"/>
      <c r="R84" s="403"/>
      <c r="S84" s="403"/>
      <c r="T84" s="495"/>
    </row>
    <row r="85" spans="1:20" ht="16.5" customHeight="1" x14ac:dyDescent="0.25">
      <c r="A85" s="843"/>
      <c r="B85" s="844" t="s">
        <v>807</v>
      </c>
      <c r="C85" s="839" t="s">
        <v>808</v>
      </c>
      <c r="D85" s="838"/>
      <c r="E85" s="839" t="s">
        <v>809</v>
      </c>
      <c r="F85" s="840"/>
      <c r="G85" s="839" t="s">
        <v>810</v>
      </c>
      <c r="H85" s="840"/>
      <c r="I85" s="839">
        <v>470</v>
      </c>
      <c r="J85" s="840"/>
      <c r="K85" s="845">
        <f>I85*1400</f>
        <v>658000</v>
      </c>
      <c r="L85" s="846"/>
      <c r="M85" s="847"/>
      <c r="N85" s="846"/>
      <c r="O85" s="846"/>
      <c r="P85" s="846"/>
      <c r="Q85" s="846"/>
      <c r="R85" s="403"/>
      <c r="S85" s="403"/>
      <c r="T85" s="403"/>
    </row>
    <row r="86" spans="1:20" ht="16.5" customHeight="1" x14ac:dyDescent="0.25">
      <c r="A86" s="848"/>
      <c r="B86" s="844" t="s">
        <v>811</v>
      </c>
      <c r="C86" s="839" t="s">
        <v>812</v>
      </c>
      <c r="D86" s="838"/>
      <c r="E86" s="839" t="s">
        <v>813</v>
      </c>
      <c r="F86" s="840"/>
      <c r="G86" s="839" t="s">
        <v>814</v>
      </c>
      <c r="H86" s="840"/>
      <c r="I86" s="839">
        <v>2764</v>
      </c>
      <c r="J86" s="840"/>
      <c r="K86" s="845">
        <f>I86*1360</f>
        <v>3759040</v>
      </c>
      <c r="L86" s="841"/>
      <c r="M86" s="842"/>
      <c r="N86" s="841"/>
      <c r="O86" s="841"/>
      <c r="P86" s="841"/>
      <c r="Q86" s="841"/>
      <c r="R86" s="403"/>
      <c r="S86" s="403"/>
      <c r="T86" s="495"/>
    </row>
    <row r="87" spans="1:20" ht="16.5" customHeight="1" x14ac:dyDescent="0.25">
      <c r="A87" s="848"/>
      <c r="B87" s="849"/>
      <c r="C87" s="839"/>
      <c r="D87" s="838"/>
      <c r="E87" s="850"/>
      <c r="F87" s="840"/>
      <c r="G87" s="850"/>
      <c r="H87" s="840"/>
      <c r="I87" s="850">
        <f>I86+I85</f>
        <v>3234</v>
      </c>
      <c r="J87" s="851"/>
      <c r="K87" s="850">
        <f>K86+K85</f>
        <v>4417040</v>
      </c>
      <c r="L87" s="841"/>
      <c r="M87" s="842"/>
      <c r="N87" s="841"/>
      <c r="O87" s="841"/>
      <c r="P87" s="841"/>
      <c r="Q87" s="841"/>
      <c r="R87" s="403"/>
      <c r="S87" s="403"/>
      <c r="T87" s="495"/>
    </row>
    <row r="88" spans="1:20" ht="16.5" customHeight="1" x14ac:dyDescent="0.25">
      <c r="A88" s="848"/>
      <c r="B88" s="852"/>
      <c r="C88" s="853"/>
      <c r="D88" s="854"/>
      <c r="E88" s="855"/>
      <c r="F88" s="856"/>
      <c r="G88" s="855"/>
      <c r="H88" s="856"/>
      <c r="I88" s="855"/>
      <c r="J88" s="857"/>
      <c r="K88" s="850"/>
      <c r="L88" s="841"/>
      <c r="M88" s="842"/>
      <c r="N88" s="841"/>
      <c r="O88" s="841"/>
      <c r="P88" s="841"/>
      <c r="Q88" s="841"/>
      <c r="R88" s="403"/>
      <c r="S88" s="403"/>
      <c r="T88" s="495"/>
    </row>
    <row r="89" spans="1:20" ht="16.5" customHeight="1" x14ac:dyDescent="0.25">
      <c r="A89" s="847"/>
      <c r="B89" s="858"/>
      <c r="C89" s="1529"/>
      <c r="D89" s="859"/>
      <c r="E89" s="859"/>
      <c r="F89" s="860"/>
      <c r="G89" s="861"/>
      <c r="H89" s="841"/>
      <c r="I89" s="862"/>
      <c r="J89" s="862"/>
      <c r="K89" s="841"/>
      <c r="L89" s="841"/>
      <c r="M89" s="842"/>
      <c r="N89" s="841"/>
      <c r="O89" s="841"/>
      <c r="P89" s="841"/>
      <c r="Q89" s="841"/>
      <c r="R89" s="403"/>
      <c r="S89" s="403"/>
      <c r="T89" s="495"/>
    </row>
    <row r="90" spans="1:20" ht="16.5" customHeight="1" x14ac:dyDescent="0.25">
      <c r="A90" s="863"/>
      <c r="B90" s="863"/>
      <c r="C90" s="864"/>
      <c r="D90" s="859"/>
      <c r="E90" s="859"/>
      <c r="F90" s="769"/>
      <c r="G90" s="1529"/>
      <c r="H90" s="865"/>
      <c r="I90" s="865"/>
      <c r="J90" s="865"/>
      <c r="K90" s="865"/>
      <c r="L90" s="865"/>
      <c r="M90" s="865"/>
      <c r="N90" s="865"/>
      <c r="O90" s="865"/>
      <c r="P90" s="865"/>
      <c r="Q90" s="865"/>
      <c r="R90" s="865"/>
      <c r="S90" s="865"/>
    </row>
    <row r="91" spans="1:20" x14ac:dyDescent="0.25">
      <c r="A91" s="866" t="s">
        <v>522</v>
      </c>
      <c r="B91" s="1524"/>
      <c r="C91" s="1513"/>
      <c r="D91" s="496"/>
      <c r="E91" s="746"/>
      <c r="F91" s="867"/>
      <c r="G91" s="868" t="s">
        <v>815</v>
      </c>
      <c r="H91" s="867"/>
      <c r="I91" s="864"/>
      <c r="J91" s="864"/>
      <c r="K91" s="1513"/>
      <c r="L91" s="864"/>
      <c r="M91" s="1513"/>
      <c r="N91" s="495"/>
      <c r="O91" s="403"/>
      <c r="P91" s="403" t="s">
        <v>816</v>
      </c>
      <c r="Q91" s="403"/>
      <c r="R91" s="1513"/>
      <c r="S91" s="495"/>
    </row>
    <row r="92" spans="1:20" x14ac:dyDescent="0.25">
      <c r="A92" s="869"/>
      <c r="B92" s="870"/>
      <c r="C92" s="871"/>
      <c r="D92" s="872"/>
      <c r="E92" s="873"/>
      <c r="F92" s="873"/>
      <c r="G92" s="873"/>
      <c r="H92" s="873"/>
      <c r="I92" s="873"/>
      <c r="J92" s="871"/>
      <c r="K92" s="871"/>
      <c r="L92" s="1516"/>
      <c r="M92" s="871"/>
      <c r="N92" s="871"/>
      <c r="O92" s="403"/>
      <c r="P92" s="403"/>
      <c r="Q92" s="403"/>
      <c r="R92" s="1516"/>
      <c r="S92" s="871"/>
    </row>
    <row r="93" spans="1:20" x14ac:dyDescent="0.25">
      <c r="A93" s="869"/>
      <c r="B93" s="1604" t="s">
        <v>817</v>
      </c>
      <c r="C93" s="1604"/>
      <c r="D93" s="1604"/>
      <c r="E93" s="1515"/>
      <c r="F93" s="1515"/>
      <c r="G93" s="1581" t="s">
        <v>818</v>
      </c>
      <c r="H93" s="1581"/>
      <c r="I93" s="1581"/>
      <c r="J93" s="1581"/>
      <c r="K93" s="871"/>
      <c r="L93" s="1516"/>
      <c r="M93" s="871"/>
      <c r="N93" s="871"/>
      <c r="O93" s="403"/>
      <c r="P93" s="1580" t="s">
        <v>819</v>
      </c>
      <c r="Q93" s="1580"/>
      <c r="R93" s="1580"/>
      <c r="S93" s="871"/>
    </row>
    <row r="94" spans="1:20" x14ac:dyDescent="0.25">
      <c r="B94" s="1598" t="s">
        <v>750</v>
      </c>
      <c r="C94" s="1598"/>
      <c r="D94" s="1598"/>
      <c r="F94" s="1518"/>
      <c r="G94" s="1598" t="s">
        <v>820</v>
      </c>
      <c r="H94" s="1598"/>
      <c r="I94" s="1598"/>
      <c r="J94" s="1598"/>
      <c r="P94" s="1598" t="s">
        <v>821</v>
      </c>
      <c r="Q94" s="1598"/>
      <c r="R94" s="1598"/>
    </row>
    <row r="97" spans="11:13" x14ac:dyDescent="0.25">
      <c r="M97" s="721"/>
    </row>
    <row r="99" spans="11:13" x14ac:dyDescent="0.25">
      <c r="K99" s="721"/>
    </row>
    <row r="140" spans="1:17" x14ac:dyDescent="0.25">
      <c r="A140" s="874"/>
      <c r="B140" s="875"/>
      <c r="C140" s="875"/>
      <c r="D140" s="874"/>
      <c r="E140" s="876"/>
      <c r="F140" s="1519"/>
      <c r="G140" s="1519"/>
      <c r="H140" s="875"/>
      <c r="I140" s="875"/>
      <c r="J140" s="875"/>
      <c r="K140" s="875"/>
      <c r="L140" s="1519"/>
      <c r="M140" s="875"/>
      <c r="N140" s="875"/>
      <c r="O140" s="1519"/>
      <c r="P140" s="1519"/>
      <c r="Q140" s="1519"/>
    </row>
    <row r="141" spans="1:17" x14ac:dyDescent="0.25">
      <c r="E141" s="719"/>
      <c r="F141" s="1518"/>
      <c r="G141" s="1518"/>
      <c r="L141" s="1518"/>
      <c r="O141" s="1518"/>
      <c r="P141" s="1518"/>
      <c r="Q141" s="1518"/>
    </row>
  </sheetData>
  <mergeCells count="45">
    <mergeCell ref="N14:S14"/>
    <mergeCell ref="N15:P15"/>
    <mergeCell ref="Q15:S15"/>
    <mergeCell ref="A1:S1"/>
    <mergeCell ref="A7:S7"/>
    <mergeCell ref="M8:S8"/>
    <mergeCell ref="A13:S13"/>
    <mergeCell ref="A14:A16"/>
    <mergeCell ref="B14:B16"/>
    <mergeCell ref="C14:C16"/>
    <mergeCell ref="D14:D16"/>
    <mergeCell ref="E14:E16"/>
    <mergeCell ref="F14:F16"/>
    <mergeCell ref="I34:J34"/>
    <mergeCell ref="G14:G16"/>
    <mergeCell ref="H14:J15"/>
    <mergeCell ref="K14:L15"/>
    <mergeCell ref="M14:M16"/>
    <mergeCell ref="T15:T16"/>
    <mergeCell ref="I21:J21"/>
    <mergeCell ref="I22:J22"/>
    <mergeCell ref="I29:J29"/>
    <mergeCell ref="I30:J30"/>
    <mergeCell ref="I66:J66"/>
    <mergeCell ref="I35:J35"/>
    <mergeCell ref="I40:J40"/>
    <mergeCell ref="I41:J41"/>
    <mergeCell ref="I45:J45"/>
    <mergeCell ref="I46:J46"/>
    <mergeCell ref="I49:J49"/>
    <mergeCell ref="I51:J51"/>
    <mergeCell ref="I52:J52"/>
    <mergeCell ref="I54:J54"/>
    <mergeCell ref="I55:J55"/>
    <mergeCell ref="I62:J62"/>
    <mergeCell ref="P93:R93"/>
    <mergeCell ref="B94:D94"/>
    <mergeCell ref="G94:J94"/>
    <mergeCell ref="P94:R94"/>
    <mergeCell ref="I67:J67"/>
    <mergeCell ref="I71:J71"/>
    <mergeCell ref="I72:J72"/>
    <mergeCell ref="I83:J83"/>
    <mergeCell ref="B93:D93"/>
    <mergeCell ref="G93:J93"/>
  </mergeCells>
  <pageMargins left="0.74" right="0" top="0.32" bottom="0.72" header="0.28999999999999998" footer="0.3"/>
  <pageSetup paperSize="5" scale="60" orientation="landscape" errors="blank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F947-0F88-9841-8414-192432BC4252}">
  <sheetPr>
    <tabColor rgb="FFC00000"/>
  </sheetPr>
  <dimension ref="A1:U211"/>
  <sheetViews>
    <sheetView view="pageBreakPreview" zoomScale="80" zoomScaleNormal="70" zoomScaleSheetLayoutView="80" workbookViewId="0">
      <pane ySplit="17" topLeftCell="A138" activePane="bottomLeft" state="frozen"/>
      <selection activeCell="P74" sqref="P74"/>
      <selection pane="bottomLeft" activeCell="S20" sqref="S20"/>
    </sheetView>
  </sheetViews>
  <sheetFormatPr defaultColWidth="9.125" defaultRowHeight="15.75" x14ac:dyDescent="0.25"/>
  <cols>
    <col min="1" max="1" width="5.875" style="393" customWidth="1"/>
    <col min="2" max="2" width="16" style="393" customWidth="1"/>
    <col min="3" max="3" width="10.625" style="393" customWidth="1"/>
    <col min="4" max="4" width="12" style="393" customWidth="1"/>
    <col min="5" max="5" width="12.625" style="718" customWidth="1"/>
    <col min="6" max="6" width="17.375" style="393" customWidth="1"/>
    <col min="7" max="7" width="13.375" style="393" customWidth="1"/>
    <col min="8" max="8" width="16.125" style="721" customWidth="1"/>
    <col min="9" max="9" width="15.5" style="393" customWidth="1"/>
    <col min="10" max="10" width="17" style="393" customWidth="1"/>
    <col min="11" max="11" width="9" style="393" customWidth="1"/>
    <col min="12" max="12" width="8.125" style="393" customWidth="1"/>
    <col min="13" max="13" width="12.5" style="393" customWidth="1"/>
    <col min="14" max="14" width="12" style="393" customWidth="1"/>
    <col min="15" max="15" width="16.625" style="393" customWidth="1"/>
    <col min="16" max="16" width="25.875" style="393" customWidth="1"/>
    <col min="17" max="17" width="15.625" style="393" customWidth="1"/>
    <col min="18" max="18" width="20.5" style="393" bestFit="1" customWidth="1"/>
    <col min="19" max="19" width="21.5" style="393" customWidth="1"/>
    <col min="20" max="20" width="24.5" style="393" customWidth="1"/>
    <col min="21" max="16384" width="9.125" style="393"/>
  </cols>
  <sheetData>
    <row r="1" spans="1:20" x14ac:dyDescent="0.25">
      <c r="A1" s="1604" t="s">
        <v>413</v>
      </c>
      <c r="B1" s="1604"/>
      <c r="C1" s="1604"/>
      <c r="D1" s="1604"/>
      <c r="E1" s="1604"/>
      <c r="F1" s="1604"/>
      <c r="G1" s="1604"/>
      <c r="H1" s="1604"/>
      <c r="I1" s="1604"/>
      <c r="J1" s="1604"/>
      <c r="K1" s="1604"/>
      <c r="L1" s="1604"/>
      <c r="M1" s="1604"/>
      <c r="N1" s="1604"/>
      <c r="O1" s="1604"/>
      <c r="P1" s="1604"/>
      <c r="Q1" s="1604"/>
      <c r="R1" s="1604"/>
      <c r="S1" s="1604"/>
    </row>
    <row r="2" spans="1:20" ht="18" x14ac:dyDescent="0.4">
      <c r="A2" s="757"/>
      <c r="B2" s="392"/>
      <c r="C2" s="392"/>
      <c r="D2" s="757"/>
      <c r="E2" s="392"/>
      <c r="F2" s="1518"/>
      <c r="G2" s="392" t="s">
        <v>822</v>
      </c>
      <c r="H2" s="877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</row>
    <row r="3" spans="1:20" x14ac:dyDescent="0.25">
      <c r="A3" s="757"/>
      <c r="B3" s="758"/>
      <c r="C3" s="758"/>
      <c r="D3" s="759"/>
      <c r="E3" s="758"/>
      <c r="F3" s="1519"/>
      <c r="G3" s="392" t="s">
        <v>823</v>
      </c>
      <c r="H3" s="878"/>
      <c r="I3" s="760"/>
      <c r="J3" s="758"/>
      <c r="K3" s="758"/>
      <c r="L3" s="758"/>
      <c r="M3" s="758"/>
      <c r="N3" s="758"/>
      <c r="O3" s="758"/>
      <c r="P3" s="758"/>
      <c r="Q3" s="758"/>
      <c r="R3" s="758"/>
      <c r="S3" s="758"/>
    </row>
    <row r="4" spans="1:20" x14ac:dyDescent="0.25">
      <c r="A4" s="757"/>
      <c r="B4" s="392"/>
      <c r="C4" s="392"/>
      <c r="D4" s="757"/>
      <c r="E4" s="392"/>
      <c r="F4" s="1518"/>
      <c r="G4" s="392" t="s">
        <v>754</v>
      </c>
      <c r="H4" s="877"/>
      <c r="I4" s="761"/>
      <c r="J4" s="392"/>
      <c r="K4" s="392"/>
      <c r="L4" s="392"/>
      <c r="M4" s="392"/>
      <c r="N4" s="392"/>
      <c r="O4" s="392"/>
      <c r="P4" s="392"/>
      <c r="Q4" s="392"/>
      <c r="R4" s="392"/>
      <c r="S4" s="392"/>
    </row>
    <row r="5" spans="1:20" x14ac:dyDescent="0.25">
      <c r="A5" s="757"/>
      <c r="B5" s="392"/>
      <c r="C5" s="392"/>
      <c r="D5" s="757"/>
      <c r="E5" s="392"/>
      <c r="F5" s="1518"/>
      <c r="G5" s="392" t="s">
        <v>824</v>
      </c>
      <c r="H5" s="877"/>
      <c r="I5" s="762"/>
      <c r="J5" s="392"/>
      <c r="K5" s="392"/>
      <c r="L5" s="392" t="s">
        <v>825</v>
      </c>
      <c r="M5" s="392"/>
      <c r="N5" s="392"/>
      <c r="O5" s="392"/>
      <c r="P5" s="392"/>
      <c r="Q5" s="392"/>
      <c r="R5" s="392"/>
      <c r="S5" s="392"/>
    </row>
    <row r="6" spans="1:20" x14ac:dyDescent="0.25">
      <c r="A6" s="757"/>
      <c r="B6" s="392"/>
      <c r="C6" s="392"/>
      <c r="D6" s="757"/>
      <c r="E6" s="392"/>
      <c r="F6" s="1518"/>
      <c r="G6" s="392" t="s">
        <v>756</v>
      </c>
      <c r="H6" s="877"/>
      <c r="I6" s="392"/>
      <c r="J6" s="392"/>
      <c r="K6" s="392"/>
      <c r="L6" s="392"/>
      <c r="M6" s="392"/>
      <c r="N6" s="392"/>
      <c r="O6" s="392"/>
      <c r="P6" s="392"/>
      <c r="Q6" s="392"/>
      <c r="R6" s="392"/>
      <c r="S6" s="392"/>
    </row>
    <row r="7" spans="1:20" ht="16.5" thickBot="1" x14ac:dyDescent="0.3">
      <c r="A7" s="1598"/>
      <c r="B7" s="1598"/>
      <c r="C7" s="1598"/>
      <c r="D7" s="1598"/>
      <c r="E7" s="1598"/>
      <c r="F7" s="1598"/>
      <c r="G7" s="1598"/>
      <c r="H7" s="1598"/>
      <c r="I7" s="1598"/>
      <c r="J7" s="1598"/>
      <c r="K7" s="1598"/>
      <c r="L7" s="1598"/>
      <c r="M7" s="1598"/>
      <c r="N7" s="1598"/>
      <c r="O7" s="1598"/>
      <c r="P7" s="1598"/>
      <c r="Q7" s="1598"/>
      <c r="R7" s="1598"/>
      <c r="S7" s="1598"/>
    </row>
    <row r="8" spans="1:20" x14ac:dyDescent="0.25">
      <c r="A8" s="763" t="s">
        <v>417</v>
      </c>
      <c r="B8" s="764"/>
      <c r="C8" s="764"/>
      <c r="D8" s="765"/>
      <c r="E8" s="765"/>
      <c r="F8" s="766"/>
      <c r="G8" s="764"/>
      <c r="H8" s="879"/>
      <c r="I8" s="764"/>
      <c r="J8" s="764"/>
      <c r="K8" s="764"/>
      <c r="L8" s="764"/>
      <c r="M8" s="1668" t="s">
        <v>418</v>
      </c>
      <c r="N8" s="1669"/>
      <c r="O8" s="1669"/>
      <c r="P8" s="1669"/>
      <c r="Q8" s="1669"/>
      <c r="R8" s="1669"/>
      <c r="S8" s="1669"/>
      <c r="T8" s="767"/>
    </row>
    <row r="9" spans="1:20" x14ac:dyDescent="0.25">
      <c r="A9" s="768"/>
      <c r="B9" s="403" t="s">
        <v>757</v>
      </c>
      <c r="C9" s="412" t="s">
        <v>758</v>
      </c>
      <c r="D9" s="413"/>
      <c r="E9" s="404"/>
      <c r="F9" s="769" t="s">
        <v>826</v>
      </c>
      <c r="G9" s="403"/>
      <c r="H9" s="880"/>
      <c r="I9" s="403"/>
      <c r="J9" s="403"/>
      <c r="K9" s="403"/>
      <c r="L9" s="403"/>
      <c r="M9" s="405" t="s">
        <v>421</v>
      </c>
      <c r="N9" s="395"/>
      <c r="O9" s="395"/>
      <c r="P9" s="395" t="s">
        <v>422</v>
      </c>
      <c r="Q9" s="395"/>
      <c r="R9" s="395"/>
      <c r="S9" s="395"/>
      <c r="T9" s="770"/>
    </row>
    <row r="10" spans="1:20" x14ac:dyDescent="0.25">
      <c r="A10" s="768"/>
      <c r="B10" s="403" t="s">
        <v>759</v>
      </c>
      <c r="C10" s="771"/>
      <c r="D10" s="772"/>
      <c r="E10" s="404"/>
      <c r="F10" s="769"/>
      <c r="G10" s="403"/>
      <c r="H10" s="880"/>
      <c r="I10" s="403"/>
      <c r="J10" s="403"/>
      <c r="K10" s="403"/>
      <c r="L10" s="403"/>
      <c r="M10" s="773"/>
      <c r="N10" s="1513"/>
      <c r="O10" s="408" t="s">
        <v>423</v>
      </c>
      <c r="P10" s="403"/>
      <c r="Q10" s="403" t="s">
        <v>760</v>
      </c>
      <c r="R10" s="403"/>
      <c r="S10" s="403"/>
      <c r="T10" s="775"/>
    </row>
    <row r="11" spans="1:20" x14ac:dyDescent="0.25">
      <c r="A11" s="768"/>
      <c r="B11" s="403" t="s">
        <v>761</v>
      </c>
      <c r="C11" s="771"/>
      <c r="D11" s="772"/>
      <c r="E11" s="404"/>
      <c r="F11" s="769"/>
      <c r="G11" s="403"/>
      <c r="H11" s="880"/>
      <c r="I11" s="403"/>
      <c r="J11" s="403"/>
      <c r="K11" s="403"/>
      <c r="L11" s="403"/>
      <c r="M11" s="773"/>
      <c r="N11" s="769"/>
      <c r="O11" s="408" t="s">
        <v>426</v>
      </c>
      <c r="P11" s="403"/>
      <c r="Q11" s="403" t="s">
        <v>762</v>
      </c>
      <c r="R11" s="403"/>
      <c r="S11" s="403"/>
      <c r="T11" s="775"/>
    </row>
    <row r="12" spans="1:20" x14ac:dyDescent="0.25">
      <c r="A12" s="768"/>
      <c r="B12" s="403"/>
      <c r="C12" s="403"/>
      <c r="D12" s="404"/>
      <c r="E12" s="404"/>
      <c r="F12" s="769"/>
      <c r="G12" s="403"/>
      <c r="H12" s="880"/>
      <c r="I12" s="403"/>
      <c r="J12" s="403"/>
      <c r="K12" s="403"/>
      <c r="L12" s="403"/>
      <c r="M12" s="773"/>
      <c r="N12" s="769" t="s">
        <v>425</v>
      </c>
      <c r="O12" s="408" t="s">
        <v>428</v>
      </c>
      <c r="P12" s="403"/>
      <c r="Q12" s="403" t="s">
        <v>763</v>
      </c>
      <c r="R12" s="403"/>
      <c r="S12" s="403"/>
      <c r="T12" s="775"/>
    </row>
    <row r="13" spans="1:20" x14ac:dyDescent="0.25">
      <c r="A13" s="1670" t="s">
        <v>430</v>
      </c>
      <c r="B13" s="1671"/>
      <c r="C13" s="1671"/>
      <c r="D13" s="1671"/>
      <c r="E13" s="1671"/>
      <c r="F13" s="1671"/>
      <c r="G13" s="1671"/>
      <c r="H13" s="1671"/>
      <c r="I13" s="1671"/>
      <c r="J13" s="1671"/>
      <c r="K13" s="1671"/>
      <c r="L13" s="1671"/>
      <c r="M13" s="1671"/>
      <c r="N13" s="1672"/>
      <c r="O13" s="1672"/>
      <c r="P13" s="1672"/>
      <c r="Q13" s="1672"/>
      <c r="R13" s="1672"/>
      <c r="S13" s="1672"/>
      <c r="T13" s="770"/>
    </row>
    <row r="14" spans="1:20" ht="15.75" customHeight="1" x14ac:dyDescent="0.25">
      <c r="A14" s="1673" t="s">
        <v>431</v>
      </c>
      <c r="B14" s="1660" t="s">
        <v>671</v>
      </c>
      <c r="C14" s="1661" t="s">
        <v>668</v>
      </c>
      <c r="D14" s="1675" t="s">
        <v>434</v>
      </c>
      <c r="E14" s="1675" t="s">
        <v>435</v>
      </c>
      <c r="F14" s="1661" t="s">
        <v>436</v>
      </c>
      <c r="G14" s="1660" t="s">
        <v>764</v>
      </c>
      <c r="H14" s="1586" t="s">
        <v>765</v>
      </c>
      <c r="I14" s="1662"/>
      <c r="J14" s="1663"/>
      <c r="K14" s="1586" t="s">
        <v>673</v>
      </c>
      <c r="L14" s="1663"/>
      <c r="M14" s="1586" t="s">
        <v>439</v>
      </c>
      <c r="N14" s="1588" t="s">
        <v>440</v>
      </c>
      <c r="O14" s="1589"/>
      <c r="P14" s="1589"/>
      <c r="Q14" s="1589"/>
      <c r="R14" s="1589"/>
      <c r="S14" s="1589"/>
      <c r="T14" s="777"/>
    </row>
    <row r="15" spans="1:20" ht="15.75" customHeight="1" x14ac:dyDescent="0.25">
      <c r="A15" s="1674"/>
      <c r="B15" s="1660"/>
      <c r="C15" s="1591"/>
      <c r="D15" s="1599"/>
      <c r="E15" s="1599"/>
      <c r="F15" s="1591"/>
      <c r="G15" s="1660"/>
      <c r="H15" s="1587"/>
      <c r="I15" s="1602"/>
      <c r="J15" s="1603"/>
      <c r="K15" s="1587"/>
      <c r="L15" s="1603"/>
      <c r="M15" s="1586"/>
      <c r="N15" s="1664" t="s">
        <v>766</v>
      </c>
      <c r="O15" s="1665"/>
      <c r="P15" s="1666"/>
      <c r="Q15" s="1664" t="s">
        <v>767</v>
      </c>
      <c r="R15" s="1667"/>
      <c r="S15" s="1667"/>
      <c r="T15" s="1659" t="s">
        <v>452</v>
      </c>
    </row>
    <row r="16" spans="1:20" ht="14.25" customHeight="1" x14ac:dyDescent="0.25">
      <c r="A16" s="1674"/>
      <c r="B16" s="1661"/>
      <c r="C16" s="1591"/>
      <c r="D16" s="1599"/>
      <c r="E16" s="1599"/>
      <c r="F16" s="1591"/>
      <c r="G16" s="1661"/>
      <c r="H16" s="881" t="s">
        <v>447</v>
      </c>
      <c r="I16" s="779" t="s">
        <v>448</v>
      </c>
      <c r="J16" s="1531" t="s">
        <v>449</v>
      </c>
      <c r="K16" s="1531" t="s">
        <v>441</v>
      </c>
      <c r="L16" s="1531" t="s">
        <v>442</v>
      </c>
      <c r="M16" s="1587"/>
      <c r="N16" s="1517" t="s">
        <v>450</v>
      </c>
      <c r="O16" s="1517" t="s">
        <v>451</v>
      </c>
      <c r="P16" s="1517" t="s">
        <v>452</v>
      </c>
      <c r="Q16" s="1517" t="s">
        <v>450</v>
      </c>
      <c r="R16" s="1517" t="s">
        <v>453</v>
      </c>
      <c r="S16" s="780" t="s">
        <v>452</v>
      </c>
      <c r="T16" s="1659"/>
    </row>
    <row r="17" spans="1:21" ht="47.25" customHeight="1" x14ac:dyDescent="0.25">
      <c r="A17" s="711" t="s">
        <v>454</v>
      </c>
      <c r="B17" s="422">
        <v>1</v>
      </c>
      <c r="C17" s="422">
        <v>2</v>
      </c>
      <c r="D17" s="422">
        <v>3</v>
      </c>
      <c r="E17" s="422">
        <v>4</v>
      </c>
      <c r="F17" s="422">
        <v>5</v>
      </c>
      <c r="G17" s="422">
        <v>6</v>
      </c>
      <c r="H17" s="422">
        <v>7</v>
      </c>
      <c r="I17" s="422">
        <v>8</v>
      </c>
      <c r="J17" s="422">
        <v>9</v>
      </c>
      <c r="K17" s="422">
        <v>10</v>
      </c>
      <c r="L17" s="422">
        <v>11</v>
      </c>
      <c r="M17" s="422">
        <v>12</v>
      </c>
      <c r="N17" s="422">
        <v>13</v>
      </c>
      <c r="O17" s="422">
        <v>14</v>
      </c>
      <c r="P17" s="422">
        <v>15</v>
      </c>
      <c r="Q17" s="422">
        <v>16</v>
      </c>
      <c r="R17" s="422">
        <v>17</v>
      </c>
      <c r="S17" s="422">
        <v>18</v>
      </c>
      <c r="T17" s="422">
        <v>19</v>
      </c>
    </row>
    <row r="18" spans="1:21" x14ac:dyDescent="0.25">
      <c r="A18" s="782"/>
      <c r="B18" s="425" t="s">
        <v>771</v>
      </c>
      <c r="C18" s="424"/>
      <c r="D18" s="784"/>
      <c r="E18" s="784"/>
      <c r="F18" s="424"/>
      <c r="G18" s="424"/>
      <c r="H18" s="882">
        <f>H19+H89+H158+H185</f>
        <v>13303.324999999999</v>
      </c>
      <c r="I18" s="882">
        <f>I19+I89+I158+I185</f>
        <v>1623.3750000000002</v>
      </c>
      <c r="J18" s="882">
        <f>J19+J89+J158+J185</f>
        <v>12940.599999999999</v>
      </c>
      <c r="K18" s="882"/>
      <c r="L18" s="882"/>
      <c r="M18" s="882"/>
      <c r="N18" s="882">
        <f>N19+N89+N158+N185</f>
        <v>4494.5530000000008</v>
      </c>
      <c r="O18" s="882"/>
      <c r="P18" s="882">
        <f>P19+P89+P158+P185</f>
        <v>23656550.443909463</v>
      </c>
      <c r="Q18" s="882">
        <f>Q19+Q89+Q158+Q185</f>
        <v>13754.1368</v>
      </c>
      <c r="R18" s="882"/>
      <c r="S18" s="882">
        <f>S19+S89+S158+S185</f>
        <v>242355172.56999999</v>
      </c>
      <c r="T18" s="883">
        <f>T19+T89+T158+T185</f>
        <v>265933203.01390946</v>
      </c>
    </row>
    <row r="19" spans="1:21" x14ac:dyDescent="0.25">
      <c r="A19" s="787"/>
      <c r="B19" s="481" t="s">
        <v>537</v>
      </c>
      <c r="C19" s="697"/>
      <c r="D19" s="797"/>
      <c r="E19" s="797"/>
      <c r="F19" s="697"/>
      <c r="G19" s="697"/>
      <c r="H19" s="884">
        <f>SUM(H20:H88)</f>
        <v>9177.58</v>
      </c>
      <c r="I19" s="884">
        <f>SUM(I20:I88)</f>
        <v>458.08000000000004</v>
      </c>
      <c r="J19" s="884">
        <f>SUM(J20:J88)</f>
        <v>8719.5</v>
      </c>
      <c r="K19" s="884"/>
      <c r="L19" s="884"/>
      <c r="M19" s="884"/>
      <c r="N19" s="884">
        <f>SUM(N20:N88)</f>
        <v>2050.8930000000005</v>
      </c>
      <c r="O19" s="884"/>
      <c r="P19" s="884">
        <f>SUM(P20:P88)</f>
        <v>4163391.2039094651</v>
      </c>
      <c r="Q19" s="884">
        <f>SUM(Q20:Q88)</f>
        <v>7353.3278000000018</v>
      </c>
      <c r="R19" s="884"/>
      <c r="S19" s="884">
        <f>SUM(S20:S88)</f>
        <v>133541419.56999999</v>
      </c>
      <c r="T19" s="885">
        <f>SUM(T20:T88)</f>
        <v>137626290.77390945</v>
      </c>
    </row>
    <row r="20" spans="1:21" x14ac:dyDescent="0.25">
      <c r="A20" s="711"/>
      <c r="B20" s="696" t="s">
        <v>712</v>
      </c>
      <c r="C20" s="796" t="s">
        <v>713</v>
      </c>
      <c r="D20" s="797"/>
      <c r="E20" s="886">
        <v>101</v>
      </c>
      <c r="F20" s="796" t="s">
        <v>539</v>
      </c>
      <c r="G20" s="697"/>
      <c r="H20" s="887">
        <v>80</v>
      </c>
      <c r="I20" s="887"/>
      <c r="J20" s="887">
        <v>80</v>
      </c>
      <c r="K20" s="697">
        <v>4.8600000000000003</v>
      </c>
      <c r="L20" s="697">
        <f>K20-(K20*M20)</f>
        <v>4.3740000000000006</v>
      </c>
      <c r="M20" s="697">
        <v>0.1</v>
      </c>
      <c r="N20" s="887">
        <f>M20*K20*J20</f>
        <v>38.880000000000003</v>
      </c>
      <c r="O20" s="888">
        <v>9815</v>
      </c>
      <c r="P20" s="887">
        <f>O20*J20*M20</f>
        <v>78520</v>
      </c>
      <c r="Q20" s="887"/>
      <c r="R20" s="888"/>
      <c r="S20" s="887">
        <v>78520</v>
      </c>
      <c r="T20" s="889">
        <v>78520</v>
      </c>
    </row>
    <row r="21" spans="1:21" s="515" customFormat="1" x14ac:dyDescent="0.25">
      <c r="A21" s="1069"/>
      <c r="B21" s="696" t="s">
        <v>827</v>
      </c>
      <c r="C21" s="1073"/>
      <c r="D21" s="1070"/>
      <c r="E21" s="1079">
        <f>SUM(E22:E24)</f>
        <v>163</v>
      </c>
      <c r="F21" s="1079">
        <f t="shared" ref="F21:T21" si="0">SUM(F22:F24)</f>
        <v>0</v>
      </c>
      <c r="G21" s="1079">
        <f t="shared" si="0"/>
        <v>0</v>
      </c>
      <c r="H21" s="1079">
        <f t="shared" si="0"/>
        <v>186.39</v>
      </c>
      <c r="I21" s="1079">
        <f t="shared" si="0"/>
        <v>11.89</v>
      </c>
      <c r="J21" s="1079">
        <f t="shared" si="0"/>
        <v>174.5</v>
      </c>
      <c r="K21" s="1079">
        <f t="shared" si="0"/>
        <v>14.580000000000002</v>
      </c>
      <c r="L21" s="1079">
        <f t="shared" si="0"/>
        <v>7.7799999999999994</v>
      </c>
      <c r="M21" s="1079">
        <f t="shared" si="0"/>
        <v>1.3991769547325106</v>
      </c>
      <c r="N21" s="1079">
        <f t="shared" si="0"/>
        <v>0</v>
      </c>
      <c r="O21" s="1079">
        <f t="shared" si="0"/>
        <v>0</v>
      </c>
      <c r="P21" s="1079">
        <f t="shared" si="0"/>
        <v>0</v>
      </c>
      <c r="Q21" s="1079">
        <f t="shared" si="0"/>
        <v>221.17040000000006</v>
      </c>
      <c r="R21" s="1079">
        <f t="shared" si="0"/>
        <v>54.449999999999996</v>
      </c>
      <c r="S21" s="1079">
        <f t="shared" si="0"/>
        <v>4014242.7600000012</v>
      </c>
      <c r="T21" s="1079">
        <f t="shared" si="0"/>
        <v>4014242.7600000012</v>
      </c>
    </row>
    <row r="22" spans="1:21" x14ac:dyDescent="0.25">
      <c r="A22" s="711"/>
      <c r="C22" s="796" t="s">
        <v>713</v>
      </c>
      <c r="D22" s="797"/>
      <c r="E22" s="886">
        <v>88</v>
      </c>
      <c r="F22" s="796" t="s">
        <v>487</v>
      </c>
      <c r="G22" s="697"/>
      <c r="H22" s="887">
        <v>99.5</v>
      </c>
      <c r="I22" s="888"/>
      <c r="J22" s="888">
        <v>99.5</v>
      </c>
      <c r="K22" s="697">
        <v>4.8600000000000003</v>
      </c>
      <c r="L22" s="697">
        <v>4.13</v>
      </c>
      <c r="M22" s="697">
        <f>(K22-L22)/K22</f>
        <v>0.15020576131687249</v>
      </c>
      <c r="N22" s="888"/>
      <c r="O22" s="888"/>
      <c r="P22" s="888"/>
      <c r="Q22" s="888">
        <f>J22*K22*M22</f>
        <v>72.635000000000034</v>
      </c>
      <c r="R22" s="888">
        <v>18.149999999999999</v>
      </c>
      <c r="S22" s="888">
        <f>Q22*R22*1000</f>
        <v>1318325.2500000005</v>
      </c>
      <c r="T22" s="890">
        <f>S22+P22</f>
        <v>1318325.2500000005</v>
      </c>
    </row>
    <row r="23" spans="1:21" x14ac:dyDescent="0.25">
      <c r="A23" s="711"/>
      <c r="B23" s="696"/>
      <c r="C23" s="796"/>
      <c r="D23" s="797"/>
      <c r="E23" s="886"/>
      <c r="F23" s="796" t="s">
        <v>487</v>
      </c>
      <c r="G23" s="697"/>
      <c r="H23" s="887">
        <v>11.89</v>
      </c>
      <c r="I23" s="888">
        <v>11.89</v>
      </c>
      <c r="J23" s="888"/>
      <c r="K23" s="697">
        <v>4.8600000000000003</v>
      </c>
      <c r="L23" s="697"/>
      <c r="M23" s="697">
        <v>1</v>
      </c>
      <c r="N23" s="888"/>
      <c r="O23" s="888"/>
      <c r="P23" s="888"/>
      <c r="Q23" s="888">
        <f>I23*K23*M23</f>
        <v>57.78540000000001</v>
      </c>
      <c r="R23" s="888">
        <v>18.149999999999999</v>
      </c>
      <c r="S23" s="888">
        <f>Q23*R23*1000</f>
        <v>1048805.01</v>
      </c>
      <c r="T23" s="890">
        <f>S23+P23</f>
        <v>1048805.01</v>
      </c>
    </row>
    <row r="24" spans="1:21" x14ac:dyDescent="0.25">
      <c r="A24" s="711"/>
      <c r="B24" s="696"/>
      <c r="C24" s="697"/>
      <c r="D24" s="797"/>
      <c r="E24" s="886">
        <v>75</v>
      </c>
      <c r="F24" s="891" t="s">
        <v>828</v>
      </c>
      <c r="G24" s="697"/>
      <c r="H24" s="887">
        <f t="shared" ref="H24:H87" si="1">I24+J24</f>
        <v>75</v>
      </c>
      <c r="I24" s="888"/>
      <c r="J24" s="888">
        <v>75</v>
      </c>
      <c r="K24" s="697">
        <v>4.8600000000000003</v>
      </c>
      <c r="L24" s="697">
        <v>3.65</v>
      </c>
      <c r="M24" s="697">
        <f t="shared" ref="M24:M80" si="2">(K24-L24)/K24</f>
        <v>0.24897119341563792</v>
      </c>
      <c r="N24" s="888"/>
      <c r="O24" s="888"/>
      <c r="P24" s="888"/>
      <c r="Q24" s="888">
        <f>J24*K24*M24</f>
        <v>90.750000000000028</v>
      </c>
      <c r="R24" s="888">
        <v>18.149999999999999</v>
      </c>
      <c r="S24" s="888">
        <f>Q24*R24*1000</f>
        <v>1647112.5000000005</v>
      </c>
      <c r="T24" s="890">
        <f>S24+P24</f>
        <v>1647112.5000000005</v>
      </c>
    </row>
    <row r="25" spans="1:21" x14ac:dyDescent="0.25">
      <c r="A25" s="711"/>
      <c r="B25" s="696" t="s">
        <v>720</v>
      </c>
      <c r="C25" s="796" t="s">
        <v>713</v>
      </c>
      <c r="D25" s="797"/>
      <c r="E25" s="886">
        <v>68</v>
      </c>
      <c r="F25" s="796" t="s">
        <v>487</v>
      </c>
      <c r="G25" s="697"/>
      <c r="H25" s="887">
        <f t="shared" si="1"/>
        <v>68</v>
      </c>
      <c r="I25" s="888"/>
      <c r="J25" s="888">
        <v>68</v>
      </c>
      <c r="K25" s="697">
        <v>4.8600000000000003</v>
      </c>
      <c r="L25" s="697">
        <v>4.13</v>
      </c>
      <c r="M25" s="697">
        <f t="shared" si="2"/>
        <v>0.15020576131687249</v>
      </c>
      <c r="N25" s="888"/>
      <c r="O25" s="888"/>
      <c r="P25" s="888"/>
      <c r="Q25" s="888">
        <f>J25*K25*M25</f>
        <v>49.640000000000022</v>
      </c>
      <c r="R25" s="888">
        <v>18.149999999999999</v>
      </c>
      <c r="S25" s="888">
        <f t="shared" ref="S25:S80" si="3">Q25*R25*1000</f>
        <v>900966.00000000035</v>
      </c>
      <c r="T25" s="890">
        <f t="shared" ref="T25:T88" si="4">S25+P25</f>
        <v>900966.00000000035</v>
      </c>
    </row>
    <row r="26" spans="1:21" s="515" customFormat="1" x14ac:dyDescent="0.25">
      <c r="A26" s="1069"/>
      <c r="B26" s="696" t="s">
        <v>729</v>
      </c>
      <c r="C26" s="1073"/>
      <c r="D26" s="1070"/>
      <c r="E26" s="1079">
        <f>SUM(E27:E30)</f>
        <v>68</v>
      </c>
      <c r="F26" s="1079">
        <f t="shared" ref="F26:T26" si="5">SUM(F27:F30)</f>
        <v>0</v>
      </c>
      <c r="G26" s="1079">
        <f t="shared" si="5"/>
        <v>0</v>
      </c>
      <c r="H26" s="1079">
        <f t="shared" si="5"/>
        <v>68</v>
      </c>
      <c r="I26" s="1079">
        <f t="shared" si="5"/>
        <v>28</v>
      </c>
      <c r="J26" s="1079">
        <f t="shared" si="5"/>
        <v>40</v>
      </c>
      <c r="K26" s="1079">
        <f t="shared" si="5"/>
        <v>19.440000000000001</v>
      </c>
      <c r="L26" s="1079">
        <f t="shared" si="5"/>
        <v>7.7799999999999994</v>
      </c>
      <c r="M26" s="1079">
        <f t="shared" si="5"/>
        <v>2.3991769547325106</v>
      </c>
      <c r="N26" s="1079">
        <f t="shared" si="5"/>
        <v>0</v>
      </c>
      <c r="O26" s="1079">
        <f t="shared" si="5"/>
        <v>0</v>
      </c>
      <c r="P26" s="1079">
        <f t="shared" si="5"/>
        <v>0</v>
      </c>
      <c r="Q26" s="1079">
        <f t="shared" si="5"/>
        <v>174.88000000000002</v>
      </c>
      <c r="R26" s="1079">
        <f t="shared" si="5"/>
        <v>72.599999999999994</v>
      </c>
      <c r="S26" s="1079">
        <f t="shared" si="5"/>
        <v>3174072</v>
      </c>
      <c r="T26" s="1079">
        <f t="shared" si="5"/>
        <v>3174072</v>
      </c>
    </row>
    <row r="27" spans="1:21" x14ac:dyDescent="0.25">
      <c r="A27" s="711"/>
      <c r="C27" s="796" t="s">
        <v>713</v>
      </c>
      <c r="D27" s="797"/>
      <c r="E27" s="886">
        <v>34</v>
      </c>
      <c r="F27" s="796" t="s">
        <v>487</v>
      </c>
      <c r="G27" s="697"/>
      <c r="H27" s="887">
        <f t="shared" si="1"/>
        <v>20</v>
      </c>
      <c r="I27" s="888"/>
      <c r="J27" s="888">
        <v>20</v>
      </c>
      <c r="K27" s="697">
        <v>4.8600000000000003</v>
      </c>
      <c r="L27" s="697">
        <v>4.13</v>
      </c>
      <c r="M27" s="697">
        <f t="shared" si="2"/>
        <v>0.15020576131687249</v>
      </c>
      <c r="N27" s="888"/>
      <c r="O27" s="888"/>
      <c r="P27" s="888"/>
      <c r="Q27" s="888">
        <f t="shared" ref="Q27:Q80" si="6">J27*K27*M27</f>
        <v>14.600000000000007</v>
      </c>
      <c r="R27" s="888">
        <v>18.149999999999999</v>
      </c>
      <c r="S27" s="888">
        <f t="shared" si="3"/>
        <v>264990.00000000012</v>
      </c>
      <c r="T27" s="890">
        <f t="shared" si="4"/>
        <v>264990.00000000012</v>
      </c>
    </row>
    <row r="28" spans="1:21" x14ac:dyDescent="0.25">
      <c r="A28" s="711"/>
      <c r="B28" s="696"/>
      <c r="C28" s="796"/>
      <c r="D28" s="797"/>
      <c r="E28" s="886"/>
      <c r="F28" s="796" t="s">
        <v>487</v>
      </c>
      <c r="G28" s="697"/>
      <c r="H28" s="887">
        <f>I28+J28</f>
        <v>14</v>
      </c>
      <c r="I28" s="888">
        <v>14</v>
      </c>
      <c r="J28" s="888"/>
      <c r="K28" s="697">
        <v>4.8600000000000003</v>
      </c>
      <c r="L28" s="697">
        <v>0</v>
      </c>
      <c r="M28" s="697">
        <f t="shared" si="2"/>
        <v>1</v>
      </c>
      <c r="N28" s="888"/>
      <c r="O28" s="888"/>
      <c r="P28" s="888"/>
      <c r="Q28" s="888">
        <f>I28*K28*M28</f>
        <v>68.040000000000006</v>
      </c>
      <c r="R28" s="888">
        <v>18.149999999999999</v>
      </c>
      <c r="S28" s="888">
        <f t="shared" si="3"/>
        <v>1234926</v>
      </c>
      <c r="T28" s="890">
        <f t="shared" si="4"/>
        <v>1234926</v>
      </c>
    </row>
    <row r="29" spans="1:21" x14ac:dyDescent="0.25">
      <c r="A29" s="711"/>
      <c r="B29" s="696"/>
      <c r="C29" s="697"/>
      <c r="D29" s="797"/>
      <c r="E29" s="886">
        <v>34</v>
      </c>
      <c r="F29" s="891" t="s">
        <v>828</v>
      </c>
      <c r="G29" s="697"/>
      <c r="H29" s="887">
        <f t="shared" si="1"/>
        <v>20</v>
      </c>
      <c r="I29" s="888"/>
      <c r="J29" s="888">
        <v>20</v>
      </c>
      <c r="K29" s="697">
        <v>4.8600000000000003</v>
      </c>
      <c r="L29" s="697">
        <v>3.65</v>
      </c>
      <c r="M29" s="697">
        <f t="shared" si="2"/>
        <v>0.24897119341563792</v>
      </c>
      <c r="N29" s="888"/>
      <c r="O29" s="888"/>
      <c r="P29" s="888"/>
      <c r="Q29" s="888">
        <f>J29*K29*M29</f>
        <v>24.200000000000006</v>
      </c>
      <c r="R29" s="888">
        <v>18.149999999999999</v>
      </c>
      <c r="S29" s="888">
        <f t="shared" si="3"/>
        <v>439230.00000000006</v>
      </c>
      <c r="T29" s="890">
        <f t="shared" si="4"/>
        <v>439230.00000000006</v>
      </c>
      <c r="U29" s="403"/>
    </row>
    <row r="30" spans="1:21" x14ac:dyDescent="0.25">
      <c r="A30" s="711"/>
      <c r="B30" s="696"/>
      <c r="C30" s="697"/>
      <c r="D30" s="797"/>
      <c r="E30" s="886"/>
      <c r="F30" s="891" t="s">
        <v>828</v>
      </c>
      <c r="G30" s="697"/>
      <c r="H30" s="887">
        <f>I30+J30</f>
        <v>14</v>
      </c>
      <c r="I30" s="888">
        <v>14</v>
      </c>
      <c r="J30" s="888"/>
      <c r="K30" s="697">
        <v>4.8600000000000003</v>
      </c>
      <c r="L30" s="697">
        <v>0</v>
      </c>
      <c r="M30" s="697">
        <f>(K30-L30)/K30</f>
        <v>1</v>
      </c>
      <c r="N30" s="888"/>
      <c r="O30" s="888"/>
      <c r="P30" s="888"/>
      <c r="Q30" s="888">
        <f>I30*K30*M30</f>
        <v>68.040000000000006</v>
      </c>
      <c r="R30" s="888">
        <v>18.149999999999999</v>
      </c>
      <c r="S30" s="888">
        <f>Q30*R30*1000</f>
        <v>1234926</v>
      </c>
      <c r="T30" s="890">
        <f>S30+P30</f>
        <v>1234926</v>
      </c>
    </row>
    <row r="31" spans="1:21" x14ac:dyDescent="0.25">
      <c r="A31" s="711"/>
      <c r="B31" s="696" t="s">
        <v>570</v>
      </c>
      <c r="C31" s="796" t="s">
        <v>713</v>
      </c>
      <c r="D31" s="797"/>
      <c r="E31" s="886">
        <v>200</v>
      </c>
      <c r="F31" s="796" t="s">
        <v>487</v>
      </c>
      <c r="G31" s="697"/>
      <c r="H31" s="887">
        <f t="shared" si="1"/>
        <v>134</v>
      </c>
      <c r="I31" s="888"/>
      <c r="J31" s="888">
        <v>134</v>
      </c>
      <c r="K31" s="697">
        <v>4.8600000000000003</v>
      </c>
      <c r="L31" s="697">
        <v>4.13</v>
      </c>
      <c r="M31" s="697">
        <f t="shared" si="2"/>
        <v>0.15020576131687249</v>
      </c>
      <c r="N31" s="888"/>
      <c r="O31" s="888"/>
      <c r="P31" s="888"/>
      <c r="Q31" s="888">
        <f>J31*K31*M31</f>
        <v>97.82000000000005</v>
      </c>
      <c r="R31" s="888">
        <v>18.149999999999999</v>
      </c>
      <c r="S31" s="888">
        <f t="shared" si="3"/>
        <v>1775433.0000000007</v>
      </c>
      <c r="T31" s="890">
        <f t="shared" si="4"/>
        <v>1775433.0000000007</v>
      </c>
    </row>
    <row r="32" spans="1:21" s="515" customFormat="1" x14ac:dyDescent="0.25">
      <c r="A32" s="1069"/>
      <c r="B32" s="696" t="s">
        <v>737</v>
      </c>
      <c r="C32" s="1073"/>
      <c r="D32" s="1070"/>
      <c r="E32" s="1079">
        <f>SUM(E33:E36)</f>
        <v>1444</v>
      </c>
      <c r="F32" s="1079">
        <f t="shared" ref="F32:T32" si="7">SUM(F33:F36)</f>
        <v>0</v>
      </c>
      <c r="G32" s="1079">
        <f t="shared" si="7"/>
        <v>0</v>
      </c>
      <c r="H32" s="1079">
        <f t="shared" si="7"/>
        <v>863</v>
      </c>
      <c r="I32" s="1079">
        <f t="shared" si="7"/>
        <v>50</v>
      </c>
      <c r="J32" s="1079">
        <f t="shared" si="7"/>
        <v>813</v>
      </c>
      <c r="K32" s="1079">
        <f t="shared" si="7"/>
        <v>19.440000000000001</v>
      </c>
      <c r="L32" s="1079">
        <f t="shared" si="7"/>
        <v>11.91</v>
      </c>
      <c r="M32" s="1079">
        <f t="shared" si="7"/>
        <v>1.5493827160493832</v>
      </c>
      <c r="N32" s="1079">
        <f t="shared" si="7"/>
        <v>0</v>
      </c>
      <c r="O32" s="1079">
        <f t="shared" si="7"/>
        <v>0</v>
      </c>
      <c r="P32" s="1079">
        <f t="shared" si="7"/>
        <v>0</v>
      </c>
      <c r="Q32" s="1079">
        <f t="shared" si="7"/>
        <v>1071.6900000000003</v>
      </c>
      <c r="R32" s="1079">
        <f t="shared" si="7"/>
        <v>72.599999999999994</v>
      </c>
      <c r="S32" s="1079">
        <f t="shared" si="7"/>
        <v>19451173.500000004</v>
      </c>
      <c r="T32" s="1079">
        <f t="shared" si="7"/>
        <v>19451173.500000004</v>
      </c>
    </row>
    <row r="33" spans="1:20" x14ac:dyDescent="0.25">
      <c r="A33" s="711"/>
      <c r="C33" s="796" t="s">
        <v>713</v>
      </c>
      <c r="D33" s="797"/>
      <c r="E33" s="886">
        <v>744</v>
      </c>
      <c r="F33" s="796" t="s">
        <v>487</v>
      </c>
      <c r="G33" s="697"/>
      <c r="H33" s="887">
        <f t="shared" si="1"/>
        <v>223</v>
      </c>
      <c r="I33" s="888"/>
      <c r="J33" s="888">
        <v>223</v>
      </c>
      <c r="K33" s="697">
        <v>4.8600000000000003</v>
      </c>
      <c r="L33" s="697">
        <v>4.13</v>
      </c>
      <c r="M33" s="697">
        <f t="shared" si="2"/>
        <v>0.15020576131687249</v>
      </c>
      <c r="N33" s="888"/>
      <c r="O33" s="888"/>
      <c r="P33" s="888"/>
      <c r="Q33" s="888">
        <f>J33*K33*M33</f>
        <v>162.79000000000008</v>
      </c>
      <c r="R33" s="888">
        <v>18.149999999999999</v>
      </c>
      <c r="S33" s="888">
        <f t="shared" si="3"/>
        <v>2954638.5000000014</v>
      </c>
      <c r="T33" s="890">
        <f t="shared" si="4"/>
        <v>2954638.5000000014</v>
      </c>
    </row>
    <row r="34" spans="1:20" x14ac:dyDescent="0.25">
      <c r="A34" s="711"/>
      <c r="B34" s="696"/>
      <c r="C34" s="697"/>
      <c r="D34" s="797"/>
      <c r="E34" s="886"/>
      <c r="F34" s="796" t="s">
        <v>487</v>
      </c>
      <c r="G34" s="697"/>
      <c r="H34" s="887">
        <f t="shared" si="1"/>
        <v>50</v>
      </c>
      <c r="I34" s="888">
        <v>50</v>
      </c>
      <c r="J34" s="888"/>
      <c r="K34" s="697">
        <v>4.8600000000000003</v>
      </c>
      <c r="L34" s="697">
        <v>0</v>
      </c>
      <c r="M34" s="697">
        <f t="shared" si="2"/>
        <v>1</v>
      </c>
      <c r="N34" s="888"/>
      <c r="O34" s="888"/>
      <c r="P34" s="888"/>
      <c r="Q34" s="888">
        <f>I34*K34*M34</f>
        <v>243.00000000000003</v>
      </c>
      <c r="R34" s="888">
        <v>18.149999999999999</v>
      </c>
      <c r="S34" s="888">
        <f t="shared" si="3"/>
        <v>4410450</v>
      </c>
      <c r="T34" s="890">
        <f t="shared" si="4"/>
        <v>4410450</v>
      </c>
    </row>
    <row r="35" spans="1:20" x14ac:dyDescent="0.25">
      <c r="A35" s="711"/>
      <c r="B35" s="696"/>
      <c r="C35" s="697"/>
      <c r="D35" s="797"/>
      <c r="E35" s="886">
        <v>500</v>
      </c>
      <c r="F35" s="891" t="s">
        <v>828</v>
      </c>
      <c r="G35" s="697"/>
      <c r="H35" s="887">
        <f t="shared" si="1"/>
        <v>490</v>
      </c>
      <c r="I35" s="888"/>
      <c r="J35" s="888">
        <v>490</v>
      </c>
      <c r="K35" s="697">
        <v>4.8600000000000003</v>
      </c>
      <c r="L35" s="697">
        <v>3.65</v>
      </c>
      <c r="M35" s="697">
        <f t="shared" si="2"/>
        <v>0.24897119341563792</v>
      </c>
      <c r="N35" s="888"/>
      <c r="O35" s="888"/>
      <c r="P35" s="888"/>
      <c r="Q35" s="888">
        <f>J35*K35*M35</f>
        <v>592.9000000000002</v>
      </c>
      <c r="R35" s="888">
        <v>18.149999999999999</v>
      </c>
      <c r="S35" s="888">
        <f t="shared" si="3"/>
        <v>10761135.000000002</v>
      </c>
      <c r="T35" s="890">
        <f t="shared" si="4"/>
        <v>10761135.000000002</v>
      </c>
    </row>
    <row r="36" spans="1:20" x14ac:dyDescent="0.25">
      <c r="A36" s="711"/>
      <c r="B36" s="696"/>
      <c r="C36" s="697"/>
      <c r="D36" s="797"/>
      <c r="E36" s="886">
        <v>200</v>
      </c>
      <c r="F36" s="796" t="s">
        <v>485</v>
      </c>
      <c r="G36" s="697"/>
      <c r="H36" s="887">
        <f t="shared" si="1"/>
        <v>100</v>
      </c>
      <c r="I36" s="888"/>
      <c r="J36" s="888">
        <v>100</v>
      </c>
      <c r="K36" s="697">
        <v>4.8600000000000003</v>
      </c>
      <c r="L36" s="697">
        <v>4.13</v>
      </c>
      <c r="M36" s="697">
        <f t="shared" si="2"/>
        <v>0.15020576131687249</v>
      </c>
      <c r="N36" s="888"/>
      <c r="O36" s="888"/>
      <c r="P36" s="888"/>
      <c r="Q36" s="888">
        <f>J36*K36*M36</f>
        <v>73.000000000000043</v>
      </c>
      <c r="R36" s="888">
        <v>18.149999999999999</v>
      </c>
      <c r="S36" s="888">
        <f t="shared" si="3"/>
        <v>1324950.0000000007</v>
      </c>
      <c r="T36" s="890">
        <f t="shared" si="4"/>
        <v>1324950.0000000007</v>
      </c>
    </row>
    <row r="37" spans="1:20" s="515" customFormat="1" x14ac:dyDescent="0.25">
      <c r="A37" s="1069"/>
      <c r="B37" s="696" t="s">
        <v>829</v>
      </c>
      <c r="C37" s="751"/>
      <c r="D37" s="1070"/>
      <c r="E37" s="1079">
        <f>SUM(E38:E39)</f>
        <v>500</v>
      </c>
      <c r="F37" s="1079">
        <f t="shared" ref="F37:T37" si="8">SUM(F38:F39)</f>
        <v>0</v>
      </c>
      <c r="G37" s="1079">
        <f t="shared" si="8"/>
        <v>0</v>
      </c>
      <c r="H37" s="1079">
        <f t="shared" si="8"/>
        <v>265</v>
      </c>
      <c r="I37" s="1079">
        <f t="shared" si="8"/>
        <v>0</v>
      </c>
      <c r="J37" s="1079">
        <f t="shared" si="8"/>
        <v>265</v>
      </c>
      <c r="K37" s="1079">
        <f t="shared" si="8"/>
        <v>9.7200000000000006</v>
      </c>
      <c r="L37" s="1079">
        <f t="shared" si="8"/>
        <v>7.7799999999999994</v>
      </c>
      <c r="M37" s="1079">
        <f t="shared" si="8"/>
        <v>0.39917695473251041</v>
      </c>
      <c r="N37" s="1079">
        <f t="shared" si="8"/>
        <v>0</v>
      </c>
      <c r="O37" s="1079">
        <f t="shared" si="8"/>
        <v>0</v>
      </c>
      <c r="P37" s="1079">
        <f t="shared" si="8"/>
        <v>0</v>
      </c>
      <c r="Q37" s="1079">
        <f t="shared" si="8"/>
        <v>272.65000000000009</v>
      </c>
      <c r="R37" s="1079">
        <f t="shared" si="8"/>
        <v>36.299999999999997</v>
      </c>
      <c r="S37" s="1079">
        <f t="shared" si="8"/>
        <v>4948597.5000000019</v>
      </c>
      <c r="T37" s="1079">
        <f t="shared" si="8"/>
        <v>4948597.5000000019</v>
      </c>
    </row>
    <row r="38" spans="1:20" x14ac:dyDescent="0.25">
      <c r="A38" s="711"/>
      <c r="C38" s="796" t="s">
        <v>713</v>
      </c>
      <c r="D38" s="797"/>
      <c r="E38" s="886">
        <v>235</v>
      </c>
      <c r="F38" s="796" t="s">
        <v>487</v>
      </c>
      <c r="G38" s="697"/>
      <c r="H38" s="887">
        <f t="shared" si="1"/>
        <v>100</v>
      </c>
      <c r="I38" s="888"/>
      <c r="J38" s="888">
        <v>100</v>
      </c>
      <c r="K38" s="697">
        <v>4.8600000000000003</v>
      </c>
      <c r="L38" s="697">
        <v>4.13</v>
      </c>
      <c r="M38" s="697">
        <f t="shared" si="2"/>
        <v>0.15020576131687249</v>
      </c>
      <c r="N38" s="888"/>
      <c r="O38" s="888"/>
      <c r="P38" s="888"/>
      <c r="Q38" s="888">
        <f>J38*K38*M38</f>
        <v>73.000000000000043</v>
      </c>
      <c r="R38" s="888">
        <v>18.149999999999999</v>
      </c>
      <c r="S38" s="888">
        <f t="shared" si="3"/>
        <v>1324950.0000000007</v>
      </c>
      <c r="T38" s="890">
        <f t="shared" si="4"/>
        <v>1324950.0000000007</v>
      </c>
    </row>
    <row r="39" spans="1:20" x14ac:dyDescent="0.25">
      <c r="A39" s="711"/>
      <c r="B39" s="696"/>
      <c r="C39" s="697"/>
      <c r="D39" s="797"/>
      <c r="E39" s="886">
        <v>265</v>
      </c>
      <c r="F39" s="891" t="s">
        <v>828</v>
      </c>
      <c r="G39" s="697"/>
      <c r="H39" s="887">
        <v>165</v>
      </c>
      <c r="I39" s="888"/>
      <c r="J39" s="888">
        <v>165</v>
      </c>
      <c r="K39" s="697">
        <v>4.8600000000000003</v>
      </c>
      <c r="L39" s="697">
        <v>3.65</v>
      </c>
      <c r="M39" s="697">
        <f t="shared" si="2"/>
        <v>0.24897119341563792</v>
      </c>
      <c r="N39" s="888"/>
      <c r="O39" s="888"/>
      <c r="P39" s="888"/>
      <c r="Q39" s="888">
        <f>J39*K39*M39</f>
        <v>199.65000000000006</v>
      </c>
      <c r="R39" s="888">
        <v>18.149999999999999</v>
      </c>
      <c r="S39" s="888">
        <f>Q39*R39*1000</f>
        <v>3623647.5000000009</v>
      </c>
      <c r="T39" s="890">
        <f>S39+P39</f>
        <v>3623647.5000000009</v>
      </c>
    </row>
    <row r="40" spans="1:20" s="515" customFormat="1" x14ac:dyDescent="0.25">
      <c r="A40" s="1069"/>
      <c r="B40" s="696" t="s">
        <v>733</v>
      </c>
      <c r="C40" s="751"/>
      <c r="D40" s="1070"/>
      <c r="E40" s="1079">
        <f>SUM(E41:E43)</f>
        <v>574</v>
      </c>
      <c r="F40" s="1079">
        <f t="shared" ref="F40:T40" si="9">SUM(F41:F43)</f>
        <v>0</v>
      </c>
      <c r="G40" s="1079">
        <f t="shared" si="9"/>
        <v>0</v>
      </c>
      <c r="H40" s="1079">
        <f t="shared" si="9"/>
        <v>359</v>
      </c>
      <c r="I40" s="1079">
        <f t="shared" si="9"/>
        <v>0</v>
      </c>
      <c r="J40" s="1079">
        <f t="shared" si="9"/>
        <v>359</v>
      </c>
      <c r="K40" s="1079">
        <f t="shared" si="9"/>
        <v>14.580000000000002</v>
      </c>
      <c r="L40" s="1079">
        <f t="shared" si="9"/>
        <v>11.91</v>
      </c>
      <c r="M40" s="1079">
        <f t="shared" si="9"/>
        <v>0.54938271604938294</v>
      </c>
      <c r="N40" s="1079">
        <f t="shared" si="9"/>
        <v>0</v>
      </c>
      <c r="O40" s="1079">
        <f t="shared" si="9"/>
        <v>0</v>
      </c>
      <c r="P40" s="1079">
        <f t="shared" si="9"/>
        <v>0</v>
      </c>
      <c r="Q40" s="1079">
        <f t="shared" si="9"/>
        <v>338.39000000000016</v>
      </c>
      <c r="R40" s="1079">
        <f t="shared" si="9"/>
        <v>54.449999999999996</v>
      </c>
      <c r="S40" s="1079">
        <f t="shared" si="9"/>
        <v>6141778.5000000028</v>
      </c>
      <c r="T40" s="1079">
        <f t="shared" si="9"/>
        <v>6141778.5000000028</v>
      </c>
    </row>
    <row r="41" spans="1:20" x14ac:dyDescent="0.25">
      <c r="A41" s="711"/>
      <c r="C41" s="796" t="s">
        <v>713</v>
      </c>
      <c r="D41" s="797"/>
      <c r="E41" s="886">
        <v>268</v>
      </c>
      <c r="F41" s="796" t="s">
        <v>487</v>
      </c>
      <c r="G41" s="697"/>
      <c r="H41" s="887">
        <f t="shared" si="1"/>
        <v>100</v>
      </c>
      <c r="I41" s="888"/>
      <c r="J41" s="888">
        <v>100</v>
      </c>
      <c r="K41" s="697">
        <v>4.8600000000000003</v>
      </c>
      <c r="L41" s="697">
        <v>4.13</v>
      </c>
      <c r="M41" s="697">
        <f t="shared" si="2"/>
        <v>0.15020576131687249</v>
      </c>
      <c r="N41" s="888"/>
      <c r="O41" s="888"/>
      <c r="P41" s="888"/>
      <c r="Q41" s="888">
        <f t="shared" si="6"/>
        <v>73.000000000000043</v>
      </c>
      <c r="R41" s="888">
        <v>18.149999999999999</v>
      </c>
      <c r="S41" s="888">
        <f t="shared" si="3"/>
        <v>1324950.0000000007</v>
      </c>
      <c r="T41" s="890">
        <f t="shared" si="4"/>
        <v>1324950.0000000007</v>
      </c>
    </row>
    <row r="42" spans="1:20" x14ac:dyDescent="0.25">
      <c r="A42" s="711"/>
      <c r="B42" s="696"/>
      <c r="C42" s="697"/>
      <c r="D42" s="797"/>
      <c r="E42" s="886">
        <v>159</v>
      </c>
      <c r="F42" s="891" t="s">
        <v>828</v>
      </c>
      <c r="G42" s="697"/>
      <c r="H42" s="887">
        <f t="shared" si="1"/>
        <v>159</v>
      </c>
      <c r="I42" s="888"/>
      <c r="J42" s="888">
        <v>159</v>
      </c>
      <c r="K42" s="697">
        <v>4.8600000000000003</v>
      </c>
      <c r="L42" s="697">
        <v>3.65</v>
      </c>
      <c r="M42" s="697">
        <f t="shared" si="2"/>
        <v>0.24897119341563792</v>
      </c>
      <c r="N42" s="888"/>
      <c r="O42" s="888"/>
      <c r="P42" s="888"/>
      <c r="Q42" s="888">
        <f t="shared" si="6"/>
        <v>192.39000000000004</v>
      </c>
      <c r="R42" s="888">
        <v>18.149999999999999</v>
      </c>
      <c r="S42" s="888">
        <f t="shared" si="3"/>
        <v>3491878.5000000009</v>
      </c>
      <c r="T42" s="890">
        <f t="shared" si="4"/>
        <v>3491878.5000000009</v>
      </c>
    </row>
    <row r="43" spans="1:20" x14ac:dyDescent="0.25">
      <c r="A43" s="711"/>
      <c r="B43" s="696"/>
      <c r="C43" s="697"/>
      <c r="D43" s="797"/>
      <c r="E43" s="886">
        <v>147</v>
      </c>
      <c r="F43" s="796" t="s">
        <v>485</v>
      </c>
      <c r="G43" s="697"/>
      <c r="H43" s="887">
        <f t="shared" si="1"/>
        <v>100</v>
      </c>
      <c r="I43" s="888"/>
      <c r="J43" s="888">
        <v>100</v>
      </c>
      <c r="K43" s="697">
        <v>4.8600000000000003</v>
      </c>
      <c r="L43" s="697">
        <v>4.13</v>
      </c>
      <c r="M43" s="697">
        <f t="shared" si="2"/>
        <v>0.15020576131687249</v>
      </c>
      <c r="N43" s="888"/>
      <c r="O43" s="888"/>
      <c r="P43" s="888"/>
      <c r="Q43" s="888">
        <f t="shared" si="6"/>
        <v>73.000000000000043</v>
      </c>
      <c r="R43" s="888">
        <v>18.149999999999999</v>
      </c>
      <c r="S43" s="888">
        <f t="shared" si="3"/>
        <v>1324950.0000000007</v>
      </c>
      <c r="T43" s="890">
        <f t="shared" si="4"/>
        <v>1324950.0000000007</v>
      </c>
    </row>
    <row r="44" spans="1:20" s="515" customFormat="1" x14ac:dyDescent="0.25">
      <c r="A44" s="1069"/>
      <c r="B44" s="696" t="s">
        <v>734</v>
      </c>
      <c r="C44" s="751"/>
      <c r="D44" s="1070"/>
      <c r="E44" s="1079">
        <f>SUM(E45:E46)</f>
        <v>110</v>
      </c>
      <c r="F44" s="1079">
        <f t="shared" ref="F44:T44" si="10">SUM(F45:F46)</f>
        <v>0</v>
      </c>
      <c r="G44" s="1079">
        <f t="shared" si="10"/>
        <v>0</v>
      </c>
      <c r="H44" s="1079">
        <f t="shared" si="10"/>
        <v>78.650000000000006</v>
      </c>
      <c r="I44" s="1079">
        <f t="shared" si="10"/>
        <v>5.65</v>
      </c>
      <c r="J44" s="1079">
        <f t="shared" si="10"/>
        <v>73</v>
      </c>
      <c r="K44" s="1079">
        <f t="shared" si="10"/>
        <v>9.7200000000000006</v>
      </c>
      <c r="L44" s="1079">
        <f t="shared" si="10"/>
        <v>4.13</v>
      </c>
      <c r="M44" s="1079">
        <f t="shared" si="10"/>
        <v>1.1502057613168726</v>
      </c>
      <c r="N44" s="1079">
        <f t="shared" si="10"/>
        <v>0</v>
      </c>
      <c r="O44" s="1079">
        <f t="shared" si="10"/>
        <v>0</v>
      </c>
      <c r="P44" s="1079">
        <f t="shared" si="10"/>
        <v>0</v>
      </c>
      <c r="Q44" s="1079">
        <f t="shared" si="10"/>
        <v>80.749000000000024</v>
      </c>
      <c r="R44" s="1079">
        <f t="shared" si="10"/>
        <v>36.299999999999997</v>
      </c>
      <c r="S44" s="1079">
        <f t="shared" si="10"/>
        <v>1465594.3500000006</v>
      </c>
      <c r="T44" s="1079">
        <f t="shared" si="10"/>
        <v>1465594.3500000006</v>
      </c>
    </row>
    <row r="45" spans="1:20" x14ac:dyDescent="0.25">
      <c r="A45" s="711"/>
      <c r="C45" s="796" t="s">
        <v>713</v>
      </c>
      <c r="D45" s="797"/>
      <c r="E45" s="886">
        <v>100</v>
      </c>
      <c r="F45" s="796" t="s">
        <v>487</v>
      </c>
      <c r="G45" s="697"/>
      <c r="H45" s="887">
        <f t="shared" si="1"/>
        <v>73</v>
      </c>
      <c r="I45" s="888"/>
      <c r="J45" s="888">
        <v>73</v>
      </c>
      <c r="K45" s="697">
        <v>4.8600000000000003</v>
      </c>
      <c r="L45" s="697">
        <v>4.13</v>
      </c>
      <c r="M45" s="697">
        <f t="shared" si="2"/>
        <v>0.15020576131687249</v>
      </c>
      <c r="N45" s="888"/>
      <c r="O45" s="888"/>
      <c r="P45" s="888"/>
      <c r="Q45" s="888">
        <f t="shared" si="6"/>
        <v>53.290000000000028</v>
      </c>
      <c r="R45" s="888">
        <v>18.149999999999999</v>
      </c>
      <c r="S45" s="888">
        <f t="shared" si="3"/>
        <v>967213.50000000047</v>
      </c>
      <c r="T45" s="890">
        <f t="shared" si="4"/>
        <v>967213.50000000047</v>
      </c>
    </row>
    <row r="46" spans="1:20" x14ac:dyDescent="0.25">
      <c r="A46" s="711"/>
      <c r="B46" s="696"/>
      <c r="C46" s="697"/>
      <c r="D46" s="797"/>
      <c r="E46" s="886">
        <v>10</v>
      </c>
      <c r="F46" s="891" t="s">
        <v>828</v>
      </c>
      <c r="G46" s="697"/>
      <c r="H46" s="887">
        <f t="shared" si="1"/>
        <v>5.65</v>
      </c>
      <c r="I46" s="888">
        <v>5.65</v>
      </c>
      <c r="J46" s="888"/>
      <c r="K46" s="697">
        <v>4.8600000000000003</v>
      </c>
      <c r="L46" s="697">
        <v>0</v>
      </c>
      <c r="M46" s="697">
        <f t="shared" si="2"/>
        <v>1</v>
      </c>
      <c r="N46" s="888"/>
      <c r="O46" s="888"/>
      <c r="P46" s="888"/>
      <c r="Q46" s="888">
        <f>I46*K46*M46</f>
        <v>27.459000000000003</v>
      </c>
      <c r="R46" s="888">
        <v>18.149999999999999</v>
      </c>
      <c r="S46" s="888">
        <f t="shared" si="3"/>
        <v>498380.85000000003</v>
      </c>
      <c r="T46" s="890">
        <f t="shared" si="4"/>
        <v>498380.85000000003</v>
      </c>
    </row>
    <row r="47" spans="1:20" s="515" customFormat="1" x14ac:dyDescent="0.25">
      <c r="A47" s="1069"/>
      <c r="B47" s="696" t="s">
        <v>719</v>
      </c>
      <c r="C47" s="751"/>
      <c r="D47" s="1070"/>
      <c r="E47" s="1079">
        <f>SUM(E48:E49)</f>
        <v>894</v>
      </c>
      <c r="F47" s="1079">
        <f t="shared" ref="F47:T47" si="11">SUM(F48:F49)</f>
        <v>0</v>
      </c>
      <c r="G47" s="1079">
        <f t="shared" si="11"/>
        <v>0</v>
      </c>
      <c r="H47" s="1079">
        <f t="shared" si="11"/>
        <v>203</v>
      </c>
      <c r="I47" s="1079">
        <f t="shared" si="11"/>
        <v>0</v>
      </c>
      <c r="J47" s="1079">
        <f t="shared" si="11"/>
        <v>203</v>
      </c>
      <c r="K47" s="1079">
        <f t="shared" si="11"/>
        <v>9.7200000000000006</v>
      </c>
      <c r="L47" s="1079">
        <f t="shared" si="11"/>
        <v>8.5</v>
      </c>
      <c r="M47" s="1079">
        <f t="shared" si="11"/>
        <v>0.25102880658436222</v>
      </c>
      <c r="N47" s="1079">
        <f t="shared" si="11"/>
        <v>68.600000000000037</v>
      </c>
      <c r="O47" s="1079">
        <f t="shared" si="11"/>
        <v>9817</v>
      </c>
      <c r="P47" s="1079">
        <f t="shared" si="11"/>
        <v>138569.17695473257</v>
      </c>
      <c r="Q47" s="1079">
        <f t="shared" si="11"/>
        <v>45.990000000000023</v>
      </c>
      <c r="R47" s="1079">
        <f t="shared" si="11"/>
        <v>18.149999999999999</v>
      </c>
      <c r="S47" s="1079">
        <f t="shared" si="11"/>
        <v>834718.50000000035</v>
      </c>
      <c r="T47" s="1079">
        <f t="shared" si="11"/>
        <v>973287.67695473297</v>
      </c>
    </row>
    <row r="48" spans="1:20" x14ac:dyDescent="0.25">
      <c r="A48" s="711"/>
      <c r="C48" s="796"/>
      <c r="D48" s="797"/>
      <c r="E48" s="886">
        <v>894</v>
      </c>
      <c r="F48" s="796" t="s">
        <v>539</v>
      </c>
      <c r="G48" s="697"/>
      <c r="H48" s="887">
        <f t="shared" si="1"/>
        <v>140</v>
      </c>
      <c r="I48" s="888"/>
      <c r="J48" s="888">
        <v>140</v>
      </c>
      <c r="K48" s="697">
        <v>4.8600000000000003</v>
      </c>
      <c r="L48" s="697">
        <v>4.37</v>
      </c>
      <c r="M48" s="697">
        <f t="shared" si="2"/>
        <v>0.10082304526748975</v>
      </c>
      <c r="N48" s="888">
        <f>J48*K48*M48</f>
        <v>68.600000000000037</v>
      </c>
      <c r="O48" s="888">
        <v>9817</v>
      </c>
      <c r="P48" s="888">
        <f>J48*M48*O48</f>
        <v>138569.17695473257</v>
      </c>
      <c r="Q48" s="888"/>
      <c r="R48" s="888"/>
      <c r="S48" s="888"/>
      <c r="T48" s="890">
        <f>P48</f>
        <v>138569.17695473257</v>
      </c>
    </row>
    <row r="49" spans="1:20" x14ac:dyDescent="0.25">
      <c r="A49" s="711"/>
      <c r="B49" s="696"/>
      <c r="C49" s="796"/>
      <c r="D49" s="797"/>
      <c r="E49" s="886"/>
      <c r="F49" s="796" t="s">
        <v>487</v>
      </c>
      <c r="G49" s="697"/>
      <c r="H49" s="887">
        <f t="shared" si="1"/>
        <v>63</v>
      </c>
      <c r="I49" s="888"/>
      <c r="J49" s="888">
        <v>63</v>
      </c>
      <c r="K49" s="697">
        <v>4.8600000000000003</v>
      </c>
      <c r="L49" s="697">
        <v>4.13</v>
      </c>
      <c r="M49" s="697">
        <f t="shared" si="2"/>
        <v>0.15020576131687249</v>
      </c>
      <c r="N49" s="888"/>
      <c r="O49" s="888"/>
      <c r="P49" s="888"/>
      <c r="Q49" s="888">
        <f>J49*K49*M49</f>
        <v>45.990000000000023</v>
      </c>
      <c r="R49" s="888">
        <v>18.149999999999999</v>
      </c>
      <c r="S49" s="888">
        <f>Q49*R49*1000</f>
        <v>834718.50000000035</v>
      </c>
      <c r="T49" s="890">
        <f>S49</f>
        <v>834718.50000000035</v>
      </c>
    </row>
    <row r="50" spans="1:20" s="515" customFormat="1" x14ac:dyDescent="0.25">
      <c r="A50" s="1069"/>
      <c r="B50" s="696" t="s">
        <v>724</v>
      </c>
      <c r="C50" s="1073"/>
      <c r="D50" s="1070"/>
      <c r="E50" s="1079">
        <f>SUM(E51:E58)</f>
        <v>769</v>
      </c>
      <c r="F50" s="1079">
        <f t="shared" ref="F50:T50" si="12">SUM(F51:F58)</f>
        <v>0</v>
      </c>
      <c r="G50" s="1079">
        <f t="shared" si="12"/>
        <v>0</v>
      </c>
      <c r="H50" s="1079">
        <f t="shared" si="12"/>
        <v>330.5</v>
      </c>
      <c r="I50" s="1079">
        <f t="shared" si="12"/>
        <v>9.5</v>
      </c>
      <c r="J50" s="1079">
        <f t="shared" si="12"/>
        <v>321</v>
      </c>
      <c r="K50" s="1079">
        <f t="shared" si="12"/>
        <v>38.049999999999997</v>
      </c>
      <c r="L50" s="1079">
        <f t="shared" si="12"/>
        <v>19.911999999999999</v>
      </c>
      <c r="M50" s="1079">
        <f t="shared" si="12"/>
        <v>3.7502057613168724</v>
      </c>
      <c r="N50" s="1079">
        <f t="shared" si="12"/>
        <v>77.794000000000011</v>
      </c>
      <c r="O50" s="1079">
        <f t="shared" si="12"/>
        <v>29445</v>
      </c>
      <c r="P50" s="1079">
        <f t="shared" si="12"/>
        <v>167836.5</v>
      </c>
      <c r="Q50" s="1079">
        <f t="shared" si="12"/>
        <v>213.90000000000003</v>
      </c>
      <c r="R50" s="1079">
        <f t="shared" si="12"/>
        <v>90.75</v>
      </c>
      <c r="S50" s="1079">
        <f t="shared" si="12"/>
        <v>3882285.0000000005</v>
      </c>
      <c r="T50" s="1079">
        <f t="shared" si="12"/>
        <v>4050121.5000000005</v>
      </c>
    </row>
    <row r="51" spans="1:20" x14ac:dyDescent="0.25">
      <c r="A51" s="711"/>
      <c r="C51" s="796" t="s">
        <v>716</v>
      </c>
      <c r="D51" s="797"/>
      <c r="E51" s="886">
        <v>465</v>
      </c>
      <c r="F51" s="891" t="s">
        <v>539</v>
      </c>
      <c r="G51" s="697"/>
      <c r="H51" s="887">
        <v>64</v>
      </c>
      <c r="I51" s="888"/>
      <c r="J51" s="888">
        <v>64</v>
      </c>
      <c r="K51" s="697">
        <v>4.03</v>
      </c>
      <c r="L51" s="697">
        <v>3.6269999999999998</v>
      </c>
      <c r="M51" s="697">
        <v>0.1</v>
      </c>
      <c r="N51" s="888">
        <f>K51*J51*M51</f>
        <v>25.792000000000002</v>
      </c>
      <c r="O51" s="888">
        <v>9815</v>
      </c>
      <c r="P51" s="888">
        <f>O51*M51*J51</f>
        <v>62816</v>
      </c>
      <c r="Q51" s="888"/>
      <c r="R51" s="888"/>
      <c r="S51" s="888"/>
      <c r="T51" s="890">
        <f>S51+P51</f>
        <v>62816</v>
      </c>
    </row>
    <row r="52" spans="1:20" x14ac:dyDescent="0.25">
      <c r="A52" s="711"/>
      <c r="B52" s="696"/>
      <c r="C52" s="796" t="s">
        <v>713</v>
      </c>
      <c r="D52" s="797"/>
      <c r="E52" s="886"/>
      <c r="F52" s="891" t="s">
        <v>539</v>
      </c>
      <c r="G52" s="697"/>
      <c r="H52" s="887">
        <v>3</v>
      </c>
      <c r="I52" s="888">
        <v>3</v>
      </c>
      <c r="J52" s="888"/>
      <c r="K52" s="697">
        <v>4.8600000000000003</v>
      </c>
      <c r="L52" s="697">
        <v>0</v>
      </c>
      <c r="M52" s="697">
        <v>1</v>
      </c>
      <c r="N52" s="888">
        <f>K52*I52*M52</f>
        <v>14.580000000000002</v>
      </c>
      <c r="O52" s="888">
        <v>9815</v>
      </c>
      <c r="P52" s="888">
        <f>O52*M52*I52</f>
        <v>29445</v>
      </c>
      <c r="Q52" s="888"/>
      <c r="R52" s="888"/>
      <c r="S52" s="888"/>
      <c r="T52" s="890">
        <f>S52+P52</f>
        <v>29445</v>
      </c>
    </row>
    <row r="53" spans="1:20" x14ac:dyDescent="0.25">
      <c r="A53" s="711"/>
      <c r="B53" s="696"/>
      <c r="C53" s="796" t="s">
        <v>713</v>
      </c>
      <c r="D53" s="797"/>
      <c r="E53" s="886">
        <v>100</v>
      </c>
      <c r="F53" s="891" t="s">
        <v>539</v>
      </c>
      <c r="G53" s="697"/>
      <c r="H53" s="887">
        <f>I53+J53</f>
        <v>77</v>
      </c>
      <c r="I53" s="888"/>
      <c r="J53" s="888">
        <v>77</v>
      </c>
      <c r="K53" s="697">
        <v>4.8600000000000003</v>
      </c>
      <c r="L53" s="697">
        <v>4.3739999999999997</v>
      </c>
      <c r="M53" s="697">
        <v>0.1</v>
      </c>
      <c r="N53" s="888">
        <f>K53*J53*M53</f>
        <v>37.422000000000004</v>
      </c>
      <c r="O53" s="888">
        <v>9815</v>
      </c>
      <c r="P53" s="888">
        <f>O53*M53*J53</f>
        <v>75575.5</v>
      </c>
      <c r="Q53" s="888"/>
      <c r="R53" s="888"/>
      <c r="S53" s="888"/>
      <c r="T53" s="890">
        <f>S53+P53</f>
        <v>75575.5</v>
      </c>
    </row>
    <row r="54" spans="1:20" x14ac:dyDescent="0.25">
      <c r="A54" s="711"/>
      <c r="B54" s="696"/>
      <c r="C54" s="796"/>
      <c r="D54" s="797"/>
      <c r="E54" s="886">
        <v>105</v>
      </c>
      <c r="F54" s="891" t="s">
        <v>828</v>
      </c>
      <c r="G54" s="697"/>
      <c r="H54" s="887">
        <v>105</v>
      </c>
      <c r="I54" s="888"/>
      <c r="J54" s="888">
        <v>105</v>
      </c>
      <c r="K54" s="697">
        <v>4.8600000000000003</v>
      </c>
      <c r="L54" s="697">
        <v>3.65</v>
      </c>
      <c r="M54" s="697">
        <v>0.25</v>
      </c>
      <c r="N54" s="888"/>
      <c r="O54" s="888"/>
      <c r="P54" s="888"/>
      <c r="Q54" s="888">
        <f>J54*K54*M54</f>
        <v>127.575</v>
      </c>
      <c r="R54" s="888">
        <v>18.149999999999999</v>
      </c>
      <c r="S54" s="888">
        <f t="shared" ref="S54:S58" si="13">Q54*R54*1000</f>
        <v>2315486.25</v>
      </c>
      <c r="T54" s="890">
        <f t="shared" ref="T54:T58" si="14">S54+P54</f>
        <v>2315486.25</v>
      </c>
    </row>
    <row r="55" spans="1:20" x14ac:dyDescent="0.25">
      <c r="A55" s="711"/>
      <c r="B55" s="696"/>
      <c r="C55" s="796"/>
      <c r="D55" s="797"/>
      <c r="E55" s="886"/>
      <c r="F55" s="891" t="s">
        <v>828</v>
      </c>
      <c r="G55" s="697"/>
      <c r="H55" s="887">
        <v>4.5</v>
      </c>
      <c r="I55" s="888">
        <v>4.5</v>
      </c>
      <c r="J55" s="888"/>
      <c r="K55" s="697">
        <v>4.8600000000000003</v>
      </c>
      <c r="L55" s="697">
        <v>0</v>
      </c>
      <c r="M55" s="697">
        <v>1</v>
      </c>
      <c r="N55" s="888"/>
      <c r="O55" s="888"/>
      <c r="P55" s="888"/>
      <c r="Q55" s="888">
        <f>I55*K55*M55</f>
        <v>21.87</v>
      </c>
      <c r="R55" s="888">
        <v>18.149999999999999</v>
      </c>
      <c r="S55" s="888">
        <f t="shared" si="13"/>
        <v>396940.5</v>
      </c>
      <c r="T55" s="890">
        <f t="shared" si="14"/>
        <v>396940.5</v>
      </c>
    </row>
    <row r="56" spans="1:20" x14ac:dyDescent="0.25">
      <c r="A56" s="711"/>
      <c r="B56" s="696"/>
      <c r="C56" s="796"/>
      <c r="D56" s="797"/>
      <c r="E56" s="886">
        <v>15</v>
      </c>
      <c r="F56" s="891" t="s">
        <v>485</v>
      </c>
      <c r="G56" s="697"/>
      <c r="H56" s="887">
        <v>15</v>
      </c>
      <c r="I56" s="888"/>
      <c r="J56" s="888">
        <v>15</v>
      </c>
      <c r="K56" s="697">
        <v>4.8600000000000003</v>
      </c>
      <c r="L56" s="697">
        <f>K56-(K56*M56)</f>
        <v>4.1310000000000002</v>
      </c>
      <c r="M56" s="697">
        <v>0.15</v>
      </c>
      <c r="N56" s="888"/>
      <c r="O56" s="888"/>
      <c r="P56" s="888"/>
      <c r="Q56" s="888">
        <f>J56*K56*M56</f>
        <v>10.935</v>
      </c>
      <c r="R56" s="888">
        <v>18.149999999999999</v>
      </c>
      <c r="S56" s="888">
        <f t="shared" si="13"/>
        <v>198470.25</v>
      </c>
      <c r="T56" s="890">
        <f t="shared" si="14"/>
        <v>198470.25</v>
      </c>
    </row>
    <row r="57" spans="1:20" x14ac:dyDescent="0.25">
      <c r="A57" s="711"/>
      <c r="B57" s="696"/>
      <c r="C57" s="796"/>
      <c r="D57" s="797"/>
      <c r="E57" s="886"/>
      <c r="F57" s="891" t="s">
        <v>485</v>
      </c>
      <c r="G57" s="697"/>
      <c r="H57" s="887">
        <v>2</v>
      </c>
      <c r="I57" s="888">
        <v>2</v>
      </c>
      <c r="J57" s="888"/>
      <c r="K57" s="697">
        <v>4.8600000000000003</v>
      </c>
      <c r="L57" s="697">
        <f>K57-(K57*M57)</f>
        <v>0</v>
      </c>
      <c r="M57" s="697">
        <v>1</v>
      </c>
      <c r="N57" s="888"/>
      <c r="O57" s="888"/>
      <c r="P57" s="888"/>
      <c r="Q57" s="888">
        <f t="shared" ref="Q57" si="15">I57*K57*M57</f>
        <v>9.7200000000000006</v>
      </c>
      <c r="R57" s="888">
        <v>18.149999999999999</v>
      </c>
      <c r="S57" s="888">
        <f t="shared" si="13"/>
        <v>176418</v>
      </c>
      <c r="T57" s="890">
        <f t="shared" si="14"/>
        <v>176418</v>
      </c>
    </row>
    <row r="58" spans="1:20" x14ac:dyDescent="0.25">
      <c r="A58" s="711"/>
      <c r="B58" s="696"/>
      <c r="C58" s="796"/>
      <c r="D58" s="797"/>
      <c r="E58" s="886">
        <v>84</v>
      </c>
      <c r="F58" s="796" t="s">
        <v>487</v>
      </c>
      <c r="G58" s="697"/>
      <c r="H58" s="887">
        <f>I58+J58</f>
        <v>60</v>
      </c>
      <c r="I58" s="888"/>
      <c r="J58" s="888">
        <v>60</v>
      </c>
      <c r="K58" s="697">
        <v>4.8600000000000003</v>
      </c>
      <c r="L58" s="697">
        <v>4.13</v>
      </c>
      <c r="M58" s="697">
        <f>(K58-L58)/K58</f>
        <v>0.15020576131687249</v>
      </c>
      <c r="N58" s="888"/>
      <c r="O58" s="888"/>
      <c r="P58" s="888"/>
      <c r="Q58" s="888">
        <f>J58*K58*M58</f>
        <v>43.800000000000026</v>
      </c>
      <c r="R58" s="888">
        <v>18.149999999999999</v>
      </c>
      <c r="S58" s="888">
        <f t="shared" si="13"/>
        <v>794970.00000000035</v>
      </c>
      <c r="T58" s="890">
        <f t="shared" si="14"/>
        <v>794970.00000000035</v>
      </c>
    </row>
    <row r="59" spans="1:20" s="515" customFormat="1" x14ac:dyDescent="0.25">
      <c r="A59" s="1069"/>
      <c r="B59" s="696" t="s">
        <v>721</v>
      </c>
      <c r="C59" s="1073"/>
      <c r="D59" s="1070"/>
      <c r="E59" s="1079">
        <f>SUM(E60:E61)</f>
        <v>648</v>
      </c>
      <c r="F59" s="1079">
        <f t="shared" ref="F59:T59" si="16">SUM(F60:F61)</f>
        <v>0</v>
      </c>
      <c r="G59" s="1079">
        <f t="shared" si="16"/>
        <v>0</v>
      </c>
      <c r="H59" s="1079">
        <f t="shared" si="16"/>
        <v>196</v>
      </c>
      <c r="I59" s="1079">
        <f t="shared" si="16"/>
        <v>0</v>
      </c>
      <c r="J59" s="1079">
        <f t="shared" si="16"/>
        <v>196</v>
      </c>
      <c r="K59" s="1079">
        <f t="shared" si="16"/>
        <v>9.7200000000000006</v>
      </c>
      <c r="L59" s="1079">
        <f t="shared" si="16"/>
        <v>8.5039999999999996</v>
      </c>
      <c r="M59" s="1079">
        <f t="shared" si="16"/>
        <v>0.2502057613168725</v>
      </c>
      <c r="N59" s="1079">
        <f t="shared" si="16"/>
        <v>54.918000000000006</v>
      </c>
      <c r="O59" s="1079">
        <f t="shared" si="16"/>
        <v>9815</v>
      </c>
      <c r="P59" s="1079">
        <f t="shared" si="16"/>
        <v>110909.5</v>
      </c>
      <c r="Q59" s="1079">
        <f t="shared" si="16"/>
        <v>60.590000000000032</v>
      </c>
      <c r="R59" s="1079">
        <f t="shared" si="16"/>
        <v>18.149999999999999</v>
      </c>
      <c r="S59" s="1079">
        <f t="shared" si="16"/>
        <v>1099708.5000000005</v>
      </c>
      <c r="T59" s="1079">
        <f t="shared" si="16"/>
        <v>1210618.0000000005</v>
      </c>
    </row>
    <row r="60" spans="1:20" x14ac:dyDescent="0.25">
      <c r="A60" s="711"/>
      <c r="C60" s="796" t="s">
        <v>713</v>
      </c>
      <c r="D60" s="797"/>
      <c r="E60" s="886">
        <v>83</v>
      </c>
      <c r="F60" s="796" t="s">
        <v>487</v>
      </c>
      <c r="G60" s="697"/>
      <c r="H60" s="888">
        <f t="shared" si="1"/>
        <v>83</v>
      </c>
      <c r="I60" s="888"/>
      <c r="J60" s="888">
        <v>83</v>
      </c>
      <c r="K60" s="697">
        <v>4.8600000000000003</v>
      </c>
      <c r="L60" s="697">
        <v>4.13</v>
      </c>
      <c r="M60" s="697">
        <f t="shared" si="2"/>
        <v>0.15020576131687249</v>
      </c>
      <c r="N60" s="888"/>
      <c r="O60" s="888"/>
      <c r="P60" s="888"/>
      <c r="Q60" s="888">
        <f t="shared" si="6"/>
        <v>60.590000000000032</v>
      </c>
      <c r="R60" s="888">
        <v>18.149999999999999</v>
      </c>
      <c r="S60" s="888">
        <f t="shared" si="3"/>
        <v>1099708.5000000005</v>
      </c>
      <c r="T60" s="890">
        <f t="shared" si="4"/>
        <v>1099708.5000000005</v>
      </c>
    </row>
    <row r="61" spans="1:20" x14ac:dyDescent="0.25">
      <c r="A61" s="711"/>
      <c r="B61" s="696"/>
      <c r="C61" s="796"/>
      <c r="D61" s="797"/>
      <c r="E61" s="886">
        <v>565</v>
      </c>
      <c r="F61" s="891" t="s">
        <v>539</v>
      </c>
      <c r="G61" s="697"/>
      <c r="H61" s="887">
        <f t="shared" si="1"/>
        <v>113</v>
      </c>
      <c r="I61" s="888"/>
      <c r="J61" s="888">
        <v>113</v>
      </c>
      <c r="K61" s="697">
        <v>4.8600000000000003</v>
      </c>
      <c r="L61" s="697">
        <v>4.3739999999999997</v>
      </c>
      <c r="M61" s="697">
        <v>0.1</v>
      </c>
      <c r="N61" s="888">
        <f>K61*J61*M61</f>
        <v>54.918000000000006</v>
      </c>
      <c r="O61" s="888">
        <v>9815</v>
      </c>
      <c r="P61" s="888">
        <f>O61*M61*J61</f>
        <v>110909.5</v>
      </c>
      <c r="Q61" s="888"/>
      <c r="R61" s="888"/>
      <c r="S61" s="888"/>
      <c r="T61" s="890">
        <f>S61+P61</f>
        <v>110909.5</v>
      </c>
    </row>
    <row r="62" spans="1:20" s="515" customFormat="1" x14ac:dyDescent="0.25">
      <c r="A62" s="1069"/>
      <c r="B62" s="696" t="s">
        <v>723</v>
      </c>
      <c r="C62" s="1073"/>
      <c r="D62" s="1070"/>
      <c r="E62" s="1079">
        <f>SUM(E63:E70)</f>
        <v>1181</v>
      </c>
      <c r="F62" s="1079">
        <f t="shared" ref="F62:T62" si="17">SUM(F63:F70)</f>
        <v>0</v>
      </c>
      <c r="G62" s="1079">
        <f t="shared" si="17"/>
        <v>0</v>
      </c>
      <c r="H62" s="1079">
        <f t="shared" si="17"/>
        <v>304.5</v>
      </c>
      <c r="I62" s="1079">
        <f t="shared" si="17"/>
        <v>23</v>
      </c>
      <c r="J62" s="1079">
        <f t="shared" si="17"/>
        <v>281.5</v>
      </c>
      <c r="K62" s="1079">
        <f t="shared" si="17"/>
        <v>38.880000000000003</v>
      </c>
      <c r="L62" s="1079">
        <f t="shared" si="17"/>
        <v>16.280999999999999</v>
      </c>
      <c r="M62" s="1079">
        <f t="shared" si="17"/>
        <v>4.6500000000000004</v>
      </c>
      <c r="N62" s="1079">
        <f t="shared" si="17"/>
        <v>35.478000000000002</v>
      </c>
      <c r="O62" s="1079">
        <f t="shared" si="17"/>
        <v>19631</v>
      </c>
      <c r="P62" s="1079">
        <f t="shared" si="17"/>
        <v>71651.3</v>
      </c>
      <c r="Q62" s="1079">
        <f t="shared" si="17"/>
        <v>373.36950000000002</v>
      </c>
      <c r="R62" s="1079">
        <f t="shared" si="17"/>
        <v>108.9</v>
      </c>
      <c r="S62" s="1079">
        <f t="shared" si="17"/>
        <v>6776656.4249999998</v>
      </c>
      <c r="T62" s="1079">
        <f t="shared" si="17"/>
        <v>6848307.7249999996</v>
      </c>
    </row>
    <row r="63" spans="1:20" x14ac:dyDescent="0.25">
      <c r="A63" s="711"/>
      <c r="C63" s="796" t="s">
        <v>713</v>
      </c>
      <c r="D63" s="797"/>
      <c r="E63" s="886"/>
      <c r="F63" s="891" t="s">
        <v>539</v>
      </c>
      <c r="G63" s="697"/>
      <c r="H63" s="887">
        <v>5.5</v>
      </c>
      <c r="I63" s="888">
        <v>5.5</v>
      </c>
      <c r="J63" s="888"/>
      <c r="K63" s="697">
        <v>4.8600000000000003</v>
      </c>
      <c r="L63" s="697">
        <v>0</v>
      </c>
      <c r="M63" s="697">
        <v>1</v>
      </c>
      <c r="N63" s="888">
        <f>K63*I63*M63</f>
        <v>26.73</v>
      </c>
      <c r="O63" s="888">
        <v>9815</v>
      </c>
      <c r="P63" s="888">
        <f>O63*M63*I63</f>
        <v>53982.5</v>
      </c>
      <c r="Q63" s="888"/>
      <c r="R63" s="888"/>
      <c r="S63" s="888"/>
      <c r="T63" s="890">
        <f>S63+P63</f>
        <v>53982.5</v>
      </c>
    </row>
    <row r="64" spans="1:20" x14ac:dyDescent="0.25">
      <c r="A64" s="711"/>
      <c r="B64" s="696"/>
      <c r="C64" s="697"/>
      <c r="D64" s="797"/>
      <c r="E64" s="886">
        <v>691</v>
      </c>
      <c r="F64" s="891" t="s">
        <v>539</v>
      </c>
      <c r="G64" s="697"/>
      <c r="H64" s="887">
        <v>18</v>
      </c>
      <c r="I64" s="888"/>
      <c r="J64" s="888">
        <v>18</v>
      </c>
      <c r="K64" s="697">
        <v>4.8600000000000003</v>
      </c>
      <c r="L64" s="697">
        <v>4.3739999999999997</v>
      </c>
      <c r="M64" s="697">
        <v>0.1</v>
      </c>
      <c r="N64" s="888">
        <f>K64*J64*M64</f>
        <v>8.7480000000000011</v>
      </c>
      <c r="O64" s="888">
        <v>9816</v>
      </c>
      <c r="P64" s="888">
        <f>O64*M64*J64</f>
        <v>17668.8</v>
      </c>
      <c r="Q64" s="888"/>
      <c r="R64" s="888"/>
      <c r="S64" s="888"/>
      <c r="T64" s="890">
        <f>S64+P64</f>
        <v>17668.8</v>
      </c>
    </row>
    <row r="65" spans="1:20" x14ac:dyDescent="0.25">
      <c r="A65" s="711"/>
      <c r="B65" s="696"/>
      <c r="C65" s="697"/>
      <c r="D65" s="797"/>
      <c r="E65" s="886">
        <v>253</v>
      </c>
      <c r="F65" s="891" t="s">
        <v>487</v>
      </c>
      <c r="G65" s="697"/>
      <c r="H65" s="887">
        <v>65</v>
      </c>
      <c r="I65" s="888"/>
      <c r="J65" s="888">
        <v>65</v>
      </c>
      <c r="K65" s="697">
        <v>4.8600000000000003</v>
      </c>
      <c r="L65" s="697">
        <f>K65-(K65*M65)</f>
        <v>4.1310000000000002</v>
      </c>
      <c r="M65" s="697">
        <v>0.15</v>
      </c>
      <c r="N65" s="888"/>
      <c r="O65" s="888"/>
      <c r="P65" s="888"/>
      <c r="Q65" s="888">
        <f t="shared" ref="Q65" si="18">J65*K65*M65</f>
        <v>47.385000000000005</v>
      </c>
      <c r="R65" s="888">
        <v>18.149999999999999</v>
      </c>
      <c r="S65" s="888">
        <f t="shared" ref="S65:S70" si="19">Q65*R65*1000</f>
        <v>860037.75000000012</v>
      </c>
      <c r="T65" s="890">
        <f t="shared" ref="T65:T70" si="20">S65+P65</f>
        <v>860037.75000000012</v>
      </c>
    </row>
    <row r="66" spans="1:20" x14ac:dyDescent="0.25">
      <c r="A66" s="711"/>
      <c r="B66" s="696"/>
      <c r="C66" s="697"/>
      <c r="D66" s="797"/>
      <c r="E66" s="886"/>
      <c r="F66" s="891" t="s">
        <v>487</v>
      </c>
      <c r="G66" s="697"/>
      <c r="H66" s="887">
        <v>6.3</v>
      </c>
      <c r="I66" s="888">
        <v>6.3</v>
      </c>
      <c r="J66" s="888"/>
      <c r="K66" s="697">
        <v>4.8600000000000003</v>
      </c>
      <c r="L66" s="697">
        <f>K66-(K66*M66)</f>
        <v>0</v>
      </c>
      <c r="M66" s="697">
        <v>1</v>
      </c>
      <c r="N66" s="888"/>
      <c r="O66" s="888"/>
      <c r="P66" s="888"/>
      <c r="Q66" s="888">
        <f>I66*K66*M66</f>
        <v>30.618000000000002</v>
      </c>
      <c r="R66" s="888">
        <v>18.149999999999999</v>
      </c>
      <c r="S66" s="888">
        <f t="shared" si="19"/>
        <v>555716.69999999995</v>
      </c>
      <c r="T66" s="890">
        <f t="shared" si="20"/>
        <v>555716.69999999995</v>
      </c>
    </row>
    <row r="67" spans="1:20" x14ac:dyDescent="0.25">
      <c r="A67" s="711"/>
      <c r="B67" s="696"/>
      <c r="C67" s="697"/>
      <c r="D67" s="797"/>
      <c r="E67" s="886">
        <v>15</v>
      </c>
      <c r="F67" s="891" t="s">
        <v>485</v>
      </c>
      <c r="G67" s="697"/>
      <c r="H67" s="887">
        <v>0.5</v>
      </c>
      <c r="I67" s="888"/>
      <c r="J67" s="888">
        <v>0.5</v>
      </c>
      <c r="K67" s="697">
        <v>4.8600000000000003</v>
      </c>
      <c r="L67" s="697">
        <f t="shared" ref="L67:L70" si="21">K67-(K67*M67)</f>
        <v>4.1310000000000002</v>
      </c>
      <c r="M67" s="697">
        <v>0.15</v>
      </c>
      <c r="N67" s="888"/>
      <c r="O67" s="888"/>
      <c r="P67" s="888"/>
      <c r="Q67" s="888">
        <f>J67*K67*M67</f>
        <v>0.36449999999999999</v>
      </c>
      <c r="R67" s="888">
        <v>18.149999999999999</v>
      </c>
      <c r="S67" s="888">
        <f t="shared" si="19"/>
        <v>6615.6749999999993</v>
      </c>
      <c r="T67" s="890">
        <f t="shared" si="20"/>
        <v>6615.6749999999993</v>
      </c>
    </row>
    <row r="68" spans="1:20" x14ac:dyDescent="0.25">
      <c r="A68" s="711"/>
      <c r="B68" s="696"/>
      <c r="C68" s="697"/>
      <c r="D68" s="797"/>
      <c r="E68" s="886"/>
      <c r="F68" s="891" t="s">
        <v>485</v>
      </c>
      <c r="G68" s="697"/>
      <c r="H68" s="887">
        <v>7</v>
      </c>
      <c r="I68" s="888">
        <v>7</v>
      </c>
      <c r="J68" s="888"/>
      <c r="K68" s="697">
        <v>4.8600000000000003</v>
      </c>
      <c r="L68" s="697">
        <f t="shared" si="21"/>
        <v>0</v>
      </c>
      <c r="M68" s="697">
        <v>1</v>
      </c>
      <c r="N68" s="888"/>
      <c r="O68" s="888"/>
      <c r="P68" s="888"/>
      <c r="Q68" s="888">
        <f t="shared" ref="Q68" si="22">I68*K68*M68</f>
        <v>34.020000000000003</v>
      </c>
      <c r="R68" s="888">
        <v>18.149999999999999</v>
      </c>
      <c r="S68" s="888">
        <f t="shared" si="19"/>
        <v>617463</v>
      </c>
      <c r="T68" s="890">
        <f t="shared" si="20"/>
        <v>617463</v>
      </c>
    </row>
    <row r="69" spans="1:20" x14ac:dyDescent="0.25">
      <c r="A69" s="711"/>
      <c r="B69" s="696"/>
      <c r="C69" s="697"/>
      <c r="D69" s="797"/>
      <c r="E69" s="886">
        <v>222</v>
      </c>
      <c r="F69" s="891" t="s">
        <v>828</v>
      </c>
      <c r="G69" s="697"/>
      <c r="H69" s="887">
        <v>198</v>
      </c>
      <c r="I69" s="888"/>
      <c r="J69" s="888">
        <v>198</v>
      </c>
      <c r="K69" s="697">
        <v>4.8600000000000003</v>
      </c>
      <c r="L69" s="697">
        <f t="shared" si="21"/>
        <v>3.6450000000000005</v>
      </c>
      <c r="M69" s="697">
        <v>0.25</v>
      </c>
      <c r="N69" s="888"/>
      <c r="O69" s="888"/>
      <c r="P69" s="888"/>
      <c r="Q69" s="888">
        <f>J69*K69*M69</f>
        <v>240.57000000000002</v>
      </c>
      <c r="R69" s="888">
        <v>18.149999999999999</v>
      </c>
      <c r="S69" s="888">
        <f t="shared" si="19"/>
        <v>4366345.5</v>
      </c>
      <c r="T69" s="890">
        <f t="shared" si="20"/>
        <v>4366345.5</v>
      </c>
    </row>
    <row r="70" spans="1:20" x14ac:dyDescent="0.25">
      <c r="A70" s="711"/>
      <c r="B70" s="696"/>
      <c r="C70" s="697"/>
      <c r="D70" s="797"/>
      <c r="E70" s="886"/>
      <c r="F70" s="891" t="s">
        <v>828</v>
      </c>
      <c r="G70" s="697"/>
      <c r="H70" s="887">
        <v>4.2</v>
      </c>
      <c r="I70" s="888">
        <v>4.2</v>
      </c>
      <c r="J70" s="888"/>
      <c r="K70" s="697">
        <v>4.8600000000000003</v>
      </c>
      <c r="L70" s="697">
        <f t="shared" si="21"/>
        <v>0</v>
      </c>
      <c r="M70" s="697">
        <v>1</v>
      </c>
      <c r="N70" s="888"/>
      <c r="O70" s="888"/>
      <c r="P70" s="888"/>
      <c r="Q70" s="888">
        <f t="shared" ref="Q70" si="23">I70*K70*M70</f>
        <v>20.412000000000003</v>
      </c>
      <c r="R70" s="888">
        <v>18.149999999999999</v>
      </c>
      <c r="S70" s="888">
        <f t="shared" si="19"/>
        <v>370477.8</v>
      </c>
      <c r="T70" s="890">
        <f t="shared" si="20"/>
        <v>370477.8</v>
      </c>
    </row>
    <row r="71" spans="1:20" s="515" customFormat="1" x14ac:dyDescent="0.25">
      <c r="A71" s="1069"/>
      <c r="B71" s="696" t="s">
        <v>728</v>
      </c>
      <c r="C71" s="751"/>
      <c r="D71" s="1070"/>
      <c r="E71" s="1079">
        <f>SUM(E72:E73)</f>
        <v>40</v>
      </c>
      <c r="F71" s="1079">
        <f t="shared" ref="F71:T71" si="24">SUM(F72:F73)</f>
        <v>0</v>
      </c>
      <c r="G71" s="1079">
        <f t="shared" si="24"/>
        <v>0</v>
      </c>
      <c r="H71" s="1079">
        <f t="shared" si="24"/>
        <v>32</v>
      </c>
      <c r="I71" s="1079">
        <f t="shared" si="24"/>
        <v>5</v>
      </c>
      <c r="J71" s="1079">
        <f t="shared" si="24"/>
        <v>27</v>
      </c>
      <c r="K71" s="1079">
        <f t="shared" si="24"/>
        <v>9.7200000000000006</v>
      </c>
      <c r="L71" s="1079">
        <f t="shared" si="24"/>
        <v>3.65</v>
      </c>
      <c r="M71" s="1079">
        <f t="shared" si="24"/>
        <v>1.248971193415638</v>
      </c>
      <c r="N71" s="1079">
        <f t="shared" si="24"/>
        <v>0</v>
      </c>
      <c r="O71" s="1079">
        <f t="shared" si="24"/>
        <v>0</v>
      </c>
      <c r="P71" s="1079">
        <f t="shared" si="24"/>
        <v>0</v>
      </c>
      <c r="Q71" s="1079">
        <f t="shared" si="24"/>
        <v>56.970000000000013</v>
      </c>
      <c r="R71" s="1079">
        <f t="shared" si="24"/>
        <v>36.299999999999997</v>
      </c>
      <c r="S71" s="1079">
        <f t="shared" si="24"/>
        <v>1034005.5</v>
      </c>
      <c r="T71" s="1079">
        <f t="shared" si="24"/>
        <v>1034005.5</v>
      </c>
    </row>
    <row r="72" spans="1:20" x14ac:dyDescent="0.25">
      <c r="A72" s="711"/>
      <c r="C72" s="796" t="s">
        <v>713</v>
      </c>
      <c r="D72" s="797"/>
      <c r="E72" s="886">
        <v>40</v>
      </c>
      <c r="F72" s="891" t="s">
        <v>828</v>
      </c>
      <c r="G72" s="697"/>
      <c r="H72" s="887">
        <f t="shared" si="1"/>
        <v>27</v>
      </c>
      <c r="I72" s="888"/>
      <c r="J72" s="888">
        <v>27</v>
      </c>
      <c r="K72" s="697">
        <v>4.8600000000000003</v>
      </c>
      <c r="L72" s="697">
        <v>3.65</v>
      </c>
      <c r="M72" s="697">
        <f t="shared" si="2"/>
        <v>0.24897119341563792</v>
      </c>
      <c r="N72" s="888"/>
      <c r="O72" s="888"/>
      <c r="P72" s="888"/>
      <c r="Q72" s="888">
        <f t="shared" si="6"/>
        <v>32.670000000000009</v>
      </c>
      <c r="R72" s="888">
        <v>18.149999999999999</v>
      </c>
      <c r="S72" s="888">
        <f t="shared" si="3"/>
        <v>592960.50000000012</v>
      </c>
      <c r="T72" s="890">
        <f t="shared" si="4"/>
        <v>592960.50000000012</v>
      </c>
    </row>
    <row r="73" spans="1:20" x14ac:dyDescent="0.25">
      <c r="A73" s="711"/>
      <c r="B73" s="696"/>
      <c r="C73" s="697"/>
      <c r="D73" s="797"/>
      <c r="E73" s="886"/>
      <c r="F73" s="891" t="s">
        <v>828</v>
      </c>
      <c r="G73" s="697"/>
      <c r="H73" s="887">
        <f t="shared" si="1"/>
        <v>5</v>
      </c>
      <c r="I73" s="888">
        <v>5</v>
      </c>
      <c r="J73" s="888"/>
      <c r="K73" s="697">
        <v>4.8600000000000003</v>
      </c>
      <c r="L73" s="697">
        <v>0</v>
      </c>
      <c r="M73" s="697">
        <f t="shared" si="2"/>
        <v>1</v>
      </c>
      <c r="N73" s="888"/>
      <c r="O73" s="888"/>
      <c r="P73" s="888"/>
      <c r="Q73" s="888">
        <f>I73*K73*M73</f>
        <v>24.3</v>
      </c>
      <c r="R73" s="888">
        <v>18.149999999999999</v>
      </c>
      <c r="S73" s="888">
        <f t="shared" si="3"/>
        <v>441044.99999999994</v>
      </c>
      <c r="T73" s="890">
        <f t="shared" si="4"/>
        <v>441044.99999999994</v>
      </c>
    </row>
    <row r="74" spans="1:20" s="515" customFormat="1" x14ac:dyDescent="0.25">
      <c r="A74" s="1069"/>
      <c r="B74" s="696" t="s">
        <v>726</v>
      </c>
      <c r="C74" s="751"/>
      <c r="D74" s="1070"/>
      <c r="E74" s="1079">
        <f>SUM(E75:E76)</f>
        <v>12</v>
      </c>
      <c r="F74" s="1079">
        <f t="shared" ref="F74" si="25">SUM(F75:F76)</f>
        <v>0</v>
      </c>
      <c r="G74" s="1079">
        <f t="shared" ref="G74" si="26">SUM(G75:G76)</f>
        <v>0</v>
      </c>
      <c r="H74" s="1079">
        <f t="shared" ref="H74" si="27">SUM(H75:H76)</f>
        <v>12</v>
      </c>
      <c r="I74" s="1079">
        <f t="shared" ref="I74" si="28">SUM(I75:I76)</f>
        <v>1</v>
      </c>
      <c r="J74" s="1079">
        <f t="shared" ref="J74" si="29">SUM(J75:J76)</f>
        <v>11</v>
      </c>
      <c r="K74" s="1079">
        <f t="shared" ref="K74" si="30">SUM(K75:K76)</f>
        <v>9.7200000000000006</v>
      </c>
      <c r="L74" s="1079">
        <f t="shared" ref="L74" si="31">SUM(L75:L76)</f>
        <v>3.65</v>
      </c>
      <c r="M74" s="1079">
        <f t="shared" ref="M74" si="32">SUM(M75:M76)</f>
        <v>1.248971193415638</v>
      </c>
      <c r="N74" s="1079">
        <f t="shared" ref="N74" si="33">SUM(N75:N76)</f>
        <v>0</v>
      </c>
      <c r="O74" s="1079">
        <f t="shared" ref="O74" si="34">SUM(O75:O76)</f>
        <v>0</v>
      </c>
      <c r="P74" s="1079">
        <f t="shared" ref="P74" si="35">SUM(P75:P76)</f>
        <v>0</v>
      </c>
      <c r="Q74" s="1079">
        <f t="shared" ref="Q74" si="36">SUM(Q75:Q76)</f>
        <v>18.170000000000005</v>
      </c>
      <c r="R74" s="1079">
        <f t="shared" ref="R74" si="37">SUM(R75:R76)</f>
        <v>36.299999999999997</v>
      </c>
      <c r="S74" s="1079">
        <f t="shared" ref="S74" si="38">SUM(S75:S76)</f>
        <v>329785.50000000006</v>
      </c>
      <c r="T74" s="1079">
        <f t="shared" ref="T74" si="39">SUM(T75:T76)</f>
        <v>329785.50000000006</v>
      </c>
    </row>
    <row r="75" spans="1:20" x14ac:dyDescent="0.25">
      <c r="A75" s="711"/>
      <c r="C75" s="796" t="s">
        <v>713</v>
      </c>
      <c r="D75" s="797"/>
      <c r="E75" s="886">
        <v>12</v>
      </c>
      <c r="F75" s="891" t="s">
        <v>828</v>
      </c>
      <c r="G75" s="697"/>
      <c r="H75" s="887">
        <f t="shared" si="1"/>
        <v>11</v>
      </c>
      <c r="I75" s="888"/>
      <c r="J75" s="888">
        <v>11</v>
      </c>
      <c r="K75" s="697">
        <v>4.8600000000000003</v>
      </c>
      <c r="L75" s="697">
        <v>3.65</v>
      </c>
      <c r="M75" s="697">
        <f t="shared" si="2"/>
        <v>0.24897119341563792</v>
      </c>
      <c r="N75" s="888"/>
      <c r="O75" s="888"/>
      <c r="P75" s="888"/>
      <c r="Q75" s="888">
        <f t="shared" si="6"/>
        <v>13.310000000000004</v>
      </c>
      <c r="R75" s="888">
        <v>18.149999999999999</v>
      </c>
      <c r="S75" s="888">
        <f t="shared" si="3"/>
        <v>241576.50000000006</v>
      </c>
      <c r="T75" s="890">
        <f t="shared" si="4"/>
        <v>241576.50000000006</v>
      </c>
    </row>
    <row r="76" spans="1:20" x14ac:dyDescent="0.25">
      <c r="A76" s="711"/>
      <c r="B76" s="696"/>
      <c r="C76" s="697"/>
      <c r="D76" s="797"/>
      <c r="E76" s="886"/>
      <c r="F76" s="891" t="s">
        <v>828</v>
      </c>
      <c r="G76" s="697"/>
      <c r="H76" s="887">
        <f t="shared" si="1"/>
        <v>1</v>
      </c>
      <c r="I76" s="888">
        <v>1</v>
      </c>
      <c r="J76" s="888"/>
      <c r="K76" s="697">
        <v>4.8600000000000003</v>
      </c>
      <c r="L76" s="697">
        <v>0</v>
      </c>
      <c r="M76" s="697">
        <f t="shared" si="2"/>
        <v>1</v>
      </c>
      <c r="N76" s="888"/>
      <c r="O76" s="888"/>
      <c r="P76" s="888"/>
      <c r="Q76" s="888">
        <f>I76*K76*M76</f>
        <v>4.8600000000000003</v>
      </c>
      <c r="R76" s="888">
        <v>18.149999999999999</v>
      </c>
      <c r="S76" s="888">
        <f t="shared" si="3"/>
        <v>88209</v>
      </c>
      <c r="T76" s="890">
        <f t="shared" si="4"/>
        <v>88209</v>
      </c>
    </row>
    <row r="77" spans="1:20" s="515" customFormat="1" x14ac:dyDescent="0.25">
      <c r="A77" s="1069"/>
      <c r="B77" s="696" t="s">
        <v>738</v>
      </c>
      <c r="C77" s="751"/>
      <c r="D77" s="1070"/>
      <c r="E77" s="1079">
        <f>SUM(E78:E80)</f>
        <v>599</v>
      </c>
      <c r="F77" s="1079">
        <f t="shared" ref="F77:T77" si="40">SUM(F78:F80)</f>
        <v>0</v>
      </c>
      <c r="G77" s="1079">
        <f t="shared" si="40"/>
        <v>0</v>
      </c>
      <c r="H77" s="1079">
        <f t="shared" si="40"/>
        <v>439</v>
      </c>
      <c r="I77" s="1079">
        <f t="shared" si="40"/>
        <v>40</v>
      </c>
      <c r="J77" s="1079">
        <f t="shared" si="40"/>
        <v>399</v>
      </c>
      <c r="K77" s="1079">
        <f t="shared" si="40"/>
        <v>14.580000000000002</v>
      </c>
      <c r="L77" s="1079">
        <f t="shared" si="40"/>
        <v>7.7799999999999994</v>
      </c>
      <c r="M77" s="1079">
        <f t="shared" si="40"/>
        <v>1.3991769547325106</v>
      </c>
      <c r="N77" s="1079">
        <f t="shared" si="40"/>
        <v>0</v>
      </c>
      <c r="O77" s="1079">
        <f t="shared" si="40"/>
        <v>0</v>
      </c>
      <c r="P77" s="1079">
        <f t="shared" si="40"/>
        <v>0</v>
      </c>
      <c r="Q77" s="1079">
        <f t="shared" si="40"/>
        <v>646.47000000000014</v>
      </c>
      <c r="R77" s="1079">
        <f t="shared" si="40"/>
        <v>54.449999999999996</v>
      </c>
      <c r="S77" s="1079">
        <f t="shared" si="40"/>
        <v>11733430.500000002</v>
      </c>
      <c r="T77" s="1079">
        <f t="shared" si="40"/>
        <v>11733430.500000002</v>
      </c>
    </row>
    <row r="78" spans="1:20" x14ac:dyDescent="0.25">
      <c r="A78" s="711"/>
      <c r="C78" s="796" t="s">
        <v>713</v>
      </c>
      <c r="D78" s="797"/>
      <c r="E78" s="886">
        <v>540</v>
      </c>
      <c r="F78" s="891" t="s">
        <v>828</v>
      </c>
      <c r="G78" s="697"/>
      <c r="H78" s="887">
        <f t="shared" si="1"/>
        <v>335</v>
      </c>
      <c r="I78" s="888"/>
      <c r="J78" s="888">
        <v>335</v>
      </c>
      <c r="K78" s="697">
        <v>4.8600000000000003</v>
      </c>
      <c r="L78" s="697">
        <v>3.65</v>
      </c>
      <c r="M78" s="697">
        <f t="shared" si="2"/>
        <v>0.24897119341563792</v>
      </c>
      <c r="N78" s="888"/>
      <c r="O78" s="888"/>
      <c r="P78" s="888"/>
      <c r="Q78" s="888">
        <f t="shared" si="6"/>
        <v>405.35000000000014</v>
      </c>
      <c r="R78" s="888">
        <v>18.149999999999999</v>
      </c>
      <c r="S78" s="888">
        <f t="shared" si="3"/>
        <v>7357102.5000000019</v>
      </c>
      <c r="T78" s="890">
        <f t="shared" si="4"/>
        <v>7357102.5000000019</v>
      </c>
    </row>
    <row r="79" spans="1:20" x14ac:dyDescent="0.25">
      <c r="A79" s="711"/>
      <c r="B79" s="696"/>
      <c r="C79" s="796"/>
      <c r="D79" s="797"/>
      <c r="E79" s="886"/>
      <c r="F79" s="891" t="s">
        <v>828</v>
      </c>
      <c r="G79" s="697"/>
      <c r="H79" s="887">
        <f>I79+J79</f>
        <v>40</v>
      </c>
      <c r="I79" s="888">
        <v>40</v>
      </c>
      <c r="J79" s="888"/>
      <c r="K79" s="697">
        <v>4.8600000000000003</v>
      </c>
      <c r="L79" s="697">
        <v>0</v>
      </c>
      <c r="M79" s="697">
        <f t="shared" si="2"/>
        <v>1</v>
      </c>
      <c r="N79" s="888"/>
      <c r="O79" s="888"/>
      <c r="P79" s="888"/>
      <c r="Q79" s="888">
        <f>I79*K79*M79</f>
        <v>194.4</v>
      </c>
      <c r="R79" s="888">
        <v>18.149999999999999</v>
      </c>
      <c r="S79" s="888">
        <f t="shared" si="3"/>
        <v>3528359.9999999995</v>
      </c>
      <c r="T79" s="890">
        <f>S79+P79</f>
        <v>3528359.9999999995</v>
      </c>
    </row>
    <row r="80" spans="1:20" x14ac:dyDescent="0.25">
      <c r="A80" s="711"/>
      <c r="B80" s="696"/>
      <c r="C80" s="697"/>
      <c r="D80" s="797"/>
      <c r="E80" s="886">
        <v>59</v>
      </c>
      <c r="F80" s="796" t="s">
        <v>485</v>
      </c>
      <c r="G80" s="697"/>
      <c r="H80" s="887">
        <f t="shared" si="1"/>
        <v>64</v>
      </c>
      <c r="I80" s="888"/>
      <c r="J80" s="888">
        <v>64</v>
      </c>
      <c r="K80" s="697">
        <v>4.8600000000000003</v>
      </c>
      <c r="L80" s="697">
        <v>4.13</v>
      </c>
      <c r="M80" s="697">
        <f t="shared" si="2"/>
        <v>0.15020576131687249</v>
      </c>
      <c r="N80" s="888"/>
      <c r="O80" s="888"/>
      <c r="P80" s="888"/>
      <c r="Q80" s="888">
        <f t="shared" si="6"/>
        <v>46.72000000000002</v>
      </c>
      <c r="R80" s="888">
        <v>18.149999999999999</v>
      </c>
      <c r="S80" s="888">
        <f t="shared" si="3"/>
        <v>847968.00000000035</v>
      </c>
      <c r="T80" s="890">
        <f t="shared" si="4"/>
        <v>847968.00000000035</v>
      </c>
    </row>
    <row r="81" spans="1:20" s="515" customFormat="1" x14ac:dyDescent="0.25">
      <c r="A81" s="1069"/>
      <c r="B81" s="696" t="s">
        <v>735</v>
      </c>
      <c r="C81" s="751"/>
      <c r="D81" s="1070"/>
      <c r="E81" s="1079">
        <f>SUM(E82:E83)</f>
        <v>1588</v>
      </c>
      <c r="F81" s="1079">
        <f t="shared" ref="F81:T81" si="41">SUM(F82:F83)</f>
        <v>0</v>
      </c>
      <c r="G81" s="1079">
        <f t="shared" si="41"/>
        <v>0</v>
      </c>
      <c r="H81" s="1079">
        <f t="shared" si="41"/>
        <v>815</v>
      </c>
      <c r="I81" s="1079">
        <f t="shared" si="41"/>
        <v>0</v>
      </c>
      <c r="J81" s="1079">
        <f t="shared" si="41"/>
        <v>815</v>
      </c>
      <c r="K81" s="1079">
        <f t="shared" si="41"/>
        <v>9.7200000000000006</v>
      </c>
      <c r="L81" s="1079">
        <f t="shared" si="41"/>
        <v>8.0240000000000009</v>
      </c>
      <c r="M81" s="1079">
        <f t="shared" si="41"/>
        <v>0.35</v>
      </c>
      <c r="N81" s="1079">
        <f t="shared" si="41"/>
        <v>384.91200000000003</v>
      </c>
      <c r="O81" s="1079">
        <f t="shared" si="41"/>
        <v>9815</v>
      </c>
      <c r="P81" s="1079">
        <f t="shared" si="41"/>
        <v>777348</v>
      </c>
      <c r="Q81" s="1079">
        <f t="shared" si="41"/>
        <v>27.945</v>
      </c>
      <c r="R81" s="1079">
        <f t="shared" si="41"/>
        <v>18.149999999999999</v>
      </c>
      <c r="S81" s="1079">
        <f t="shared" si="41"/>
        <v>507201.74999999994</v>
      </c>
      <c r="T81" s="1079">
        <f t="shared" si="41"/>
        <v>1284549.75</v>
      </c>
    </row>
    <row r="82" spans="1:20" x14ac:dyDescent="0.25">
      <c r="A82" s="711"/>
      <c r="C82" s="796"/>
      <c r="D82" s="797"/>
      <c r="E82" s="886">
        <v>1450</v>
      </c>
      <c r="F82" s="891" t="s">
        <v>539</v>
      </c>
      <c r="G82" s="697"/>
      <c r="H82" s="887">
        <f t="shared" si="1"/>
        <v>792</v>
      </c>
      <c r="I82" s="888"/>
      <c r="J82" s="888">
        <v>792</v>
      </c>
      <c r="K82" s="697">
        <v>4.8600000000000003</v>
      </c>
      <c r="L82" s="697">
        <f>K82-(K82*M82)</f>
        <v>4.3740000000000006</v>
      </c>
      <c r="M82" s="697">
        <v>0.1</v>
      </c>
      <c r="N82" s="888">
        <f>K82*J82*M82</f>
        <v>384.91200000000003</v>
      </c>
      <c r="O82" s="888">
        <v>9815</v>
      </c>
      <c r="P82" s="888">
        <f>O82*M82*J82</f>
        <v>777348</v>
      </c>
      <c r="Q82" s="888"/>
      <c r="R82" s="888"/>
      <c r="S82" s="888"/>
      <c r="T82" s="890">
        <f t="shared" si="4"/>
        <v>777348</v>
      </c>
    </row>
    <row r="83" spans="1:20" x14ac:dyDescent="0.25">
      <c r="A83" s="711"/>
      <c r="B83" s="696"/>
      <c r="C83" s="796"/>
      <c r="D83" s="797"/>
      <c r="E83" s="886">
        <v>138</v>
      </c>
      <c r="F83" s="891" t="s">
        <v>828</v>
      </c>
      <c r="G83" s="697"/>
      <c r="H83" s="887">
        <v>23</v>
      </c>
      <c r="I83" s="888"/>
      <c r="J83" s="888">
        <v>23</v>
      </c>
      <c r="K83" s="697">
        <v>4.8600000000000003</v>
      </c>
      <c r="L83" s="697">
        <v>3.65</v>
      </c>
      <c r="M83" s="697">
        <v>0.25</v>
      </c>
      <c r="N83" s="888"/>
      <c r="O83" s="888"/>
      <c r="P83" s="888"/>
      <c r="Q83" s="888">
        <f t="shared" ref="Q83" si="42">J83*K83*M83</f>
        <v>27.945</v>
      </c>
      <c r="R83" s="888">
        <v>18.149999999999999</v>
      </c>
      <c r="S83" s="888">
        <f t="shared" ref="S83" si="43">Q83*R83*1000</f>
        <v>507201.74999999994</v>
      </c>
      <c r="T83" s="890">
        <f t="shared" si="4"/>
        <v>507201.74999999994</v>
      </c>
    </row>
    <row r="84" spans="1:20" x14ac:dyDescent="0.25">
      <c r="A84" s="711"/>
      <c r="B84" s="696" t="s">
        <v>736</v>
      </c>
      <c r="C84" s="796"/>
      <c r="D84" s="797"/>
      <c r="E84" s="886">
        <v>302.5</v>
      </c>
      <c r="F84" s="891" t="s">
        <v>539</v>
      </c>
      <c r="G84" s="697"/>
      <c r="H84" s="887">
        <f t="shared" si="1"/>
        <v>150</v>
      </c>
      <c r="I84" s="888"/>
      <c r="J84" s="888">
        <v>150</v>
      </c>
      <c r="K84" s="697">
        <v>4.8600000000000003</v>
      </c>
      <c r="L84" s="697">
        <f>K84-(K84*M84)</f>
        <v>4.3740000000000006</v>
      </c>
      <c r="M84" s="697">
        <v>0.1</v>
      </c>
      <c r="N84" s="888">
        <f>K84*J84*M84</f>
        <v>72.900000000000006</v>
      </c>
      <c r="O84" s="888">
        <v>9815</v>
      </c>
      <c r="P84" s="888">
        <f>O84*M84*J84</f>
        <v>147225</v>
      </c>
      <c r="Q84" s="888"/>
      <c r="R84" s="888"/>
      <c r="S84" s="888"/>
      <c r="T84" s="890">
        <f t="shared" si="4"/>
        <v>147225</v>
      </c>
    </row>
    <row r="85" spans="1:20" x14ac:dyDescent="0.25">
      <c r="A85" s="711"/>
      <c r="B85" s="696" t="s">
        <v>655</v>
      </c>
      <c r="C85" s="796"/>
      <c r="D85" s="797"/>
      <c r="E85" s="886">
        <v>871</v>
      </c>
      <c r="F85" s="891" t="s">
        <v>539</v>
      </c>
      <c r="G85" s="697"/>
      <c r="H85" s="887">
        <f t="shared" si="1"/>
        <v>4</v>
      </c>
      <c r="I85" s="888"/>
      <c r="J85" s="888">
        <v>4</v>
      </c>
      <c r="K85" s="697">
        <v>4.8600000000000003</v>
      </c>
      <c r="L85" s="697">
        <f>K85-(K85*M85)</f>
        <v>4.3740000000000006</v>
      </c>
      <c r="M85" s="697">
        <v>0.1</v>
      </c>
      <c r="N85" s="888">
        <f>K85*J85*M85</f>
        <v>1.9440000000000002</v>
      </c>
      <c r="O85" s="888">
        <v>9815</v>
      </c>
      <c r="P85" s="888">
        <f>O85*M85*J85</f>
        <v>3926</v>
      </c>
      <c r="Q85" s="888"/>
      <c r="R85" s="888"/>
      <c r="S85" s="888"/>
      <c r="T85" s="890">
        <f t="shared" si="4"/>
        <v>3926</v>
      </c>
    </row>
    <row r="86" spans="1:20" x14ac:dyDescent="0.25">
      <c r="A86" s="711"/>
      <c r="B86" s="696" t="s">
        <v>718</v>
      </c>
      <c r="C86" s="796"/>
      <c r="D86" s="797"/>
      <c r="E86" s="886">
        <v>419</v>
      </c>
      <c r="F86" s="891" t="s">
        <v>539</v>
      </c>
      <c r="G86" s="697"/>
      <c r="H86" s="887">
        <f t="shared" si="1"/>
        <v>36</v>
      </c>
      <c r="I86" s="888"/>
      <c r="J86" s="888">
        <v>36</v>
      </c>
      <c r="K86" s="697">
        <v>4.8600000000000003</v>
      </c>
      <c r="L86" s="697">
        <f>K86-(K86*M86)</f>
        <v>4.3740000000000006</v>
      </c>
      <c r="M86" s="697">
        <v>0.1</v>
      </c>
      <c r="N86" s="888">
        <f>K86*J86*M86</f>
        <v>17.496000000000002</v>
      </c>
      <c r="O86" s="888">
        <v>9815</v>
      </c>
      <c r="P86" s="888">
        <f>O86*M86*J86</f>
        <v>35334</v>
      </c>
      <c r="Q86" s="888"/>
      <c r="R86" s="888"/>
      <c r="S86" s="888"/>
      <c r="T86" s="890">
        <f t="shared" si="4"/>
        <v>35334</v>
      </c>
    </row>
    <row r="87" spans="1:20" x14ac:dyDescent="0.25">
      <c r="A87" s="711"/>
      <c r="B87" s="696" t="s">
        <v>830</v>
      </c>
      <c r="C87" s="796" t="s">
        <v>713</v>
      </c>
      <c r="D87" s="797"/>
      <c r="E87" s="886">
        <v>2494</v>
      </c>
      <c r="F87" s="891" t="s">
        <v>539</v>
      </c>
      <c r="G87" s="697"/>
      <c r="H87" s="887">
        <f t="shared" si="1"/>
        <v>291.5</v>
      </c>
      <c r="I87" s="888"/>
      <c r="J87" s="888">
        <v>291.5</v>
      </c>
      <c r="K87" s="697">
        <v>4.8600000000000003</v>
      </c>
      <c r="L87" s="697">
        <f>K87-(K87*M87)</f>
        <v>4.3740000000000006</v>
      </c>
      <c r="M87" s="697">
        <v>0.1</v>
      </c>
      <c r="N87" s="888">
        <f>K87*J87*M87</f>
        <v>141.66900000000001</v>
      </c>
      <c r="O87" s="888">
        <v>9815</v>
      </c>
      <c r="P87" s="888">
        <f>O87*M87*J87</f>
        <v>286107.25</v>
      </c>
      <c r="Q87" s="888"/>
      <c r="R87" s="888"/>
      <c r="S87" s="888"/>
      <c r="T87" s="890">
        <f t="shared" si="4"/>
        <v>286107.25</v>
      </c>
    </row>
    <row r="88" spans="1:20" x14ac:dyDescent="0.25">
      <c r="A88" s="711"/>
      <c r="B88" s="696"/>
      <c r="C88" s="796"/>
      <c r="D88" s="797"/>
      <c r="E88" s="892"/>
      <c r="F88" s="891" t="s">
        <v>539</v>
      </c>
      <c r="G88" s="796" t="s">
        <v>831</v>
      </c>
      <c r="H88" s="887">
        <v>110</v>
      </c>
      <c r="I88" s="888">
        <v>110</v>
      </c>
      <c r="J88" s="888"/>
      <c r="K88" s="697">
        <v>4.8600000000000003</v>
      </c>
      <c r="L88" s="697">
        <f>K88-(K88*M88)</f>
        <v>0</v>
      </c>
      <c r="M88" s="697">
        <v>1</v>
      </c>
      <c r="N88" s="888">
        <f>K88*I88*M88</f>
        <v>534.6</v>
      </c>
      <c r="O88" s="888">
        <v>9815</v>
      </c>
      <c r="P88" s="888">
        <f>O88*M88*I88</f>
        <v>1079650</v>
      </c>
      <c r="Q88" s="888"/>
      <c r="R88" s="888"/>
      <c r="S88" s="888"/>
      <c r="T88" s="890">
        <f t="shared" si="4"/>
        <v>1079650</v>
      </c>
    </row>
    <row r="89" spans="1:20" x14ac:dyDescent="0.25">
      <c r="A89" s="893"/>
      <c r="B89" s="894" t="s">
        <v>540</v>
      </c>
      <c r="C89" s="821"/>
      <c r="D89" s="822"/>
      <c r="E89" s="822"/>
      <c r="F89" s="821"/>
      <c r="G89" s="821"/>
      <c r="H89" s="895">
        <f>SUM(H91:H131)+ SUM(H134:H156)</f>
        <v>1916.7049999999997</v>
      </c>
      <c r="I89" s="895">
        <f>SUM(I91:I131)+SUM(I134:I156)</f>
        <v>786.90499999999997</v>
      </c>
      <c r="J89" s="895">
        <f>SUM(J91:J156)</f>
        <v>1129.8000000000002</v>
      </c>
      <c r="K89" s="821"/>
      <c r="L89" s="821"/>
      <c r="M89" s="821"/>
      <c r="N89" s="896">
        <f>SUM(N91:N156)</f>
        <v>940.77000000000021</v>
      </c>
      <c r="O89" s="896"/>
      <c r="P89" s="896">
        <f>SUM(P91:P156)</f>
        <v>14400769.239999996</v>
      </c>
      <c r="Q89" s="896">
        <f>SUM(Q91:Q157)</f>
        <v>1388.9489999999998</v>
      </c>
      <c r="R89" s="896"/>
      <c r="S89" s="896">
        <f>SUM(S91:S157)</f>
        <v>23612133</v>
      </c>
      <c r="T89" s="897">
        <f>SUM(T91:T156)</f>
        <v>38012902.24000001</v>
      </c>
    </row>
    <row r="90" spans="1:20" s="515" customFormat="1" x14ac:dyDescent="0.25">
      <c r="A90" s="1074"/>
      <c r="B90" s="696" t="s">
        <v>585</v>
      </c>
      <c r="C90" s="1075"/>
      <c r="D90" s="1076"/>
      <c r="E90" s="1079">
        <f>SUM(E91:E92)</f>
        <v>0</v>
      </c>
      <c r="F90" s="1079">
        <f t="shared" ref="F90" si="44">SUM(F91:F92)</f>
        <v>0</v>
      </c>
      <c r="G90" s="1079">
        <f t="shared" ref="G90" si="45">SUM(G91:G92)</f>
        <v>0</v>
      </c>
      <c r="H90" s="1079">
        <f t="shared" ref="H90" si="46">SUM(H91:H92)</f>
        <v>7.2</v>
      </c>
      <c r="I90" s="1079">
        <f t="shared" ref="I90" si="47">SUM(I91:I92)</f>
        <v>7.2</v>
      </c>
      <c r="J90" s="1079">
        <f t="shared" ref="J90" si="48">SUM(J91:J92)</f>
        <v>0</v>
      </c>
      <c r="K90" s="1079">
        <f t="shared" ref="K90" si="49">SUM(K91:K92)</f>
        <v>9</v>
      </c>
      <c r="L90" s="1079">
        <f t="shared" ref="L90" si="50">SUM(L91:L92)</f>
        <v>0</v>
      </c>
      <c r="M90" s="1079">
        <f t="shared" ref="M90" si="51">SUM(M91:M92)</f>
        <v>2</v>
      </c>
      <c r="N90" s="1079">
        <f t="shared" ref="N90" si="52">SUM(N91:N92)</f>
        <v>7.8</v>
      </c>
      <c r="O90" s="1079">
        <f t="shared" ref="O90" si="53">SUM(O91:O92)</f>
        <v>21560</v>
      </c>
      <c r="P90" s="1079">
        <f t="shared" ref="P90" si="54">SUM(P91:P92)</f>
        <v>42042</v>
      </c>
      <c r="Q90" s="1079">
        <f t="shared" ref="Q90" si="55">SUM(Q91:Q92)</f>
        <v>26.25</v>
      </c>
      <c r="R90" s="1079">
        <f t="shared" ref="R90" si="56">SUM(R91:R92)</f>
        <v>17</v>
      </c>
      <c r="S90" s="1079">
        <f t="shared" ref="S90" si="57">SUM(S91:S92)</f>
        <v>446250</v>
      </c>
      <c r="T90" s="1079">
        <f t="shared" ref="T90" si="58">SUM(T91:T92)</f>
        <v>488292</v>
      </c>
    </row>
    <row r="91" spans="1:20" x14ac:dyDescent="0.25">
      <c r="A91" s="711"/>
      <c r="C91" s="796" t="s">
        <v>713</v>
      </c>
      <c r="D91" s="797"/>
      <c r="E91" s="797"/>
      <c r="F91" s="796" t="s">
        <v>539</v>
      </c>
      <c r="G91" s="697"/>
      <c r="H91" s="898">
        <v>1.95</v>
      </c>
      <c r="I91" s="697">
        <v>1.95</v>
      </c>
      <c r="J91" s="697"/>
      <c r="K91" s="697">
        <v>4</v>
      </c>
      <c r="L91" s="697">
        <f>K91-(K91*M91)</f>
        <v>0</v>
      </c>
      <c r="M91" s="697">
        <v>1</v>
      </c>
      <c r="N91" s="697">
        <f>I91*K91*M91</f>
        <v>7.8</v>
      </c>
      <c r="O91" s="697">
        <v>21560</v>
      </c>
      <c r="P91" s="697">
        <f>O91*I91*M91</f>
        <v>42042</v>
      </c>
      <c r="Q91" s="695"/>
      <c r="R91" s="695"/>
      <c r="S91" s="695"/>
      <c r="T91" s="899">
        <f t="shared" ref="T91:T101" si="59">S91+P91</f>
        <v>42042</v>
      </c>
    </row>
    <row r="92" spans="1:20" x14ac:dyDescent="0.25">
      <c r="A92" s="711"/>
      <c r="B92" s="696"/>
      <c r="C92" s="697"/>
      <c r="D92" s="797"/>
      <c r="E92" s="797"/>
      <c r="F92" s="796" t="s">
        <v>586</v>
      </c>
      <c r="G92" s="697"/>
      <c r="H92" s="898">
        <v>5.25</v>
      </c>
      <c r="I92" s="697">
        <v>5.25</v>
      </c>
      <c r="J92" s="697"/>
      <c r="K92" s="697">
        <v>5</v>
      </c>
      <c r="L92" s="697">
        <f t="shared" ref="L92:L104" si="60">K92-(K92*M92)</f>
        <v>0</v>
      </c>
      <c r="M92" s="697">
        <v>1</v>
      </c>
      <c r="N92" s="695"/>
      <c r="O92" s="695"/>
      <c r="P92" s="697">
        <f t="shared" ref="P92:P131" si="61">O92*I92*M92</f>
        <v>0</v>
      </c>
      <c r="Q92" s="697">
        <f>I92*K92*M92</f>
        <v>26.25</v>
      </c>
      <c r="R92" s="697">
        <v>17</v>
      </c>
      <c r="S92" s="697">
        <f>R92*Q92*1000</f>
        <v>446250</v>
      </c>
      <c r="T92" s="900">
        <f t="shared" si="59"/>
        <v>446250</v>
      </c>
    </row>
    <row r="93" spans="1:20" x14ac:dyDescent="0.25">
      <c r="A93" s="711"/>
      <c r="B93" s="696"/>
      <c r="C93" s="697"/>
      <c r="D93" s="797"/>
      <c r="E93" s="797"/>
      <c r="F93" s="796" t="s">
        <v>586</v>
      </c>
      <c r="G93" s="697"/>
      <c r="H93" s="898">
        <v>4</v>
      </c>
      <c r="I93" s="697">
        <v>4</v>
      </c>
      <c r="J93" s="697"/>
      <c r="K93" s="697">
        <v>4</v>
      </c>
      <c r="L93" s="697">
        <f t="shared" si="60"/>
        <v>2</v>
      </c>
      <c r="M93" s="697">
        <v>0.5</v>
      </c>
      <c r="N93" s="695"/>
      <c r="O93" s="695"/>
      <c r="P93" s="697">
        <f t="shared" si="61"/>
        <v>0</v>
      </c>
      <c r="Q93" s="697">
        <f>I93*K93*M93</f>
        <v>8</v>
      </c>
      <c r="R93" s="697">
        <v>17</v>
      </c>
      <c r="S93" s="697">
        <f>R93*Q93*1000</f>
        <v>136000</v>
      </c>
      <c r="T93" s="900">
        <f t="shared" si="59"/>
        <v>136000</v>
      </c>
    </row>
    <row r="94" spans="1:20" s="515" customFormat="1" x14ac:dyDescent="0.25">
      <c r="A94" s="1069"/>
      <c r="B94" s="696" t="s">
        <v>555</v>
      </c>
      <c r="C94" s="751"/>
      <c r="D94" s="1070"/>
      <c r="E94" s="1079">
        <f>SUM(E95:E96)</f>
        <v>0</v>
      </c>
      <c r="F94" s="1079">
        <f t="shared" ref="F94" si="62">SUM(F95:F96)</f>
        <v>0</v>
      </c>
      <c r="G94" s="1079">
        <f t="shared" ref="G94" si="63">SUM(G95:G96)</f>
        <v>0</v>
      </c>
      <c r="H94" s="1079">
        <f t="shared" ref="H94" si="64">SUM(H95:H96)</f>
        <v>54.6</v>
      </c>
      <c r="I94" s="1079">
        <f t="shared" ref="I94" si="65">SUM(I95:I96)</f>
        <v>0.7</v>
      </c>
      <c r="J94" s="1079">
        <f t="shared" ref="J94" si="66">SUM(J95:J96)</f>
        <v>53.9</v>
      </c>
      <c r="K94" s="1079">
        <f t="shared" ref="K94" si="67">SUM(K95:K96)</f>
        <v>8</v>
      </c>
      <c r="L94" s="1079">
        <f t="shared" ref="L94" si="68">SUM(L95:L96)</f>
        <v>3.4</v>
      </c>
      <c r="M94" s="1079">
        <f t="shared" ref="M94" si="69">SUM(M95:M96)</f>
        <v>1.1499999999999999</v>
      </c>
      <c r="N94" s="1079">
        <f t="shared" ref="N94" si="70">SUM(N95:N96)</f>
        <v>0</v>
      </c>
      <c r="O94" s="1079">
        <f t="shared" ref="O94" si="71">SUM(O95:O96)</f>
        <v>0</v>
      </c>
      <c r="P94" s="1079">
        <f t="shared" ref="P94" si="72">SUM(P95:P96)</f>
        <v>0</v>
      </c>
      <c r="Q94" s="1079">
        <f t="shared" ref="Q94" si="73">SUM(Q95:Q96)</f>
        <v>35.14</v>
      </c>
      <c r="R94" s="1079">
        <f t="shared" ref="R94" si="74">SUM(R95:R96)</f>
        <v>34</v>
      </c>
      <c r="S94" s="1079">
        <f t="shared" ref="S94" si="75">SUM(S95:S96)</f>
        <v>597380.00000000012</v>
      </c>
      <c r="T94" s="1079">
        <f t="shared" ref="T94" si="76">SUM(T95:T96)</f>
        <v>597380.00000000012</v>
      </c>
    </row>
    <row r="95" spans="1:20" x14ac:dyDescent="0.25">
      <c r="A95" s="711"/>
      <c r="C95" s="697"/>
      <c r="D95" s="797"/>
      <c r="E95" s="797"/>
      <c r="F95" s="796" t="s">
        <v>586</v>
      </c>
      <c r="G95" s="697"/>
      <c r="H95" s="898">
        <v>53.9</v>
      </c>
      <c r="I95" s="697"/>
      <c r="J95" s="697">
        <v>53.9</v>
      </c>
      <c r="K95" s="697">
        <v>4</v>
      </c>
      <c r="L95" s="697">
        <v>3.4</v>
      </c>
      <c r="M95" s="697">
        <f>(K95-L95)/K95</f>
        <v>0.15000000000000002</v>
      </c>
      <c r="N95" s="695"/>
      <c r="O95" s="695"/>
      <c r="P95" s="697"/>
      <c r="Q95" s="697">
        <v>32.340000000000003</v>
      </c>
      <c r="R95" s="697">
        <v>17</v>
      </c>
      <c r="S95" s="697">
        <f>Q95*R95*1000</f>
        <v>549780.00000000012</v>
      </c>
      <c r="T95" s="900">
        <f>S95</f>
        <v>549780.00000000012</v>
      </c>
    </row>
    <row r="96" spans="1:20" x14ac:dyDescent="0.25">
      <c r="A96" s="711"/>
      <c r="B96" s="696"/>
      <c r="C96" s="697"/>
      <c r="D96" s="797"/>
      <c r="E96" s="797"/>
      <c r="F96" s="796"/>
      <c r="G96" s="697"/>
      <c r="H96" s="898">
        <v>0.7</v>
      </c>
      <c r="I96" s="697">
        <v>0.7</v>
      </c>
      <c r="J96" s="697"/>
      <c r="K96" s="697">
        <v>4</v>
      </c>
      <c r="L96" s="697">
        <v>0</v>
      </c>
      <c r="M96" s="697">
        <v>1</v>
      </c>
      <c r="N96" s="695"/>
      <c r="O96" s="695"/>
      <c r="P96" s="697"/>
      <c r="Q96" s="697">
        <f>I96*K96*M96</f>
        <v>2.8</v>
      </c>
      <c r="R96" s="697">
        <v>17</v>
      </c>
      <c r="S96" s="697">
        <f>Q96*R96*1000</f>
        <v>47599.999999999993</v>
      </c>
      <c r="T96" s="900">
        <f>S96</f>
        <v>47599.999999999993</v>
      </c>
    </row>
    <row r="97" spans="1:20" s="515" customFormat="1" x14ac:dyDescent="0.25">
      <c r="A97" s="1069"/>
      <c r="B97" s="696" t="s">
        <v>572</v>
      </c>
      <c r="C97" s="751"/>
      <c r="D97" s="1070"/>
      <c r="E97" s="1079">
        <f>SUM(E98:E99)</f>
        <v>0</v>
      </c>
      <c r="F97" s="1079">
        <f t="shared" ref="F97" si="77">SUM(F98:F99)</f>
        <v>0</v>
      </c>
      <c r="G97" s="1079">
        <f t="shared" ref="G97" si="78">SUM(G98:G99)</f>
        <v>0</v>
      </c>
      <c r="H97" s="1079">
        <f t="shared" ref="H97" si="79">SUM(H98:H99)</f>
        <v>15.65</v>
      </c>
      <c r="I97" s="1079">
        <f t="shared" ref="I97" si="80">SUM(I98:I99)</f>
        <v>2.5</v>
      </c>
      <c r="J97" s="1079">
        <f t="shared" ref="J97" si="81">SUM(J98:J99)</f>
        <v>13.15</v>
      </c>
      <c r="K97" s="1079">
        <f t="shared" ref="K97" si="82">SUM(K98:K99)</f>
        <v>8</v>
      </c>
      <c r="L97" s="1079">
        <f t="shared" ref="L97" si="83">SUM(L98:L99)</f>
        <v>2</v>
      </c>
      <c r="M97" s="1079">
        <f t="shared" ref="M97" si="84">SUM(M98:M99)</f>
        <v>1.5</v>
      </c>
      <c r="N97" s="1079">
        <f t="shared" ref="N97" si="85">SUM(N98:N99)</f>
        <v>36.299999999999997</v>
      </c>
      <c r="O97" s="1079">
        <f t="shared" ref="O97" si="86">SUM(O98:O99)</f>
        <v>43120</v>
      </c>
      <c r="P97" s="1079">
        <f t="shared" ref="P97" si="87">SUM(P98:P99)</f>
        <v>195657</v>
      </c>
      <c r="Q97" s="1079">
        <f t="shared" ref="Q97" si="88">SUM(Q98:Q99)</f>
        <v>0</v>
      </c>
      <c r="R97" s="1079">
        <f t="shared" ref="R97" si="89">SUM(R98:R99)</f>
        <v>0</v>
      </c>
      <c r="S97" s="1079">
        <f t="shared" ref="S97" si="90">SUM(S98:S99)</f>
        <v>0</v>
      </c>
      <c r="T97" s="1079">
        <f t="shared" ref="T97" si="91">SUM(T98:T99)</f>
        <v>195657</v>
      </c>
    </row>
    <row r="98" spans="1:20" x14ac:dyDescent="0.25">
      <c r="A98" s="711"/>
      <c r="C98" s="697"/>
      <c r="D98" s="797"/>
      <c r="E98" s="797"/>
      <c r="F98" s="796" t="s">
        <v>539</v>
      </c>
      <c r="G98" s="697"/>
      <c r="H98" s="898">
        <v>13.15</v>
      </c>
      <c r="I98" s="697"/>
      <c r="J98" s="697">
        <v>13.15</v>
      </c>
      <c r="K98" s="697">
        <v>4</v>
      </c>
      <c r="L98" s="697">
        <v>2</v>
      </c>
      <c r="M98" s="697">
        <v>0.5</v>
      </c>
      <c r="N98" s="697">
        <f>J98*K98*M98</f>
        <v>26.3</v>
      </c>
      <c r="O98" s="697">
        <v>21560</v>
      </c>
      <c r="P98" s="697">
        <f>O98*J98*M98</f>
        <v>141757</v>
      </c>
      <c r="Q98" s="697"/>
      <c r="R98" s="697"/>
      <c r="S98" s="695"/>
      <c r="T98" s="900">
        <f t="shared" si="59"/>
        <v>141757</v>
      </c>
    </row>
    <row r="99" spans="1:20" x14ac:dyDescent="0.25">
      <c r="A99" s="711"/>
      <c r="B99" s="696"/>
      <c r="C99" s="697"/>
      <c r="D99" s="797"/>
      <c r="E99" s="797"/>
      <c r="F99" s="796" t="s">
        <v>539</v>
      </c>
      <c r="G99" s="697"/>
      <c r="H99" s="898">
        <v>2.5</v>
      </c>
      <c r="I99" s="697">
        <v>2.5</v>
      </c>
      <c r="J99" s="697"/>
      <c r="K99" s="697">
        <v>4</v>
      </c>
      <c r="L99" s="697">
        <v>0</v>
      </c>
      <c r="M99" s="697">
        <v>1</v>
      </c>
      <c r="N99" s="697">
        <v>10</v>
      </c>
      <c r="O99" s="697">
        <v>21560</v>
      </c>
      <c r="P99" s="697">
        <f>O99*I99*M99</f>
        <v>53900</v>
      </c>
      <c r="Q99" s="697"/>
      <c r="R99" s="697"/>
      <c r="S99" s="695"/>
      <c r="T99" s="900">
        <f>P99</f>
        <v>53900</v>
      </c>
    </row>
    <row r="100" spans="1:20" x14ac:dyDescent="0.25">
      <c r="A100" s="711"/>
      <c r="B100" s="696" t="s">
        <v>570</v>
      </c>
      <c r="C100" s="697"/>
      <c r="D100" s="797"/>
      <c r="E100" s="797"/>
      <c r="F100" s="796" t="s">
        <v>586</v>
      </c>
      <c r="G100" s="697"/>
      <c r="H100" s="898">
        <v>10</v>
      </c>
      <c r="I100" s="697">
        <v>10</v>
      </c>
      <c r="J100" s="697"/>
      <c r="K100" s="697">
        <v>4.5</v>
      </c>
      <c r="L100" s="697">
        <f t="shared" si="60"/>
        <v>0</v>
      </c>
      <c r="M100" s="697">
        <v>1</v>
      </c>
      <c r="N100" s="695"/>
      <c r="O100" s="697"/>
      <c r="P100" s="697">
        <f t="shared" si="61"/>
        <v>0</v>
      </c>
      <c r="Q100" s="697">
        <f>I100*K100*M100</f>
        <v>45</v>
      </c>
      <c r="R100" s="697">
        <v>17</v>
      </c>
      <c r="S100" s="697">
        <f>R100*Q100*1000</f>
        <v>765000</v>
      </c>
      <c r="T100" s="900">
        <f t="shared" si="59"/>
        <v>765000</v>
      </c>
    </row>
    <row r="101" spans="1:20" x14ac:dyDescent="0.25">
      <c r="A101" s="711"/>
      <c r="B101" s="696" t="s">
        <v>832</v>
      </c>
      <c r="C101" s="697"/>
      <c r="D101" s="797"/>
      <c r="E101" s="797"/>
      <c r="F101" s="796" t="s">
        <v>539</v>
      </c>
      <c r="G101" s="697"/>
      <c r="H101" s="898">
        <v>17.3</v>
      </c>
      <c r="I101" s="697">
        <v>17.3</v>
      </c>
      <c r="J101" s="697"/>
      <c r="K101" s="697"/>
      <c r="L101" s="697">
        <f t="shared" si="60"/>
        <v>0</v>
      </c>
      <c r="M101" s="697">
        <v>1</v>
      </c>
      <c r="N101" s="695"/>
      <c r="O101" s="697">
        <v>21560</v>
      </c>
      <c r="P101" s="697">
        <f t="shared" si="61"/>
        <v>372988</v>
      </c>
      <c r="Q101" s="697"/>
      <c r="R101" s="697"/>
      <c r="S101" s="695"/>
      <c r="T101" s="900">
        <f t="shared" si="59"/>
        <v>372988</v>
      </c>
    </row>
    <row r="102" spans="1:20" s="515" customFormat="1" x14ac:dyDescent="0.25">
      <c r="A102" s="1081"/>
      <c r="B102" s="902" t="s">
        <v>583</v>
      </c>
      <c r="C102" s="1082"/>
      <c r="D102" s="1083"/>
      <c r="E102" s="1079">
        <f>SUM(E103:E104)</f>
        <v>0</v>
      </c>
      <c r="F102" s="1079">
        <f t="shared" ref="F102" si="92">SUM(F103:F104)</f>
        <v>0</v>
      </c>
      <c r="G102" s="1079">
        <f t="shared" ref="G102" si="93">SUM(G103:G104)</f>
        <v>0</v>
      </c>
      <c r="H102" s="1079">
        <f t="shared" ref="H102" si="94">SUM(H103:H104)</f>
        <v>40</v>
      </c>
      <c r="I102" s="1079">
        <f t="shared" ref="I102" si="95">SUM(I103:I104)</f>
        <v>15</v>
      </c>
      <c r="J102" s="1079">
        <f t="shared" ref="J102" si="96">SUM(J103:J104)</f>
        <v>25</v>
      </c>
      <c r="K102" s="1079">
        <f t="shared" ref="K102" si="97">SUM(K103:K104)</f>
        <v>4</v>
      </c>
      <c r="L102" s="1079">
        <f t="shared" ref="L102" si="98">SUM(L103:L104)</f>
        <v>3.4</v>
      </c>
      <c r="M102" s="1079">
        <f t="shared" ref="M102" si="99">SUM(M103:M104)</f>
        <v>1.1499999999999999</v>
      </c>
      <c r="N102" s="1079">
        <f t="shared" ref="N102" si="100">SUM(N103:N104)</f>
        <v>15</v>
      </c>
      <c r="O102" s="1079">
        <f t="shared" ref="O102" si="101">SUM(O103:O104)</f>
        <v>43120</v>
      </c>
      <c r="P102" s="1079">
        <f t="shared" ref="P102" si="102">SUM(P103:P104)</f>
        <v>404250</v>
      </c>
      <c r="Q102" s="1079">
        <f t="shared" ref="Q102" si="103">SUM(Q103:Q104)</f>
        <v>0</v>
      </c>
      <c r="R102" s="1079">
        <f t="shared" ref="R102" si="104">SUM(R103:R104)</f>
        <v>0</v>
      </c>
      <c r="S102" s="1079">
        <f t="shared" ref="S102" si="105">SUM(S103:S104)</f>
        <v>0</v>
      </c>
      <c r="T102" s="1079">
        <f t="shared" ref="T102" si="106">SUM(T103:T104)</f>
        <v>404250</v>
      </c>
    </row>
    <row r="103" spans="1:20" x14ac:dyDescent="0.25">
      <c r="A103" s="901"/>
      <c r="C103" s="903" t="s">
        <v>713</v>
      </c>
      <c r="D103" s="904"/>
      <c r="E103" s="905"/>
      <c r="F103" s="906" t="s">
        <v>539</v>
      </c>
      <c r="G103" s="907"/>
      <c r="H103" s="908">
        <v>15</v>
      </c>
      <c r="I103" s="909">
        <v>15</v>
      </c>
      <c r="J103" s="909"/>
      <c r="K103" s="909"/>
      <c r="L103" s="697">
        <f t="shared" si="60"/>
        <v>0</v>
      </c>
      <c r="M103" s="910">
        <v>1</v>
      </c>
      <c r="N103" s="909"/>
      <c r="O103" s="909">
        <v>21560</v>
      </c>
      <c r="P103" s="697">
        <f>O103*I103*M103</f>
        <v>323400</v>
      </c>
      <c r="Q103" s="911"/>
      <c r="R103" s="911"/>
      <c r="S103" s="912"/>
      <c r="T103" s="900">
        <f>S103+P103</f>
        <v>323400</v>
      </c>
    </row>
    <row r="104" spans="1:20" x14ac:dyDescent="0.25">
      <c r="A104" s="901"/>
      <c r="B104" s="902"/>
      <c r="C104" s="474"/>
      <c r="D104" s="904"/>
      <c r="E104" s="905"/>
      <c r="F104" s="906" t="s">
        <v>539</v>
      </c>
      <c r="G104" s="907"/>
      <c r="H104" s="908">
        <v>25</v>
      </c>
      <c r="I104" s="909"/>
      <c r="J104" s="909">
        <v>25</v>
      </c>
      <c r="K104" s="909">
        <v>4</v>
      </c>
      <c r="L104" s="697">
        <f t="shared" si="60"/>
        <v>3.4</v>
      </c>
      <c r="M104" s="910">
        <v>0.15</v>
      </c>
      <c r="N104" s="697">
        <f>J104*K104*M104</f>
        <v>15</v>
      </c>
      <c r="O104" s="909">
        <v>21560</v>
      </c>
      <c r="P104" s="697">
        <f>O104*J104*M104</f>
        <v>80850</v>
      </c>
      <c r="Q104" s="911"/>
      <c r="R104" s="911"/>
      <c r="S104" s="912"/>
      <c r="T104" s="900">
        <f>S104+P104</f>
        <v>80850</v>
      </c>
    </row>
    <row r="105" spans="1:20" x14ac:dyDescent="0.25">
      <c r="A105" s="794"/>
      <c r="B105" s="696" t="s">
        <v>550</v>
      </c>
      <c r="C105" s="796"/>
      <c r="D105" s="797"/>
      <c r="E105" s="798"/>
      <c r="F105" s="796" t="s">
        <v>586</v>
      </c>
      <c r="G105" s="796"/>
      <c r="H105" s="898">
        <f t="shared" ref="H105:H131" si="107">I105+J105</f>
        <v>4</v>
      </c>
      <c r="I105" s="697"/>
      <c r="J105" s="697">
        <v>4</v>
      </c>
      <c r="K105" s="697">
        <v>5</v>
      </c>
      <c r="L105" s="697">
        <v>4</v>
      </c>
      <c r="M105" s="913">
        <f>(K105-L105)/K105</f>
        <v>0.2</v>
      </c>
      <c r="N105" s="697"/>
      <c r="O105" s="697"/>
      <c r="P105" s="697">
        <f t="shared" si="61"/>
        <v>0</v>
      </c>
      <c r="Q105" s="697">
        <f>J105*K105*M105</f>
        <v>4</v>
      </c>
      <c r="R105" s="697">
        <v>17</v>
      </c>
      <c r="S105" s="888">
        <f t="shared" ref="S105:S110" si="108">Q105*R105*1000</f>
        <v>68000</v>
      </c>
      <c r="T105" s="914">
        <f t="shared" ref="T105:T110" si="109">S105</f>
        <v>68000</v>
      </c>
    </row>
    <row r="106" spans="1:20" x14ac:dyDescent="0.25">
      <c r="A106" s="794"/>
      <c r="B106" s="696" t="s">
        <v>552</v>
      </c>
      <c r="C106" s="796"/>
      <c r="D106" s="797"/>
      <c r="E106" s="798"/>
      <c r="F106" s="796" t="s">
        <v>586</v>
      </c>
      <c r="G106" s="796"/>
      <c r="H106" s="898">
        <f t="shared" si="107"/>
        <v>1</v>
      </c>
      <c r="I106" s="697"/>
      <c r="J106" s="697">
        <v>1</v>
      </c>
      <c r="K106" s="697">
        <v>4.5</v>
      </c>
      <c r="L106" s="697">
        <v>4.28</v>
      </c>
      <c r="M106" s="913">
        <f>(K106-L106)/K106</f>
        <v>4.8888888888888836E-2</v>
      </c>
      <c r="N106" s="697"/>
      <c r="O106" s="697"/>
      <c r="P106" s="697">
        <f t="shared" si="61"/>
        <v>0</v>
      </c>
      <c r="Q106" s="697">
        <f>J106*K106*M106</f>
        <v>0.21999999999999975</v>
      </c>
      <c r="R106" s="697">
        <v>17</v>
      </c>
      <c r="S106" s="888">
        <f t="shared" si="108"/>
        <v>3739.9999999999959</v>
      </c>
      <c r="T106" s="914">
        <f t="shared" si="109"/>
        <v>3739.9999999999959</v>
      </c>
    </row>
    <row r="107" spans="1:20" s="515" customFormat="1" x14ac:dyDescent="0.25">
      <c r="A107" s="1069"/>
      <c r="B107" s="696" t="s">
        <v>543</v>
      </c>
      <c r="C107" s="1073"/>
      <c r="D107" s="1070"/>
      <c r="E107" s="1079">
        <f>SUM(E108:E109)</f>
        <v>0</v>
      </c>
      <c r="F107" s="1079">
        <f t="shared" ref="F107" si="110">SUM(F108:F109)</f>
        <v>0</v>
      </c>
      <c r="G107" s="1079">
        <f t="shared" ref="G107" si="111">SUM(G108:G109)</f>
        <v>0</v>
      </c>
      <c r="H107" s="1079">
        <f t="shared" ref="H107" si="112">SUM(H108:H109)</f>
        <v>150</v>
      </c>
      <c r="I107" s="1079">
        <f t="shared" ref="I107" si="113">SUM(I108:I109)</f>
        <v>0</v>
      </c>
      <c r="J107" s="1079">
        <f t="shared" ref="J107" si="114">SUM(J108:J109)</f>
        <v>150</v>
      </c>
      <c r="K107" s="1079">
        <f t="shared" ref="K107" si="115">SUM(K108:K109)</f>
        <v>9.6</v>
      </c>
      <c r="L107" s="1079">
        <f t="shared" ref="L107" si="116">SUM(L108:L109)</f>
        <v>7.68</v>
      </c>
      <c r="M107" s="1079">
        <f t="shared" ref="M107" si="117">SUM(M108:M109)</f>
        <v>0.39999999999999991</v>
      </c>
      <c r="N107" s="1079">
        <f t="shared" ref="N107" si="118">SUM(N108:N109)</f>
        <v>0</v>
      </c>
      <c r="O107" s="1079">
        <f t="shared" ref="O107" si="119">SUM(O108:O109)</f>
        <v>0</v>
      </c>
      <c r="P107" s="1079">
        <f t="shared" ref="P107" si="120">SUM(P108:P109)</f>
        <v>0</v>
      </c>
      <c r="Q107" s="1079">
        <f t="shared" ref="Q107" si="121">SUM(Q108:Q109)</f>
        <v>115.19999999999997</v>
      </c>
      <c r="R107" s="1079">
        <f t="shared" ref="R107" si="122">SUM(R108:R109)</f>
        <v>34</v>
      </c>
      <c r="S107" s="1079">
        <f t="shared" ref="S107" si="123">SUM(S108:S109)</f>
        <v>1958399.9999999995</v>
      </c>
      <c r="T107" s="1079">
        <f t="shared" ref="T107" si="124">SUM(T108:T109)</f>
        <v>1958399.9999999995</v>
      </c>
    </row>
    <row r="108" spans="1:20" x14ac:dyDescent="0.25">
      <c r="A108" s="794"/>
      <c r="C108" s="796"/>
      <c r="D108" s="797"/>
      <c r="E108" s="798"/>
      <c r="F108" s="796" t="s">
        <v>586</v>
      </c>
      <c r="G108" s="796"/>
      <c r="H108" s="898">
        <f t="shared" si="107"/>
        <v>135</v>
      </c>
      <c r="I108" s="697"/>
      <c r="J108" s="697">
        <v>135</v>
      </c>
      <c r="K108" s="697">
        <v>4.8</v>
      </c>
      <c r="L108" s="697">
        <v>4.08</v>
      </c>
      <c r="M108" s="913">
        <f t="shared" ref="M108:M117" si="125">(K108-L108)/K108</f>
        <v>0.14999999999999997</v>
      </c>
      <c r="N108" s="697"/>
      <c r="O108" s="697"/>
      <c r="P108" s="697">
        <f t="shared" si="61"/>
        <v>0</v>
      </c>
      <c r="Q108" s="697">
        <f>J108*K108*M108</f>
        <v>97.199999999999974</v>
      </c>
      <c r="R108" s="697">
        <v>17</v>
      </c>
      <c r="S108" s="888">
        <f>Q108*R108*1000</f>
        <v>1652399.9999999995</v>
      </c>
      <c r="T108" s="914">
        <f>S108</f>
        <v>1652399.9999999995</v>
      </c>
    </row>
    <row r="109" spans="1:20" x14ac:dyDescent="0.25">
      <c r="A109" s="794"/>
      <c r="B109" s="696"/>
      <c r="C109" s="796"/>
      <c r="D109" s="797"/>
      <c r="E109" s="798"/>
      <c r="F109" s="796"/>
      <c r="G109" s="796"/>
      <c r="H109" s="898">
        <f t="shared" si="107"/>
        <v>15</v>
      </c>
      <c r="I109" s="697"/>
      <c r="J109" s="697">
        <v>15</v>
      </c>
      <c r="K109" s="697">
        <v>4.8</v>
      </c>
      <c r="L109" s="697">
        <v>3.6</v>
      </c>
      <c r="M109" s="913">
        <f t="shared" si="125"/>
        <v>0.24999999999999994</v>
      </c>
      <c r="N109" s="697"/>
      <c r="O109" s="697"/>
      <c r="P109" s="697">
        <f t="shared" si="61"/>
        <v>0</v>
      </c>
      <c r="Q109" s="697">
        <f>J109*K109*M109</f>
        <v>17.999999999999996</v>
      </c>
      <c r="R109" s="697">
        <v>17</v>
      </c>
      <c r="S109" s="888">
        <f>Q109*R109*1000</f>
        <v>305999.99999999994</v>
      </c>
      <c r="T109" s="914">
        <f>S109</f>
        <v>305999.99999999994</v>
      </c>
    </row>
    <row r="110" spans="1:20" x14ac:dyDescent="0.25">
      <c r="A110" s="794"/>
      <c r="B110" s="696" t="s">
        <v>570</v>
      </c>
      <c r="C110" s="796"/>
      <c r="D110" s="797"/>
      <c r="E110" s="798"/>
      <c r="F110" s="796" t="s">
        <v>586</v>
      </c>
      <c r="G110" s="796"/>
      <c r="H110" s="898">
        <f t="shared" si="107"/>
        <v>10</v>
      </c>
      <c r="I110" s="697">
        <v>10</v>
      </c>
      <c r="J110" s="697"/>
      <c r="K110" s="697">
        <v>4.5</v>
      </c>
      <c r="L110" s="697">
        <v>0</v>
      </c>
      <c r="M110" s="913">
        <f t="shared" si="125"/>
        <v>1</v>
      </c>
      <c r="N110" s="697"/>
      <c r="O110" s="697"/>
      <c r="P110" s="697">
        <f t="shared" si="61"/>
        <v>0</v>
      </c>
      <c r="Q110" s="697">
        <f>I110*K110*M110</f>
        <v>45</v>
      </c>
      <c r="R110" s="697">
        <v>17</v>
      </c>
      <c r="S110" s="888">
        <f t="shared" si="108"/>
        <v>765000</v>
      </c>
      <c r="T110" s="914">
        <f t="shared" si="109"/>
        <v>765000</v>
      </c>
    </row>
    <row r="111" spans="1:20" x14ac:dyDescent="0.25">
      <c r="A111" s="794"/>
      <c r="B111" s="696" t="s">
        <v>833</v>
      </c>
      <c r="C111" s="796"/>
      <c r="D111" s="797"/>
      <c r="E111" s="798"/>
      <c r="F111" s="796" t="s">
        <v>586</v>
      </c>
      <c r="G111" s="796"/>
      <c r="H111" s="898">
        <f t="shared" si="107"/>
        <v>0.5</v>
      </c>
      <c r="I111" s="697"/>
      <c r="J111" s="697">
        <v>0.5</v>
      </c>
      <c r="K111" s="697">
        <v>4</v>
      </c>
      <c r="L111" s="697">
        <v>3.6</v>
      </c>
      <c r="M111" s="913">
        <f t="shared" si="125"/>
        <v>9.9999999999999978E-2</v>
      </c>
      <c r="N111" s="697"/>
      <c r="O111" s="697"/>
      <c r="P111" s="697">
        <f t="shared" si="61"/>
        <v>0</v>
      </c>
      <c r="Q111" s="697">
        <f>J111*K111*M111</f>
        <v>0.19999999999999996</v>
      </c>
      <c r="R111" s="697">
        <v>17</v>
      </c>
      <c r="S111" s="888">
        <f>Q111*R111*1000</f>
        <v>3399.9999999999995</v>
      </c>
      <c r="T111" s="914">
        <f>S111</f>
        <v>3399.9999999999995</v>
      </c>
    </row>
    <row r="112" spans="1:20" s="515" customFormat="1" x14ac:dyDescent="0.25">
      <c r="A112" s="1069"/>
      <c r="B112" s="696" t="s">
        <v>541</v>
      </c>
      <c r="C112" s="1073"/>
      <c r="D112" s="1070"/>
      <c r="E112" s="1079">
        <f>SUM(E113:E114)</f>
        <v>0</v>
      </c>
      <c r="F112" s="1079">
        <f t="shared" ref="F112" si="126">SUM(F113:F114)</f>
        <v>0</v>
      </c>
      <c r="G112" s="1079">
        <f t="shared" ref="G112" si="127">SUM(G113:G114)</f>
        <v>0</v>
      </c>
      <c r="H112" s="1079">
        <f t="shared" ref="H112" si="128">SUM(H113:H114)</f>
        <v>4</v>
      </c>
      <c r="I112" s="1079">
        <f t="shared" ref="I112" si="129">SUM(I113:I114)</f>
        <v>1</v>
      </c>
      <c r="J112" s="1079">
        <f t="shared" ref="J112" si="130">SUM(J113:J114)</f>
        <v>3</v>
      </c>
      <c r="K112" s="1079">
        <f t="shared" ref="K112" si="131">SUM(K113:K114)</f>
        <v>9.3000000000000007</v>
      </c>
      <c r="L112" s="1079">
        <f t="shared" ref="L112" si="132">SUM(L113:L114)</f>
        <v>4.05</v>
      </c>
      <c r="M112" s="1079">
        <f t="shared" ref="M112" si="133">SUM(M113:M114)</f>
        <v>1.1000000000000001</v>
      </c>
      <c r="N112" s="1079">
        <f t="shared" ref="N112" si="134">SUM(N113:N114)</f>
        <v>4.8</v>
      </c>
      <c r="O112" s="1079">
        <f t="shared" ref="O112" si="135">SUM(O113:O114)</f>
        <v>21560</v>
      </c>
      <c r="P112" s="1079">
        <f t="shared" ref="P112" si="136">SUM(P113:P114)</f>
        <v>21560</v>
      </c>
      <c r="Q112" s="1079">
        <f t="shared" ref="Q112" si="137">SUM(Q113:Q114)</f>
        <v>1.3500000000000005</v>
      </c>
      <c r="R112" s="1079">
        <f t="shared" ref="R112" si="138">SUM(R113:R114)</f>
        <v>17</v>
      </c>
      <c r="S112" s="1079">
        <f t="shared" ref="S112" si="139">SUM(S113:S114)</f>
        <v>22950.000000000011</v>
      </c>
      <c r="T112" s="1079">
        <f t="shared" ref="T112" si="140">SUM(T113:T114)</f>
        <v>44510.000000000015</v>
      </c>
    </row>
    <row r="113" spans="1:20" x14ac:dyDescent="0.25">
      <c r="A113" s="794"/>
      <c r="C113" s="796"/>
      <c r="D113" s="797"/>
      <c r="E113" s="798"/>
      <c r="F113" s="796" t="s">
        <v>586</v>
      </c>
      <c r="G113" s="796"/>
      <c r="H113" s="898">
        <f t="shared" si="107"/>
        <v>3</v>
      </c>
      <c r="I113" s="697"/>
      <c r="J113" s="697">
        <v>3</v>
      </c>
      <c r="K113" s="697">
        <v>4.5</v>
      </c>
      <c r="L113" s="697">
        <v>4.05</v>
      </c>
      <c r="M113" s="913">
        <f t="shared" si="125"/>
        <v>0.10000000000000003</v>
      </c>
      <c r="N113" s="697"/>
      <c r="O113" s="697"/>
      <c r="P113" s="697">
        <f t="shared" si="61"/>
        <v>0</v>
      </c>
      <c r="Q113" s="697">
        <f>J113*K113*M113</f>
        <v>1.3500000000000005</v>
      </c>
      <c r="R113" s="697">
        <v>17</v>
      </c>
      <c r="S113" s="888">
        <f>Q113*R113*1000</f>
        <v>22950.000000000011</v>
      </c>
      <c r="T113" s="914">
        <f>S113</f>
        <v>22950.000000000011</v>
      </c>
    </row>
    <row r="114" spans="1:20" x14ac:dyDescent="0.25">
      <c r="A114" s="794"/>
      <c r="B114" s="696"/>
      <c r="C114" s="796"/>
      <c r="D114" s="797"/>
      <c r="E114" s="798"/>
      <c r="F114" s="796" t="s">
        <v>539</v>
      </c>
      <c r="G114" s="796"/>
      <c r="H114" s="898">
        <f t="shared" si="107"/>
        <v>1</v>
      </c>
      <c r="I114" s="697">
        <v>1</v>
      </c>
      <c r="J114" s="697"/>
      <c r="K114" s="697">
        <v>4.8</v>
      </c>
      <c r="L114" s="697">
        <v>0</v>
      </c>
      <c r="M114" s="913">
        <f t="shared" si="125"/>
        <v>1</v>
      </c>
      <c r="N114" s="697">
        <f>I114*K114*M114</f>
        <v>4.8</v>
      </c>
      <c r="O114" s="697">
        <v>21560</v>
      </c>
      <c r="P114" s="697">
        <f>O114*I114*M114</f>
        <v>21560</v>
      </c>
      <c r="Q114" s="697"/>
      <c r="R114" s="697"/>
      <c r="S114" s="888"/>
      <c r="T114" s="914">
        <f>P114</f>
        <v>21560</v>
      </c>
    </row>
    <row r="115" spans="1:20" x14ac:dyDescent="0.25">
      <c r="A115" s="794"/>
      <c r="B115" s="696" t="s">
        <v>565</v>
      </c>
      <c r="C115" s="796"/>
      <c r="D115" s="797"/>
      <c r="E115" s="798"/>
      <c r="F115" s="796" t="s">
        <v>586</v>
      </c>
      <c r="G115" s="796"/>
      <c r="H115" s="898">
        <f t="shared" si="107"/>
        <v>5</v>
      </c>
      <c r="I115" s="697">
        <v>5</v>
      </c>
      <c r="J115" s="697"/>
      <c r="K115" s="697">
        <v>4</v>
      </c>
      <c r="L115" s="697">
        <v>0</v>
      </c>
      <c r="M115" s="913">
        <f t="shared" si="125"/>
        <v>1</v>
      </c>
      <c r="N115" s="697"/>
      <c r="O115" s="697"/>
      <c r="P115" s="697"/>
      <c r="Q115" s="697">
        <f>I115*K115*M115</f>
        <v>20</v>
      </c>
      <c r="R115" s="697">
        <v>17</v>
      </c>
      <c r="S115" s="888">
        <f>Q115*R115*1000</f>
        <v>340000</v>
      </c>
      <c r="T115" s="914">
        <f>S115</f>
        <v>340000</v>
      </c>
    </row>
    <row r="116" spans="1:20" s="515" customFormat="1" x14ac:dyDescent="0.25">
      <c r="A116" s="1069"/>
      <c r="B116" s="696" t="s">
        <v>556</v>
      </c>
      <c r="C116" s="1073"/>
      <c r="D116" s="1070"/>
      <c r="E116" s="1079">
        <f>SUM(E117:E118)</f>
        <v>0</v>
      </c>
      <c r="F116" s="1079">
        <f t="shared" ref="F116" si="141">SUM(F117:F118)</f>
        <v>0</v>
      </c>
      <c r="G116" s="1079">
        <f t="shared" ref="G116" si="142">SUM(G117:G118)</f>
        <v>0</v>
      </c>
      <c r="H116" s="1079">
        <f t="shared" ref="H116" si="143">SUM(H117:H118)</f>
        <v>181.67000000000002</v>
      </c>
      <c r="I116" s="1079">
        <f t="shared" ref="I116" si="144">SUM(I117:I118)</f>
        <v>0</v>
      </c>
      <c r="J116" s="1079">
        <f t="shared" ref="J116" si="145">SUM(J117:J118)</f>
        <v>181.67000000000002</v>
      </c>
      <c r="K116" s="1079">
        <f t="shared" ref="K116" si="146">SUM(K117:K118)</f>
        <v>9.3000000000000007</v>
      </c>
      <c r="L116" s="1079">
        <f t="shared" ref="L116" si="147">SUM(L117:L118)</f>
        <v>7.41</v>
      </c>
      <c r="M116" s="1079">
        <f t="shared" ref="M116" si="148">SUM(M117:M118)</f>
        <v>0.4</v>
      </c>
      <c r="N116" s="1079">
        <f t="shared" ref="N116" si="149">SUM(N117:N118)</f>
        <v>0</v>
      </c>
      <c r="O116" s="1079">
        <f t="shared" ref="O116" si="150">SUM(O117:O118)</f>
        <v>21560</v>
      </c>
      <c r="P116" s="1079">
        <f t="shared" ref="P116" si="151">SUM(P117:P118)</f>
        <v>264907.72000000003</v>
      </c>
      <c r="Q116" s="1079">
        <f t="shared" ref="Q116" si="152">SUM(Q117:Q118)</f>
        <v>84.671999999999983</v>
      </c>
      <c r="R116" s="1079">
        <f t="shared" ref="R116" si="153">SUM(R117:R118)</f>
        <v>17</v>
      </c>
      <c r="S116" s="1079">
        <f t="shared" ref="S116" si="154">SUM(S117:S118)</f>
        <v>1439423.9999999998</v>
      </c>
      <c r="T116" s="1079">
        <f t="shared" ref="T116" si="155">SUM(T117:T118)</f>
        <v>1704331.7199999997</v>
      </c>
    </row>
    <row r="117" spans="1:20" x14ac:dyDescent="0.25">
      <c r="A117" s="794"/>
      <c r="C117" s="796"/>
      <c r="D117" s="797"/>
      <c r="E117" s="798"/>
      <c r="F117" s="796" t="s">
        <v>586</v>
      </c>
      <c r="G117" s="796"/>
      <c r="H117" s="898">
        <f t="shared" si="107"/>
        <v>58.8</v>
      </c>
      <c r="I117" s="697"/>
      <c r="J117" s="697">
        <v>58.8</v>
      </c>
      <c r="K117" s="697">
        <v>4.8</v>
      </c>
      <c r="L117" s="697">
        <v>3.36</v>
      </c>
      <c r="M117" s="913">
        <f t="shared" si="125"/>
        <v>0.3</v>
      </c>
      <c r="N117" s="697"/>
      <c r="O117" s="697"/>
      <c r="P117" s="697"/>
      <c r="Q117" s="697">
        <f>J117*K117*M117</f>
        <v>84.671999999999983</v>
      </c>
      <c r="R117" s="697">
        <v>17</v>
      </c>
      <c r="S117" s="888">
        <f>Q117*R117*1000</f>
        <v>1439423.9999999998</v>
      </c>
      <c r="T117" s="914">
        <f>S117</f>
        <v>1439423.9999999998</v>
      </c>
    </row>
    <row r="118" spans="1:20" x14ac:dyDescent="0.25">
      <c r="A118" s="794"/>
      <c r="B118" s="696"/>
      <c r="C118" s="796"/>
      <c r="D118" s="797"/>
      <c r="E118" s="798"/>
      <c r="F118" s="796" t="s">
        <v>539</v>
      </c>
      <c r="G118" s="796"/>
      <c r="H118" s="898">
        <v>122.87</v>
      </c>
      <c r="I118" s="697"/>
      <c r="J118" s="697">
        <v>122.87</v>
      </c>
      <c r="K118" s="697">
        <v>4.5</v>
      </c>
      <c r="L118" s="697">
        <v>4.05</v>
      </c>
      <c r="M118" s="913">
        <v>0.1</v>
      </c>
      <c r="N118" s="697"/>
      <c r="O118" s="697">
        <v>21560</v>
      </c>
      <c r="P118" s="697">
        <f>O118*J118*M118</f>
        <v>264907.72000000003</v>
      </c>
      <c r="Q118" s="697"/>
      <c r="R118" s="697"/>
      <c r="S118" s="888"/>
      <c r="T118" s="914">
        <f>P118+S118</f>
        <v>264907.72000000003</v>
      </c>
    </row>
    <row r="119" spans="1:20" x14ac:dyDescent="0.25">
      <c r="A119" s="794"/>
      <c r="B119" s="696" t="s">
        <v>562</v>
      </c>
      <c r="C119" s="796"/>
      <c r="D119" s="797"/>
      <c r="E119" s="798"/>
      <c r="F119" s="796" t="s">
        <v>539</v>
      </c>
      <c r="G119" s="1526"/>
      <c r="H119" s="898">
        <f t="shared" si="107"/>
        <v>4.3</v>
      </c>
      <c r="I119" s="697">
        <v>4.3</v>
      </c>
      <c r="J119" s="697"/>
      <c r="K119" s="697">
        <v>4.5</v>
      </c>
      <c r="L119" s="697">
        <v>0</v>
      </c>
      <c r="M119" s="913">
        <v>1</v>
      </c>
      <c r="N119" s="697">
        <f>I119*K119*M119</f>
        <v>19.349999999999998</v>
      </c>
      <c r="O119" s="697">
        <v>21560</v>
      </c>
      <c r="P119" s="697">
        <f t="shared" si="61"/>
        <v>92708</v>
      </c>
      <c r="Q119" s="697"/>
      <c r="R119" s="697"/>
      <c r="S119" s="888"/>
      <c r="T119" s="914">
        <f>P119</f>
        <v>92708</v>
      </c>
    </row>
    <row r="120" spans="1:20" x14ac:dyDescent="0.25">
      <c r="A120" s="794"/>
      <c r="B120" s="696" t="s">
        <v>582</v>
      </c>
      <c r="C120" s="796"/>
      <c r="D120" s="797"/>
      <c r="E120" s="798"/>
      <c r="F120" s="796" t="s">
        <v>539</v>
      </c>
      <c r="G120" s="1526"/>
      <c r="H120" s="898">
        <f t="shared" si="107"/>
        <v>30</v>
      </c>
      <c r="I120" s="697">
        <v>30</v>
      </c>
      <c r="J120" s="697"/>
      <c r="K120" s="697">
        <v>4.5</v>
      </c>
      <c r="L120" s="697">
        <v>0</v>
      </c>
      <c r="M120" s="913">
        <v>1</v>
      </c>
      <c r="N120" s="697">
        <f>I120*K120*M120</f>
        <v>135</v>
      </c>
      <c r="O120" s="697">
        <v>21560</v>
      </c>
      <c r="P120" s="697">
        <f t="shared" si="61"/>
        <v>646800</v>
      </c>
      <c r="Q120" s="697"/>
      <c r="R120" s="697"/>
      <c r="S120" s="888"/>
      <c r="T120" s="914">
        <f>P120</f>
        <v>646800</v>
      </c>
    </row>
    <row r="121" spans="1:20" s="515" customFormat="1" x14ac:dyDescent="0.25">
      <c r="A121" s="1069"/>
      <c r="B121" s="696" t="s">
        <v>569</v>
      </c>
      <c r="C121" s="1073"/>
      <c r="D121" s="1070"/>
      <c r="E121" s="1079">
        <f>SUM(E122:E124)</f>
        <v>0</v>
      </c>
      <c r="F121" s="1079">
        <f t="shared" ref="F121:T121" si="156">SUM(F122:F124)</f>
        <v>0</v>
      </c>
      <c r="G121" s="1079">
        <f t="shared" si="156"/>
        <v>0</v>
      </c>
      <c r="H121" s="1079">
        <f t="shared" si="156"/>
        <v>21.25</v>
      </c>
      <c r="I121" s="1079">
        <f t="shared" si="156"/>
        <v>7.75</v>
      </c>
      <c r="J121" s="1079">
        <f t="shared" si="156"/>
        <v>13.5</v>
      </c>
      <c r="K121" s="1079">
        <f t="shared" si="156"/>
        <v>13.25</v>
      </c>
      <c r="L121" s="1079">
        <f t="shared" si="156"/>
        <v>3.4</v>
      </c>
      <c r="M121" s="1079">
        <f t="shared" si="156"/>
        <v>21.15</v>
      </c>
      <c r="N121" s="1079">
        <f t="shared" si="156"/>
        <v>41.965000000000003</v>
      </c>
      <c r="O121" s="1079">
        <f t="shared" si="156"/>
        <v>40000</v>
      </c>
      <c r="P121" s="1079">
        <f t="shared" si="156"/>
        <v>186500</v>
      </c>
      <c r="Q121" s="1079">
        <f t="shared" si="156"/>
        <v>2.5499999999999998</v>
      </c>
      <c r="R121" s="1079">
        <f t="shared" si="156"/>
        <v>17</v>
      </c>
      <c r="S121" s="1079">
        <f t="shared" si="156"/>
        <v>43350</v>
      </c>
      <c r="T121" s="1079">
        <f t="shared" si="156"/>
        <v>229850</v>
      </c>
    </row>
    <row r="122" spans="1:20" x14ac:dyDescent="0.25">
      <c r="A122" s="794"/>
      <c r="C122" s="796"/>
      <c r="D122" s="797"/>
      <c r="E122" s="798"/>
      <c r="F122" s="796" t="s">
        <v>539</v>
      </c>
      <c r="G122" s="1526"/>
      <c r="H122" s="898">
        <f>I122+J122</f>
        <v>7.75</v>
      </c>
      <c r="I122" s="697">
        <v>7.75</v>
      </c>
      <c r="J122" s="697"/>
      <c r="K122" s="697">
        <v>4.5</v>
      </c>
      <c r="L122" s="697">
        <v>0</v>
      </c>
      <c r="M122" s="913">
        <v>1</v>
      </c>
      <c r="N122" s="697">
        <f>I122*K122*M122</f>
        <v>34.875</v>
      </c>
      <c r="O122" s="697">
        <v>20000</v>
      </c>
      <c r="P122" s="697">
        <f t="shared" si="61"/>
        <v>155000</v>
      </c>
      <c r="Q122" s="697"/>
      <c r="R122" s="697"/>
      <c r="S122" s="888"/>
      <c r="T122" s="914">
        <f>P122</f>
        <v>155000</v>
      </c>
    </row>
    <row r="123" spans="1:20" x14ac:dyDescent="0.25">
      <c r="A123" s="794"/>
      <c r="B123" s="696"/>
      <c r="C123" s="796"/>
      <c r="D123" s="797"/>
      <c r="E123" s="798"/>
      <c r="F123" s="796" t="s">
        <v>539</v>
      </c>
      <c r="G123" s="1526"/>
      <c r="H123" s="898">
        <f>I123+J123</f>
        <v>10.5</v>
      </c>
      <c r="I123" s="697"/>
      <c r="J123" s="697">
        <v>10.5</v>
      </c>
      <c r="K123" s="697">
        <v>4.5</v>
      </c>
      <c r="L123" s="697">
        <v>0</v>
      </c>
      <c r="M123" s="913">
        <v>0.15</v>
      </c>
      <c r="N123" s="697">
        <v>7.09</v>
      </c>
      <c r="O123" s="697">
        <v>20000</v>
      </c>
      <c r="P123" s="697">
        <v>31500</v>
      </c>
      <c r="Q123" s="697"/>
      <c r="R123" s="697"/>
      <c r="S123" s="888"/>
      <c r="T123" s="914">
        <f>P123</f>
        <v>31500</v>
      </c>
    </row>
    <row r="124" spans="1:20" x14ac:dyDescent="0.25">
      <c r="A124" s="794"/>
      <c r="B124" s="696"/>
      <c r="C124" s="796"/>
      <c r="D124" s="797"/>
      <c r="E124" s="798"/>
      <c r="F124" s="796" t="s">
        <v>586</v>
      </c>
      <c r="G124" s="1526"/>
      <c r="H124" s="898">
        <v>3</v>
      </c>
      <c r="I124" s="697"/>
      <c r="J124" s="697">
        <v>3</v>
      </c>
      <c r="K124" s="697">
        <v>4.25</v>
      </c>
      <c r="L124" s="697">
        <v>3.4</v>
      </c>
      <c r="M124" s="913">
        <v>20</v>
      </c>
      <c r="N124" s="697"/>
      <c r="O124" s="697"/>
      <c r="P124" s="697"/>
      <c r="Q124" s="697">
        <v>2.5499999999999998</v>
      </c>
      <c r="R124" s="697">
        <v>17</v>
      </c>
      <c r="S124" s="888">
        <v>43350</v>
      </c>
      <c r="T124" s="914">
        <f>S124</f>
        <v>43350</v>
      </c>
    </row>
    <row r="125" spans="1:20" x14ac:dyDescent="0.25">
      <c r="A125" s="794"/>
      <c r="B125" s="696" t="s">
        <v>578</v>
      </c>
      <c r="C125" s="796"/>
      <c r="D125" s="797"/>
      <c r="E125" s="798"/>
      <c r="F125" s="796" t="s">
        <v>539</v>
      </c>
      <c r="G125" s="1526"/>
      <c r="H125" s="898">
        <f t="shared" si="107"/>
        <v>2.5</v>
      </c>
      <c r="I125" s="697">
        <v>2.5</v>
      </c>
      <c r="J125" s="697"/>
      <c r="K125" s="697">
        <v>4.5</v>
      </c>
      <c r="L125" s="697">
        <v>0</v>
      </c>
      <c r="M125" s="913">
        <v>1</v>
      </c>
      <c r="N125" s="697">
        <f>I125*K125*M125</f>
        <v>11.25</v>
      </c>
      <c r="O125" s="697">
        <v>21560</v>
      </c>
      <c r="P125" s="697">
        <f t="shared" si="61"/>
        <v>53900</v>
      </c>
      <c r="Q125" s="697"/>
      <c r="R125" s="697"/>
      <c r="S125" s="888"/>
      <c r="T125" s="914">
        <f>P125</f>
        <v>53900</v>
      </c>
    </row>
    <row r="126" spans="1:20" x14ac:dyDescent="0.25">
      <c r="A126" s="794"/>
      <c r="B126" s="696" t="s">
        <v>561</v>
      </c>
      <c r="C126" s="796"/>
      <c r="D126" s="797"/>
      <c r="E126" s="798"/>
      <c r="F126" s="796" t="s">
        <v>539</v>
      </c>
      <c r="G126" s="1526"/>
      <c r="H126" s="898">
        <f t="shared" si="107"/>
        <v>5</v>
      </c>
      <c r="I126" s="697">
        <v>5</v>
      </c>
      <c r="J126" s="697"/>
      <c r="K126" s="697">
        <v>4.5</v>
      </c>
      <c r="L126" s="697">
        <v>0</v>
      </c>
      <c r="M126" s="913">
        <v>1</v>
      </c>
      <c r="N126" s="697">
        <f>I126*K126*M126</f>
        <v>22.5</v>
      </c>
      <c r="O126" s="697">
        <v>20000</v>
      </c>
      <c r="P126" s="697">
        <f>O126*I126*M126</f>
        <v>100000</v>
      </c>
      <c r="Q126" s="697"/>
      <c r="R126" s="697"/>
      <c r="S126" s="888"/>
      <c r="T126" s="914">
        <f>P126</f>
        <v>100000</v>
      </c>
    </row>
    <row r="127" spans="1:20" x14ac:dyDescent="0.25">
      <c r="A127" s="794"/>
      <c r="B127" s="696" t="s">
        <v>559</v>
      </c>
      <c r="C127" s="796"/>
      <c r="D127" s="797"/>
      <c r="E127" s="798"/>
      <c r="F127" s="796" t="s">
        <v>586</v>
      </c>
      <c r="G127" s="1526"/>
      <c r="H127" s="898">
        <f t="shared" si="107"/>
        <v>142.75</v>
      </c>
      <c r="I127" s="697">
        <v>142.75</v>
      </c>
      <c r="J127" s="697"/>
      <c r="K127" s="697">
        <v>4.5</v>
      </c>
      <c r="L127" s="697">
        <v>0</v>
      </c>
      <c r="M127" s="913">
        <v>1</v>
      </c>
      <c r="N127" s="697"/>
      <c r="O127" s="697"/>
      <c r="P127" s="697">
        <f t="shared" si="61"/>
        <v>0</v>
      </c>
      <c r="Q127" s="697">
        <f>I127*K127*M127</f>
        <v>642.375</v>
      </c>
      <c r="R127" s="697">
        <v>17</v>
      </c>
      <c r="S127" s="888">
        <f>Q127*R127*1000</f>
        <v>10920375</v>
      </c>
      <c r="T127" s="914">
        <f>S127</f>
        <v>10920375</v>
      </c>
    </row>
    <row r="128" spans="1:20" x14ac:dyDescent="0.25">
      <c r="A128" s="794"/>
      <c r="B128" s="696" t="s">
        <v>558</v>
      </c>
      <c r="C128" s="796"/>
      <c r="D128" s="797"/>
      <c r="E128" s="798"/>
      <c r="F128" s="796" t="s">
        <v>539</v>
      </c>
      <c r="G128" s="1526"/>
      <c r="H128" s="898">
        <v>21</v>
      </c>
      <c r="I128" s="697">
        <v>21</v>
      </c>
      <c r="J128" s="697"/>
      <c r="K128" s="697">
        <v>4</v>
      </c>
      <c r="L128" s="697">
        <v>0</v>
      </c>
      <c r="M128" s="913">
        <v>1</v>
      </c>
      <c r="N128" s="697">
        <f>I128*K128*M128</f>
        <v>84</v>
      </c>
      <c r="O128" s="697">
        <v>21560</v>
      </c>
      <c r="P128" s="697">
        <f>O128*I128*M128</f>
        <v>452760</v>
      </c>
      <c r="Q128" s="697"/>
      <c r="R128" s="697"/>
      <c r="S128" s="888"/>
      <c r="T128" s="914">
        <f>P128</f>
        <v>452760</v>
      </c>
    </row>
    <row r="129" spans="1:20" s="515" customFormat="1" x14ac:dyDescent="0.25">
      <c r="A129" s="1069"/>
      <c r="B129" s="696" t="s">
        <v>834</v>
      </c>
      <c r="C129" s="1073"/>
      <c r="D129" s="1070"/>
      <c r="E129" s="1079">
        <f>SUM(E130:E133)</f>
        <v>0</v>
      </c>
      <c r="F129" s="1079">
        <f t="shared" ref="F129:T129" si="157">SUM(F130:F133)</f>
        <v>0</v>
      </c>
      <c r="G129" s="1079">
        <f t="shared" si="157"/>
        <v>0</v>
      </c>
      <c r="H129" s="1079">
        <f t="shared" si="157"/>
        <v>5.09</v>
      </c>
      <c r="I129" s="1079">
        <f t="shared" si="157"/>
        <v>5.09</v>
      </c>
      <c r="J129" s="1079">
        <f t="shared" si="157"/>
        <v>0</v>
      </c>
      <c r="K129" s="1079">
        <f t="shared" si="157"/>
        <v>0</v>
      </c>
      <c r="L129" s="1079">
        <f t="shared" si="157"/>
        <v>0</v>
      </c>
      <c r="M129" s="1079">
        <f t="shared" si="157"/>
        <v>4</v>
      </c>
      <c r="N129" s="1079">
        <f t="shared" si="157"/>
        <v>0</v>
      </c>
      <c r="O129" s="1079">
        <f t="shared" si="157"/>
        <v>51820</v>
      </c>
      <c r="P129" s="1079">
        <f t="shared" si="157"/>
        <v>354563.8</v>
      </c>
      <c r="Q129" s="1079">
        <f t="shared" si="157"/>
        <v>0</v>
      </c>
      <c r="R129" s="1079">
        <f t="shared" si="157"/>
        <v>0</v>
      </c>
      <c r="S129" s="1079">
        <f t="shared" si="157"/>
        <v>0</v>
      </c>
      <c r="T129" s="1079">
        <f t="shared" si="157"/>
        <v>354563.8</v>
      </c>
    </row>
    <row r="130" spans="1:20" x14ac:dyDescent="0.25">
      <c r="A130" s="794"/>
      <c r="C130" s="796"/>
      <c r="D130" s="797"/>
      <c r="E130" s="798"/>
      <c r="F130" s="796" t="s">
        <v>539</v>
      </c>
      <c r="G130" s="1526"/>
      <c r="H130" s="898">
        <f t="shared" si="107"/>
        <v>1.76</v>
      </c>
      <c r="I130" s="697">
        <v>1.76</v>
      </c>
      <c r="J130" s="697"/>
      <c r="K130" s="697"/>
      <c r="L130" s="697"/>
      <c r="M130" s="913">
        <v>1</v>
      </c>
      <c r="N130" s="697"/>
      <c r="O130" s="697">
        <v>23900</v>
      </c>
      <c r="P130" s="697">
        <f t="shared" si="61"/>
        <v>42064</v>
      </c>
      <c r="Q130" s="697"/>
      <c r="R130" s="697"/>
      <c r="S130" s="888"/>
      <c r="T130" s="914">
        <f t="shared" ref="T130:T145" si="158">P130</f>
        <v>42064</v>
      </c>
    </row>
    <row r="131" spans="1:20" x14ac:dyDescent="0.25">
      <c r="A131" s="794"/>
      <c r="B131" s="696"/>
      <c r="C131" s="796"/>
      <c r="D131" s="797"/>
      <c r="E131" s="798"/>
      <c r="F131" s="796" t="s">
        <v>539</v>
      </c>
      <c r="G131" s="1526"/>
      <c r="H131" s="898">
        <f t="shared" si="107"/>
        <v>3.33</v>
      </c>
      <c r="I131" s="697">
        <v>3.33</v>
      </c>
      <c r="J131" s="697"/>
      <c r="K131" s="697"/>
      <c r="L131" s="697"/>
      <c r="M131" s="913">
        <v>1</v>
      </c>
      <c r="N131" s="697"/>
      <c r="O131" s="697">
        <v>21560</v>
      </c>
      <c r="P131" s="697">
        <f t="shared" si="61"/>
        <v>71794.8</v>
      </c>
      <c r="Q131" s="697"/>
      <c r="R131" s="697"/>
      <c r="S131" s="888"/>
      <c r="T131" s="914">
        <f t="shared" si="158"/>
        <v>71794.8</v>
      </c>
    </row>
    <row r="132" spans="1:20" x14ac:dyDescent="0.25">
      <c r="A132" s="794"/>
      <c r="B132" s="696"/>
      <c r="C132" s="796"/>
      <c r="D132" s="797"/>
      <c r="E132" s="798"/>
      <c r="F132" s="796" t="s">
        <v>482</v>
      </c>
      <c r="G132" s="1526"/>
      <c r="H132" s="796" t="s">
        <v>835</v>
      </c>
      <c r="I132" s="796" t="s">
        <v>836</v>
      </c>
      <c r="J132" s="697"/>
      <c r="K132" s="697"/>
      <c r="L132" s="697"/>
      <c r="M132" s="913">
        <v>1</v>
      </c>
      <c r="N132" s="697"/>
      <c r="O132" s="697">
        <v>4500</v>
      </c>
      <c r="P132" s="697">
        <v>223500</v>
      </c>
      <c r="Q132" s="697"/>
      <c r="R132" s="697"/>
      <c r="S132" s="888"/>
      <c r="T132" s="914">
        <f t="shared" si="158"/>
        <v>223500</v>
      </c>
    </row>
    <row r="133" spans="1:20" x14ac:dyDescent="0.25">
      <c r="A133" s="794"/>
      <c r="B133" s="696"/>
      <c r="C133" s="796"/>
      <c r="D133" s="797"/>
      <c r="E133" s="798"/>
      <c r="F133" s="796" t="s">
        <v>482</v>
      </c>
      <c r="G133" s="1526"/>
      <c r="H133" s="796" t="s">
        <v>837</v>
      </c>
      <c r="I133" s="796" t="s">
        <v>837</v>
      </c>
      <c r="J133" s="697"/>
      <c r="K133" s="697"/>
      <c r="L133" s="697"/>
      <c r="M133" s="913">
        <v>1</v>
      </c>
      <c r="N133" s="697"/>
      <c r="O133" s="697">
        <v>1860</v>
      </c>
      <c r="P133" s="697">
        <v>17205</v>
      </c>
      <c r="Q133" s="697"/>
      <c r="R133" s="697"/>
      <c r="S133" s="888"/>
      <c r="T133" s="914">
        <f t="shared" si="158"/>
        <v>17205</v>
      </c>
    </row>
    <row r="134" spans="1:20" x14ac:dyDescent="0.25">
      <c r="A134" s="794"/>
      <c r="B134" s="696" t="s">
        <v>710</v>
      </c>
      <c r="C134" s="796"/>
      <c r="D134" s="797"/>
      <c r="E134" s="798"/>
      <c r="F134" s="796" t="s">
        <v>539</v>
      </c>
      <c r="G134" s="1526"/>
      <c r="H134" s="697">
        <v>48.134999999999998</v>
      </c>
      <c r="I134" s="697">
        <v>48.134999999999998</v>
      </c>
      <c r="J134" s="697"/>
      <c r="K134" s="697"/>
      <c r="L134" s="697"/>
      <c r="M134" s="913">
        <v>1</v>
      </c>
      <c r="N134" s="697"/>
      <c r="O134" s="697">
        <v>21560</v>
      </c>
      <c r="P134" s="697">
        <f>O134*I134*M134</f>
        <v>1037790.6</v>
      </c>
      <c r="Q134" s="697"/>
      <c r="R134" s="697"/>
      <c r="S134" s="888"/>
      <c r="T134" s="914">
        <f t="shared" si="158"/>
        <v>1037790.6</v>
      </c>
    </row>
    <row r="135" spans="1:20" s="515" customFormat="1" x14ac:dyDescent="0.25">
      <c r="A135" s="1069"/>
      <c r="B135" s="696" t="s">
        <v>838</v>
      </c>
      <c r="C135" s="1073"/>
      <c r="D135" s="1070"/>
      <c r="E135" s="1084">
        <f>SUM(E136:E137)</f>
        <v>0</v>
      </c>
      <c r="F135" s="1084">
        <f t="shared" ref="F135:T135" si="159">SUM(F136:F137)</f>
        <v>0</v>
      </c>
      <c r="G135" s="1084">
        <f t="shared" si="159"/>
        <v>0</v>
      </c>
      <c r="H135" s="1084">
        <f t="shared" si="159"/>
        <v>70.849999999999994</v>
      </c>
      <c r="I135" s="1084">
        <f t="shared" si="159"/>
        <v>70.849999999999994</v>
      </c>
      <c r="J135" s="1084">
        <f t="shared" si="159"/>
        <v>0</v>
      </c>
      <c r="K135" s="1084">
        <f t="shared" si="159"/>
        <v>4</v>
      </c>
      <c r="L135" s="1084">
        <f t="shared" si="159"/>
        <v>0</v>
      </c>
      <c r="M135" s="1084">
        <f t="shared" si="159"/>
        <v>2</v>
      </c>
      <c r="N135" s="1084">
        <f t="shared" si="159"/>
        <v>0</v>
      </c>
      <c r="O135" s="1084">
        <f t="shared" si="159"/>
        <v>21560</v>
      </c>
      <c r="P135" s="1084">
        <f t="shared" si="159"/>
        <v>1516745.9999999998</v>
      </c>
      <c r="Q135" s="1084">
        <f t="shared" si="159"/>
        <v>2</v>
      </c>
      <c r="R135" s="1084">
        <f t="shared" si="159"/>
        <v>17</v>
      </c>
      <c r="S135" s="1084">
        <f t="shared" si="159"/>
        <v>34000</v>
      </c>
      <c r="T135" s="1084">
        <f t="shared" si="159"/>
        <v>1550745.9999999998</v>
      </c>
    </row>
    <row r="136" spans="1:20" x14ac:dyDescent="0.25">
      <c r="A136" s="794"/>
      <c r="C136" s="796"/>
      <c r="D136" s="797"/>
      <c r="E136" s="798"/>
      <c r="F136" s="796" t="s">
        <v>539</v>
      </c>
      <c r="G136" s="1526"/>
      <c r="H136" s="697">
        <v>70.349999999999994</v>
      </c>
      <c r="I136" s="697">
        <v>70.349999999999994</v>
      </c>
      <c r="J136" s="697"/>
      <c r="K136" s="697"/>
      <c r="L136" s="697"/>
      <c r="M136" s="913">
        <v>1</v>
      </c>
      <c r="N136" s="697"/>
      <c r="O136" s="697">
        <v>21560</v>
      </c>
      <c r="P136" s="697">
        <f t="shared" ref="P136:P148" si="160">O136*I136*M136</f>
        <v>1516745.9999999998</v>
      </c>
      <c r="Q136" s="697"/>
      <c r="R136" s="697"/>
      <c r="S136" s="888"/>
      <c r="T136" s="914">
        <f t="shared" si="158"/>
        <v>1516745.9999999998</v>
      </c>
    </row>
    <row r="137" spans="1:20" x14ac:dyDescent="0.25">
      <c r="A137" s="794"/>
      <c r="B137" s="696"/>
      <c r="C137" s="796"/>
      <c r="D137" s="797"/>
      <c r="E137" s="798"/>
      <c r="F137" s="796" t="s">
        <v>586</v>
      </c>
      <c r="G137" s="1526"/>
      <c r="H137" s="697">
        <v>0.5</v>
      </c>
      <c r="I137" s="697">
        <v>0.5</v>
      </c>
      <c r="J137" s="697"/>
      <c r="K137" s="697">
        <v>4</v>
      </c>
      <c r="L137" s="697"/>
      <c r="M137" s="913">
        <v>1</v>
      </c>
      <c r="N137" s="697"/>
      <c r="O137" s="697"/>
      <c r="P137" s="697">
        <f t="shared" si="160"/>
        <v>0</v>
      </c>
      <c r="Q137" s="697">
        <f>I137*K137*M137</f>
        <v>2</v>
      </c>
      <c r="R137" s="697">
        <v>17</v>
      </c>
      <c r="S137" s="888">
        <f>Q137*R137*1000</f>
        <v>34000</v>
      </c>
      <c r="T137" s="914">
        <f>P137+S137</f>
        <v>34000</v>
      </c>
    </row>
    <row r="138" spans="1:20" s="515" customFormat="1" x14ac:dyDescent="0.25">
      <c r="A138" s="1069"/>
      <c r="B138" s="696" t="s">
        <v>560</v>
      </c>
      <c r="C138" s="1073"/>
      <c r="D138" s="1070"/>
      <c r="E138" s="1084">
        <f>SUM(E139:E140)</f>
        <v>0</v>
      </c>
      <c r="F138" s="1084">
        <f t="shared" ref="F138" si="161">SUM(F139:F140)</f>
        <v>0</v>
      </c>
      <c r="G138" s="1084">
        <f t="shared" ref="G138" si="162">SUM(G139:G140)</f>
        <v>0</v>
      </c>
      <c r="H138" s="1084">
        <f t="shared" ref="H138" si="163">SUM(H139:H140)</f>
        <v>46.61</v>
      </c>
      <c r="I138" s="1084">
        <f t="shared" ref="I138" si="164">SUM(I139:I140)</f>
        <v>42.26</v>
      </c>
      <c r="J138" s="1084">
        <f t="shared" ref="J138" si="165">SUM(J139:J140)</f>
        <v>4.3499999999999996</v>
      </c>
      <c r="K138" s="1084">
        <f t="shared" ref="K138" si="166">SUM(K139:K140)</f>
        <v>4</v>
      </c>
      <c r="L138" s="1084">
        <f t="shared" ref="L138" si="167">SUM(L139:L140)</f>
        <v>3.6</v>
      </c>
      <c r="M138" s="1084">
        <f t="shared" ref="M138" si="168">SUM(M139:M140)</f>
        <v>1.1000000000000001</v>
      </c>
      <c r="N138" s="1084">
        <f t="shared" ref="N138" si="169">SUM(N139:N140)</f>
        <v>1.74</v>
      </c>
      <c r="O138" s="1084">
        <f t="shared" ref="O138" si="170">SUM(O139:O140)</f>
        <v>43120</v>
      </c>
      <c r="P138" s="1084">
        <f t="shared" ref="P138" si="171">SUM(P139:P140)</f>
        <v>920504.2</v>
      </c>
      <c r="Q138" s="1084">
        <f t="shared" ref="Q138" si="172">SUM(Q139:Q140)</f>
        <v>0</v>
      </c>
      <c r="R138" s="1084">
        <f t="shared" ref="R138" si="173">SUM(R139:R140)</f>
        <v>0</v>
      </c>
      <c r="S138" s="1084">
        <f t="shared" ref="S138" si="174">SUM(S139:S140)</f>
        <v>0</v>
      </c>
      <c r="T138" s="1084">
        <f t="shared" ref="T138" si="175">SUM(T139:T140)</f>
        <v>920504.2</v>
      </c>
    </row>
    <row r="139" spans="1:20" x14ac:dyDescent="0.25">
      <c r="A139" s="794"/>
      <c r="C139" s="796"/>
      <c r="D139" s="797"/>
      <c r="E139" s="798"/>
      <c r="F139" s="796" t="s">
        <v>539</v>
      </c>
      <c r="G139" s="1526"/>
      <c r="H139" s="697">
        <v>42.26</v>
      </c>
      <c r="I139" s="697">
        <v>42.26</v>
      </c>
      <c r="J139" s="697"/>
      <c r="K139" s="697"/>
      <c r="L139" s="697"/>
      <c r="M139" s="913">
        <v>1</v>
      </c>
      <c r="N139" s="697"/>
      <c r="O139" s="697">
        <v>21560</v>
      </c>
      <c r="P139" s="697">
        <f t="shared" si="160"/>
        <v>911125.6</v>
      </c>
      <c r="Q139" s="697"/>
      <c r="R139" s="697"/>
      <c r="S139" s="888"/>
      <c r="T139" s="914">
        <f t="shared" si="158"/>
        <v>911125.6</v>
      </c>
    </row>
    <row r="140" spans="1:20" x14ac:dyDescent="0.25">
      <c r="A140" s="794"/>
      <c r="B140" s="696"/>
      <c r="C140" s="796"/>
      <c r="D140" s="797"/>
      <c r="E140" s="798"/>
      <c r="F140" s="796"/>
      <c r="G140" s="1526"/>
      <c r="H140" s="697">
        <v>4.3499999999999996</v>
      </c>
      <c r="I140" s="697"/>
      <c r="J140" s="697">
        <v>4.3499999999999996</v>
      </c>
      <c r="K140" s="697">
        <v>4</v>
      </c>
      <c r="L140" s="697">
        <f>(K140-(K140*M140))</f>
        <v>3.6</v>
      </c>
      <c r="M140" s="913">
        <v>0.1</v>
      </c>
      <c r="N140" s="697">
        <f>J140*K140*M140</f>
        <v>1.74</v>
      </c>
      <c r="O140" s="697">
        <v>21560</v>
      </c>
      <c r="P140" s="697">
        <f>O140*J140*M140</f>
        <v>9378.5999999999985</v>
      </c>
      <c r="Q140" s="697"/>
      <c r="R140" s="697"/>
      <c r="S140" s="888"/>
      <c r="T140" s="914">
        <f t="shared" si="158"/>
        <v>9378.5999999999985</v>
      </c>
    </row>
    <row r="141" spans="1:20" x14ac:dyDescent="0.25">
      <c r="A141" s="794"/>
      <c r="B141" s="696" t="s">
        <v>578</v>
      </c>
      <c r="C141" s="796"/>
      <c r="D141" s="797"/>
      <c r="E141" s="798"/>
      <c r="F141" s="796" t="s">
        <v>539</v>
      </c>
      <c r="G141" s="1526"/>
      <c r="H141" s="697">
        <v>2.5</v>
      </c>
      <c r="I141" s="697">
        <v>2.5</v>
      </c>
      <c r="J141" s="697"/>
      <c r="K141" s="697"/>
      <c r="L141" s="697"/>
      <c r="M141" s="913">
        <v>1</v>
      </c>
      <c r="N141" s="697"/>
      <c r="O141" s="697">
        <v>21560</v>
      </c>
      <c r="P141" s="697">
        <f t="shared" si="160"/>
        <v>53900</v>
      </c>
      <c r="Q141" s="697"/>
      <c r="R141" s="697"/>
      <c r="S141" s="888"/>
      <c r="T141" s="914">
        <f t="shared" si="158"/>
        <v>53900</v>
      </c>
    </row>
    <row r="142" spans="1:20" s="515" customFormat="1" x14ac:dyDescent="0.25">
      <c r="A142" s="1069"/>
      <c r="B142" s="696" t="s">
        <v>579</v>
      </c>
      <c r="C142" s="1073"/>
      <c r="D142" s="1070"/>
      <c r="E142" s="1084">
        <f>SUM(E143:E145)</f>
        <v>0</v>
      </c>
      <c r="F142" s="1084">
        <f t="shared" ref="F142:T142" si="176">SUM(F143:F145)</f>
        <v>0</v>
      </c>
      <c r="G142" s="1084">
        <f t="shared" si="176"/>
        <v>0</v>
      </c>
      <c r="H142" s="1084">
        <f t="shared" si="176"/>
        <v>77.430000000000007</v>
      </c>
      <c r="I142" s="1084">
        <f t="shared" si="176"/>
        <v>22.75</v>
      </c>
      <c r="J142" s="1084">
        <f t="shared" si="176"/>
        <v>54.68</v>
      </c>
      <c r="K142" s="1084">
        <f t="shared" si="176"/>
        <v>12</v>
      </c>
      <c r="L142" s="1084">
        <f t="shared" si="176"/>
        <v>5</v>
      </c>
      <c r="M142" s="1084">
        <f t="shared" si="176"/>
        <v>1.75</v>
      </c>
      <c r="N142" s="1084">
        <f t="shared" si="176"/>
        <v>148.28</v>
      </c>
      <c r="O142" s="1084">
        <f t="shared" si="176"/>
        <v>65620</v>
      </c>
      <c r="P142" s="1084">
        <f t="shared" si="176"/>
        <v>811468</v>
      </c>
      <c r="Q142" s="1084">
        <f t="shared" si="176"/>
        <v>0</v>
      </c>
      <c r="R142" s="1084">
        <f t="shared" si="176"/>
        <v>0</v>
      </c>
      <c r="S142" s="1084">
        <f t="shared" si="176"/>
        <v>0</v>
      </c>
      <c r="T142" s="1084">
        <f t="shared" si="176"/>
        <v>811468</v>
      </c>
    </row>
    <row r="143" spans="1:20" x14ac:dyDescent="0.25">
      <c r="A143" s="794"/>
      <c r="C143" s="796"/>
      <c r="D143" s="797"/>
      <c r="E143" s="798"/>
      <c r="F143" s="796" t="s">
        <v>539</v>
      </c>
      <c r="G143" s="1526"/>
      <c r="H143" s="697">
        <v>52.08</v>
      </c>
      <c r="I143" s="697"/>
      <c r="J143" s="697">
        <v>52.08</v>
      </c>
      <c r="K143" s="697">
        <v>4</v>
      </c>
      <c r="L143" s="697">
        <v>3</v>
      </c>
      <c r="M143" s="913">
        <v>0.25</v>
      </c>
      <c r="N143" s="697">
        <v>52.08</v>
      </c>
      <c r="O143" s="697">
        <v>22500</v>
      </c>
      <c r="P143" s="697">
        <v>292950</v>
      </c>
      <c r="Q143" s="697"/>
      <c r="R143" s="697"/>
      <c r="S143" s="888"/>
      <c r="T143" s="914">
        <f t="shared" si="158"/>
        <v>292950</v>
      </c>
    </row>
    <row r="144" spans="1:20" x14ac:dyDescent="0.25">
      <c r="A144" s="794"/>
      <c r="B144" s="696"/>
      <c r="C144" s="796"/>
      <c r="D144" s="797"/>
      <c r="E144" s="798"/>
      <c r="F144" s="796"/>
      <c r="G144" s="1526"/>
      <c r="H144" s="697">
        <v>2.6</v>
      </c>
      <c r="I144" s="697"/>
      <c r="J144" s="697">
        <v>2.6</v>
      </c>
      <c r="K144" s="697">
        <v>4</v>
      </c>
      <c r="L144" s="697">
        <v>2</v>
      </c>
      <c r="M144" s="913">
        <v>0.5</v>
      </c>
      <c r="N144" s="697">
        <v>5.2</v>
      </c>
      <c r="O144" s="697">
        <v>21560</v>
      </c>
      <c r="P144" s="697">
        <v>28028</v>
      </c>
      <c r="Q144" s="697"/>
      <c r="R144" s="697"/>
      <c r="S144" s="888"/>
      <c r="T144" s="914">
        <f>P144</f>
        <v>28028</v>
      </c>
    </row>
    <row r="145" spans="1:20" x14ac:dyDescent="0.25">
      <c r="A145" s="794"/>
      <c r="B145" s="696"/>
      <c r="C145" s="796"/>
      <c r="D145" s="797"/>
      <c r="E145" s="798"/>
      <c r="F145" s="796"/>
      <c r="G145" s="1526"/>
      <c r="H145" s="697">
        <v>22.75</v>
      </c>
      <c r="I145" s="697">
        <v>22.75</v>
      </c>
      <c r="J145" s="697"/>
      <c r="K145" s="697">
        <v>4</v>
      </c>
      <c r="L145" s="697">
        <v>0</v>
      </c>
      <c r="M145" s="913">
        <v>1</v>
      </c>
      <c r="N145" s="697">
        <f>I145*K145*M145</f>
        <v>91</v>
      </c>
      <c r="O145" s="697">
        <v>21560</v>
      </c>
      <c r="P145" s="697">
        <f t="shared" si="160"/>
        <v>490490</v>
      </c>
      <c r="Q145" s="697"/>
      <c r="R145" s="697"/>
      <c r="S145" s="888"/>
      <c r="T145" s="914">
        <f t="shared" si="158"/>
        <v>490490</v>
      </c>
    </row>
    <row r="146" spans="1:20" s="515" customFormat="1" x14ac:dyDescent="0.25">
      <c r="A146" s="1069"/>
      <c r="B146" s="696" t="s">
        <v>704</v>
      </c>
      <c r="C146" s="1073"/>
      <c r="D146" s="1070"/>
      <c r="E146" s="1084">
        <f>SUM(E147:E148)</f>
        <v>0</v>
      </c>
      <c r="F146" s="1084">
        <f t="shared" ref="F146" si="177">SUM(F147:F148)</f>
        <v>0</v>
      </c>
      <c r="G146" s="1084">
        <f t="shared" ref="G146" si="178">SUM(G147:G148)</f>
        <v>0</v>
      </c>
      <c r="H146" s="1084">
        <f t="shared" ref="H146" si="179">SUM(H147:H148)</f>
        <v>23.3</v>
      </c>
      <c r="I146" s="1084">
        <f t="shared" ref="I146" si="180">SUM(I147:I148)</f>
        <v>23.3</v>
      </c>
      <c r="J146" s="1084">
        <f t="shared" ref="J146" si="181">SUM(J147:J148)</f>
        <v>0</v>
      </c>
      <c r="K146" s="1084">
        <f t="shared" ref="K146" si="182">SUM(K147:K148)</f>
        <v>9</v>
      </c>
      <c r="L146" s="1084">
        <f t="shared" ref="L146" si="183">SUM(L147:L148)</f>
        <v>0</v>
      </c>
      <c r="M146" s="1084">
        <f t="shared" ref="M146" si="184">SUM(M147:M148)</f>
        <v>2</v>
      </c>
      <c r="N146" s="1084">
        <f t="shared" ref="N146" si="185">SUM(N147:N148)</f>
        <v>82.350000000000009</v>
      </c>
      <c r="O146" s="1084">
        <f t="shared" ref="O146" si="186">SUM(O147:O148)</f>
        <v>6800</v>
      </c>
      <c r="P146" s="1084">
        <f t="shared" ref="P146" si="187">SUM(P147:P148)</f>
        <v>124440</v>
      </c>
      <c r="Q146" s="1084">
        <f t="shared" ref="Q146" si="188">SUM(Q147:Q148)</f>
        <v>22.5</v>
      </c>
      <c r="R146" s="1084">
        <f t="shared" ref="R146" si="189">SUM(R147:R148)</f>
        <v>17</v>
      </c>
      <c r="S146" s="1084">
        <f t="shared" ref="S146" si="190">SUM(S147:S148)</f>
        <v>382500</v>
      </c>
      <c r="T146" s="1084">
        <f t="shared" ref="T146" si="191">SUM(T147:T148)</f>
        <v>506940</v>
      </c>
    </row>
    <row r="147" spans="1:20" x14ac:dyDescent="0.25">
      <c r="A147" s="794"/>
      <c r="C147" s="796"/>
      <c r="D147" s="797"/>
      <c r="E147" s="798"/>
      <c r="F147" s="796" t="s">
        <v>504</v>
      </c>
      <c r="G147" s="1526"/>
      <c r="H147" s="697">
        <v>5</v>
      </c>
      <c r="I147" s="697">
        <v>5</v>
      </c>
      <c r="J147" s="697"/>
      <c r="K147" s="697">
        <v>4.5</v>
      </c>
      <c r="L147" s="697">
        <f t="shared" ref="L147:L151" si="192">(K147-(K147*M147))</f>
        <v>0</v>
      </c>
      <c r="M147" s="913">
        <v>1</v>
      </c>
      <c r="N147" s="697"/>
      <c r="O147" s="697"/>
      <c r="P147" s="697"/>
      <c r="Q147" s="697">
        <f>I147*K147*M147</f>
        <v>22.5</v>
      </c>
      <c r="R147" s="697">
        <v>17</v>
      </c>
      <c r="S147" s="888">
        <f>Q147*R147*1000</f>
        <v>382500</v>
      </c>
      <c r="T147" s="914">
        <f>P147+S147</f>
        <v>382500</v>
      </c>
    </row>
    <row r="148" spans="1:20" x14ac:dyDescent="0.25">
      <c r="A148" s="794"/>
      <c r="B148" s="696"/>
      <c r="C148" s="796"/>
      <c r="D148" s="797"/>
      <c r="E148" s="798"/>
      <c r="F148" s="796" t="s">
        <v>539</v>
      </c>
      <c r="G148" s="1526"/>
      <c r="H148" s="697">
        <v>18.3</v>
      </c>
      <c r="I148" s="697">
        <v>18.3</v>
      </c>
      <c r="J148" s="697"/>
      <c r="K148" s="697">
        <v>4.5</v>
      </c>
      <c r="L148" s="697">
        <f t="shared" si="192"/>
        <v>0</v>
      </c>
      <c r="M148" s="913">
        <v>1</v>
      </c>
      <c r="N148" s="697">
        <f>I148*K148*M148</f>
        <v>82.350000000000009</v>
      </c>
      <c r="O148" s="697">
        <v>6800</v>
      </c>
      <c r="P148" s="697">
        <f t="shared" si="160"/>
        <v>124440</v>
      </c>
      <c r="Q148" s="697"/>
      <c r="R148" s="697"/>
      <c r="S148" s="888"/>
      <c r="T148" s="914">
        <f t="shared" ref="T148:T155" si="193">P148+S148</f>
        <v>124440</v>
      </c>
    </row>
    <row r="149" spans="1:20" s="515" customFormat="1" x14ac:dyDescent="0.25">
      <c r="A149" s="1069"/>
      <c r="B149" s="696" t="s">
        <v>555</v>
      </c>
      <c r="C149" s="1073"/>
      <c r="D149" s="1070"/>
      <c r="E149" s="1084">
        <f>SUM(E150:E151)</f>
        <v>0</v>
      </c>
      <c r="F149" s="1084">
        <f t="shared" ref="F149" si="194">SUM(F150:F151)</f>
        <v>0</v>
      </c>
      <c r="G149" s="1084">
        <f t="shared" ref="G149" si="195">SUM(G150:G151)</f>
        <v>0</v>
      </c>
      <c r="H149" s="1084">
        <f t="shared" ref="H149" si="196">SUM(H150:H151)</f>
        <v>54.6</v>
      </c>
      <c r="I149" s="1084">
        <f t="shared" ref="I149" si="197">SUM(I150:I151)</f>
        <v>0.7</v>
      </c>
      <c r="J149" s="1084">
        <f t="shared" ref="J149" si="198">SUM(J150:J151)</f>
        <v>53.9</v>
      </c>
      <c r="K149" s="1084">
        <f t="shared" ref="K149" si="199">SUM(K150:K151)</f>
        <v>8</v>
      </c>
      <c r="L149" s="1084">
        <f t="shared" ref="L149" si="200">SUM(L150:L151)</f>
        <v>3.4</v>
      </c>
      <c r="M149" s="1084">
        <f t="shared" ref="M149" si="201">SUM(M150:M151)</f>
        <v>1.1499999999999999</v>
      </c>
      <c r="N149" s="1084">
        <f t="shared" ref="N149" si="202">SUM(N150:N151)</f>
        <v>0</v>
      </c>
      <c r="O149" s="1084">
        <f t="shared" ref="O149" si="203">SUM(O150:O151)</f>
        <v>0</v>
      </c>
      <c r="P149" s="1084">
        <f t="shared" ref="P149" si="204">SUM(P150:P151)</f>
        <v>0</v>
      </c>
      <c r="Q149" s="1084">
        <f t="shared" ref="Q149" si="205">SUM(Q150:Q151)</f>
        <v>35.139999999999993</v>
      </c>
      <c r="R149" s="1084">
        <f t="shared" ref="R149" si="206">SUM(R150:R151)</f>
        <v>34</v>
      </c>
      <c r="S149" s="1084">
        <f t="shared" ref="S149" si="207">SUM(S150:S151)</f>
        <v>597380</v>
      </c>
      <c r="T149" s="1084">
        <f t="shared" ref="T149" si="208">SUM(T150:T151)</f>
        <v>597380</v>
      </c>
    </row>
    <row r="150" spans="1:20" x14ac:dyDescent="0.25">
      <c r="A150" s="794"/>
      <c r="C150" s="796" t="s">
        <v>713</v>
      </c>
      <c r="D150" s="797"/>
      <c r="E150" s="798"/>
      <c r="F150" s="796" t="s">
        <v>586</v>
      </c>
      <c r="G150" s="1526"/>
      <c r="H150" s="697">
        <v>53.9</v>
      </c>
      <c r="I150" s="697"/>
      <c r="J150" s="697">
        <v>53.9</v>
      </c>
      <c r="K150" s="697">
        <v>4</v>
      </c>
      <c r="L150" s="697">
        <f t="shared" si="192"/>
        <v>3.4</v>
      </c>
      <c r="M150" s="913">
        <v>0.15</v>
      </c>
      <c r="N150" s="697"/>
      <c r="O150" s="697"/>
      <c r="P150" s="697"/>
      <c r="Q150" s="697">
        <f>J150*K150*M150</f>
        <v>32.339999999999996</v>
      </c>
      <c r="R150" s="697">
        <v>17</v>
      </c>
      <c r="S150" s="888">
        <f>Q150*R150*1000</f>
        <v>549780</v>
      </c>
      <c r="T150" s="914">
        <f t="shared" si="193"/>
        <v>549780</v>
      </c>
    </row>
    <row r="151" spans="1:20" x14ac:dyDescent="0.25">
      <c r="A151" s="794"/>
      <c r="B151" s="696"/>
      <c r="C151" s="796"/>
      <c r="D151" s="797"/>
      <c r="E151" s="798"/>
      <c r="F151" s="796"/>
      <c r="G151" s="1526"/>
      <c r="H151" s="697">
        <v>0.7</v>
      </c>
      <c r="I151" s="697">
        <v>0.7</v>
      </c>
      <c r="J151" s="697"/>
      <c r="K151" s="697">
        <v>4</v>
      </c>
      <c r="L151" s="697">
        <f t="shared" si="192"/>
        <v>0</v>
      </c>
      <c r="M151" s="913">
        <v>1</v>
      </c>
      <c r="N151" s="697"/>
      <c r="O151" s="697"/>
      <c r="P151" s="697"/>
      <c r="Q151" s="697">
        <f>I151*K151*M151</f>
        <v>2.8</v>
      </c>
      <c r="R151" s="697">
        <v>17</v>
      </c>
      <c r="S151" s="888">
        <f>Q151*R151*1000</f>
        <v>47599.999999999993</v>
      </c>
      <c r="T151" s="914">
        <f t="shared" si="193"/>
        <v>47599.999999999993</v>
      </c>
    </row>
    <row r="152" spans="1:20" s="515" customFormat="1" x14ac:dyDescent="0.25">
      <c r="A152" s="1069"/>
      <c r="B152" s="696" t="s">
        <v>574</v>
      </c>
      <c r="C152" s="1073"/>
      <c r="D152" s="1070"/>
      <c r="E152" s="1084">
        <f>SUM(E153:E154)</f>
        <v>0</v>
      </c>
      <c r="F152" s="1084">
        <f t="shared" ref="F152" si="209">SUM(F153:F154)</f>
        <v>0</v>
      </c>
      <c r="G152" s="1084">
        <f t="shared" ref="G152" si="210">SUM(G153:G154)</f>
        <v>0</v>
      </c>
      <c r="H152" s="1084">
        <f t="shared" ref="H152" si="211">SUM(H153:H154)</f>
        <v>25</v>
      </c>
      <c r="I152" s="1084">
        <f t="shared" ref="I152" si="212">SUM(I153:I154)</f>
        <v>16.5</v>
      </c>
      <c r="J152" s="1084">
        <f t="shared" ref="J152" si="213">SUM(J153:J154)</f>
        <v>8.5</v>
      </c>
      <c r="K152" s="1084">
        <f t="shared" ref="K152" si="214">SUM(K153:K154)</f>
        <v>0</v>
      </c>
      <c r="L152" s="1084">
        <f t="shared" ref="L152" si="215">SUM(L153:L154)</f>
        <v>0</v>
      </c>
      <c r="M152" s="1084">
        <f t="shared" ref="M152" si="216">SUM(M153:M154)</f>
        <v>1.1000000000000001</v>
      </c>
      <c r="N152" s="1084">
        <f t="shared" ref="N152" si="217">SUM(N153:N154)</f>
        <v>0</v>
      </c>
      <c r="O152" s="1084">
        <f t="shared" ref="O152" si="218">SUM(O153:O154)</f>
        <v>37120</v>
      </c>
      <c r="P152" s="1084">
        <f t="shared" ref="P152" si="219">SUM(P153:P154)</f>
        <v>322016</v>
      </c>
      <c r="Q152" s="1084">
        <f t="shared" ref="Q152" si="220">SUM(Q153:Q154)</f>
        <v>0</v>
      </c>
      <c r="R152" s="1084">
        <f t="shared" ref="R152" si="221">SUM(R153:R154)</f>
        <v>0</v>
      </c>
      <c r="S152" s="1084">
        <f t="shared" ref="S152" si="222">SUM(S153:S154)</f>
        <v>0</v>
      </c>
      <c r="T152" s="1084">
        <f t="shared" ref="T152" si="223">SUM(T153:T154)</f>
        <v>322016</v>
      </c>
    </row>
    <row r="153" spans="1:20" x14ac:dyDescent="0.25">
      <c r="A153" s="794"/>
      <c r="C153" s="796"/>
      <c r="D153" s="797"/>
      <c r="E153" s="798"/>
      <c r="F153" s="796" t="s">
        <v>745</v>
      </c>
      <c r="G153" s="1526"/>
      <c r="H153" s="697">
        <v>16.5</v>
      </c>
      <c r="I153" s="697">
        <v>16.5</v>
      </c>
      <c r="J153" s="697"/>
      <c r="K153" s="697"/>
      <c r="L153" s="697"/>
      <c r="M153" s="913">
        <v>1</v>
      </c>
      <c r="N153" s="697"/>
      <c r="O153" s="697">
        <v>18560</v>
      </c>
      <c r="P153" s="697">
        <f t="shared" ref="P153" si="224">O153*I153*M153</f>
        <v>306240</v>
      </c>
      <c r="Q153" s="697"/>
      <c r="R153" s="697"/>
      <c r="S153" s="888"/>
      <c r="T153" s="914">
        <f t="shared" si="193"/>
        <v>306240</v>
      </c>
    </row>
    <row r="154" spans="1:20" x14ac:dyDescent="0.25">
      <c r="A154" s="794"/>
      <c r="B154" s="696"/>
      <c r="C154" s="796"/>
      <c r="D154" s="797"/>
      <c r="E154" s="798"/>
      <c r="F154" s="796" t="s">
        <v>745</v>
      </c>
      <c r="G154" s="1526"/>
      <c r="H154" s="697">
        <v>8.5</v>
      </c>
      <c r="I154" s="697"/>
      <c r="J154" s="697">
        <v>8.5</v>
      </c>
      <c r="K154" s="697"/>
      <c r="L154" s="697"/>
      <c r="M154" s="913">
        <v>0.1</v>
      </c>
      <c r="N154" s="697"/>
      <c r="O154" s="697">
        <v>18560</v>
      </c>
      <c r="P154" s="697">
        <f>O154*J154*M154</f>
        <v>15776</v>
      </c>
      <c r="Q154" s="697"/>
      <c r="R154" s="697"/>
      <c r="S154" s="888"/>
      <c r="T154" s="914">
        <f t="shared" si="193"/>
        <v>15776</v>
      </c>
    </row>
    <row r="155" spans="1:20" x14ac:dyDescent="0.25">
      <c r="A155" s="794"/>
      <c r="B155" s="696" t="s">
        <v>839</v>
      </c>
      <c r="C155" s="796" t="s">
        <v>713</v>
      </c>
      <c r="D155" s="797"/>
      <c r="E155" s="798"/>
      <c r="F155" s="796" t="s">
        <v>539</v>
      </c>
      <c r="G155" s="1526"/>
      <c r="H155" s="697">
        <v>60.42</v>
      </c>
      <c r="I155" s="697">
        <v>60.42</v>
      </c>
      <c r="J155" s="697"/>
      <c r="K155" s="697"/>
      <c r="L155" s="697"/>
      <c r="M155" s="913">
        <v>1</v>
      </c>
      <c r="N155" s="697"/>
      <c r="O155" s="697">
        <v>21560</v>
      </c>
      <c r="P155" s="697">
        <f>O155*I155*M155</f>
        <v>1302655.2</v>
      </c>
      <c r="Q155" s="697"/>
      <c r="R155" s="697"/>
      <c r="S155" s="888"/>
      <c r="T155" s="914">
        <f t="shared" si="193"/>
        <v>1302655.2</v>
      </c>
    </row>
    <row r="156" spans="1:20" x14ac:dyDescent="0.25">
      <c r="A156" s="794"/>
      <c r="B156" s="696" t="s">
        <v>472</v>
      </c>
      <c r="C156" s="796"/>
      <c r="D156" s="797"/>
      <c r="E156" s="798"/>
      <c r="F156" s="796" t="s">
        <v>474</v>
      </c>
      <c r="G156" s="1526"/>
      <c r="H156" s="697">
        <v>1</v>
      </c>
      <c r="I156" s="697"/>
      <c r="J156" s="697">
        <v>1</v>
      </c>
      <c r="K156" s="697">
        <v>4</v>
      </c>
      <c r="L156" s="697">
        <v>3.2</v>
      </c>
      <c r="M156" s="913">
        <f>(K156-L156)/K156</f>
        <v>0.19999999999999996</v>
      </c>
      <c r="N156" s="697"/>
      <c r="O156" s="697"/>
      <c r="P156" s="697"/>
      <c r="Q156" s="697">
        <f>J156*K156*M156</f>
        <v>0.79999999999999982</v>
      </c>
      <c r="R156" s="697">
        <v>17</v>
      </c>
      <c r="S156" s="888">
        <f>Q156*R156*1000</f>
        <v>13599.999999999998</v>
      </c>
      <c r="T156" s="914">
        <f>S156</f>
        <v>13599.999999999998</v>
      </c>
    </row>
    <row r="157" spans="1:20" x14ac:dyDescent="0.25">
      <c r="A157" s="794"/>
      <c r="B157" s="696"/>
      <c r="C157" s="796"/>
      <c r="D157" s="797"/>
      <c r="E157" s="798"/>
      <c r="F157" s="796"/>
      <c r="G157" s="1526"/>
      <c r="H157" s="697"/>
      <c r="I157" s="697"/>
      <c r="J157" s="697"/>
      <c r="K157" s="697"/>
      <c r="L157" s="697"/>
      <c r="M157" s="913"/>
      <c r="N157" s="697"/>
      <c r="O157" s="697"/>
      <c r="P157" s="697"/>
      <c r="Q157" s="697"/>
      <c r="R157" s="697"/>
      <c r="S157" s="888"/>
      <c r="T157" s="914"/>
    </row>
    <row r="158" spans="1:20" x14ac:dyDescent="0.25">
      <c r="A158" s="787"/>
      <c r="B158" s="481" t="s">
        <v>478</v>
      </c>
      <c r="C158" s="796"/>
      <c r="D158" s="797"/>
      <c r="E158" s="798"/>
      <c r="F158" s="796"/>
      <c r="G158" s="1526"/>
      <c r="H158" s="915">
        <f>H159+H160+H163+H164+H165+H167+H168+H169+H170+H171+H174+H175+H176+H177+H178+H180+H181+H182+H183</f>
        <v>1622.9</v>
      </c>
      <c r="I158" s="915">
        <f>I160+I171+I175</f>
        <v>322.25</v>
      </c>
      <c r="J158" s="915">
        <f>SUM(J159:J183)</f>
        <v>2561.3000000000002</v>
      </c>
      <c r="K158" s="697"/>
      <c r="L158" s="697"/>
      <c r="M158" s="913"/>
      <c r="N158" s="695">
        <f>SUM(N159:N183)</f>
        <v>590.76</v>
      </c>
      <c r="O158" s="697"/>
      <c r="P158" s="695">
        <f>SUM(P159:P183)</f>
        <v>2107200</v>
      </c>
      <c r="Q158" s="695">
        <f>SUM(Q159:Q184)</f>
        <v>4972.4000000000005</v>
      </c>
      <c r="R158" s="697"/>
      <c r="S158" s="799">
        <f>SUM(S159:S184)</f>
        <v>84530800</v>
      </c>
      <c r="T158" s="916">
        <f>SUM(T159:T183)</f>
        <v>86638000</v>
      </c>
    </row>
    <row r="159" spans="1:20" x14ac:dyDescent="0.25">
      <c r="A159" s="711"/>
      <c r="B159" s="696" t="s">
        <v>499</v>
      </c>
      <c r="C159" s="796"/>
      <c r="D159" s="797"/>
      <c r="E159" s="798"/>
      <c r="F159" s="796" t="s">
        <v>539</v>
      </c>
      <c r="G159" s="1526"/>
      <c r="H159" s="898">
        <f>I159+J159</f>
        <v>20</v>
      </c>
      <c r="I159" s="695"/>
      <c r="J159" s="697">
        <v>20</v>
      </c>
      <c r="K159" s="697">
        <v>5</v>
      </c>
      <c r="L159" s="697">
        <v>4.5</v>
      </c>
      <c r="M159" s="913">
        <f>(K159-L159)/K159</f>
        <v>0.1</v>
      </c>
      <c r="N159" s="697"/>
      <c r="O159" s="697">
        <v>15000</v>
      </c>
      <c r="P159" s="697">
        <f>J159*M159*O159</f>
        <v>30000</v>
      </c>
      <c r="Q159" s="697"/>
      <c r="R159" s="697"/>
      <c r="S159" s="888"/>
      <c r="T159" s="914">
        <f>P159</f>
        <v>30000</v>
      </c>
    </row>
    <row r="160" spans="1:20" x14ac:dyDescent="0.25">
      <c r="A160" s="711"/>
      <c r="B160" s="696" t="s">
        <v>480</v>
      </c>
      <c r="C160" s="796"/>
      <c r="D160" s="797"/>
      <c r="E160" s="798"/>
      <c r="F160" s="796" t="s">
        <v>539</v>
      </c>
      <c r="G160" s="1526"/>
      <c r="H160" s="898">
        <v>20</v>
      </c>
      <c r="I160" s="697">
        <v>20</v>
      </c>
      <c r="J160" s="697"/>
      <c r="K160" s="697">
        <v>4</v>
      </c>
      <c r="L160" s="697">
        <v>0</v>
      </c>
      <c r="M160" s="913">
        <v>1</v>
      </c>
      <c r="N160" s="697">
        <v>80</v>
      </c>
      <c r="O160" s="697">
        <v>15000</v>
      </c>
      <c r="P160" s="697">
        <v>300000</v>
      </c>
      <c r="Q160" s="697"/>
      <c r="R160" s="697"/>
      <c r="S160" s="888"/>
      <c r="T160" s="914">
        <f>P160</f>
        <v>300000</v>
      </c>
    </row>
    <row r="161" spans="1:20" s="515" customFormat="1" x14ac:dyDescent="0.25">
      <c r="A161" s="1069"/>
      <c r="B161" s="696" t="s">
        <v>623</v>
      </c>
      <c r="C161" s="1073"/>
      <c r="D161" s="1070"/>
      <c r="E161" s="1084">
        <f>SUM(E162:E164)</f>
        <v>0</v>
      </c>
      <c r="F161" s="1084">
        <f t="shared" ref="F161:T161" si="225">SUM(F162:F164)</f>
        <v>0</v>
      </c>
      <c r="G161" s="1084">
        <f t="shared" si="225"/>
        <v>0</v>
      </c>
      <c r="H161" s="1084">
        <f t="shared" si="225"/>
        <v>323</v>
      </c>
      <c r="I161" s="1084">
        <f t="shared" si="225"/>
        <v>0</v>
      </c>
      <c r="J161" s="1084">
        <f t="shared" si="225"/>
        <v>323</v>
      </c>
      <c r="K161" s="1084">
        <f t="shared" si="225"/>
        <v>8</v>
      </c>
      <c r="L161" s="1084">
        <f t="shared" si="225"/>
        <v>4.8</v>
      </c>
      <c r="M161" s="1084">
        <f t="shared" si="225"/>
        <v>0.8</v>
      </c>
      <c r="N161" s="1084">
        <f t="shared" si="225"/>
        <v>6</v>
      </c>
      <c r="O161" s="1084">
        <f t="shared" si="225"/>
        <v>10000</v>
      </c>
      <c r="P161" s="1084">
        <f t="shared" si="225"/>
        <v>26100</v>
      </c>
      <c r="Q161" s="1084">
        <f t="shared" si="225"/>
        <v>384</v>
      </c>
      <c r="R161" s="1084">
        <f t="shared" si="225"/>
        <v>17</v>
      </c>
      <c r="S161" s="1084">
        <f t="shared" si="225"/>
        <v>6528000</v>
      </c>
      <c r="T161" s="1084">
        <f t="shared" si="225"/>
        <v>6554100</v>
      </c>
    </row>
    <row r="162" spans="1:20" x14ac:dyDescent="0.25">
      <c r="A162" s="711"/>
      <c r="C162" s="796"/>
      <c r="D162" s="797"/>
      <c r="E162" s="798"/>
      <c r="F162" s="796" t="s">
        <v>482</v>
      </c>
      <c r="G162" s="1526"/>
      <c r="H162" s="917" t="s">
        <v>840</v>
      </c>
      <c r="I162" s="796" t="s">
        <v>840</v>
      </c>
      <c r="J162" s="697"/>
      <c r="K162" s="697"/>
      <c r="L162" s="697"/>
      <c r="M162" s="913"/>
      <c r="N162" s="697"/>
      <c r="O162" s="697"/>
      <c r="P162" s="697">
        <f>8700+2400</f>
        <v>11100</v>
      </c>
      <c r="Q162" s="697"/>
      <c r="R162" s="697"/>
      <c r="S162" s="888"/>
      <c r="T162" s="914">
        <f>P162</f>
        <v>11100</v>
      </c>
    </row>
    <row r="163" spans="1:20" x14ac:dyDescent="0.25">
      <c r="A163" s="711"/>
      <c r="B163" s="696"/>
      <c r="C163" s="796"/>
      <c r="D163" s="797"/>
      <c r="E163" s="798"/>
      <c r="F163" s="796" t="s">
        <v>625</v>
      </c>
      <c r="G163" s="1526"/>
      <c r="H163" s="898">
        <v>3</v>
      </c>
      <c r="I163" s="695"/>
      <c r="J163" s="697">
        <v>3</v>
      </c>
      <c r="K163" s="697">
        <v>4</v>
      </c>
      <c r="L163" s="697">
        <v>2</v>
      </c>
      <c r="M163" s="913">
        <v>0.5</v>
      </c>
      <c r="N163" s="697">
        <v>6</v>
      </c>
      <c r="O163" s="697">
        <v>10000</v>
      </c>
      <c r="P163" s="697">
        <v>15000</v>
      </c>
      <c r="Q163" s="697"/>
      <c r="R163" s="697"/>
      <c r="S163" s="888"/>
      <c r="T163" s="914">
        <f>P163</f>
        <v>15000</v>
      </c>
    </row>
    <row r="164" spans="1:20" x14ac:dyDescent="0.25">
      <c r="A164" s="711"/>
      <c r="B164" s="696"/>
      <c r="C164" s="796"/>
      <c r="D164" s="797"/>
      <c r="E164" s="798"/>
      <c r="F164" s="796" t="s">
        <v>586</v>
      </c>
      <c r="G164" s="1526"/>
      <c r="H164" s="898">
        <v>320</v>
      </c>
      <c r="I164" s="695"/>
      <c r="J164" s="697">
        <v>320</v>
      </c>
      <c r="K164" s="697">
        <v>4</v>
      </c>
      <c r="L164" s="697">
        <v>2.8</v>
      </c>
      <c r="M164" s="913">
        <v>0.3</v>
      </c>
      <c r="N164" s="697"/>
      <c r="O164" s="697"/>
      <c r="P164" s="697"/>
      <c r="Q164" s="697">
        <v>384</v>
      </c>
      <c r="R164" s="697">
        <v>17</v>
      </c>
      <c r="S164" s="888">
        <v>6528000</v>
      </c>
      <c r="T164" s="914">
        <f>S164</f>
        <v>6528000</v>
      </c>
    </row>
    <row r="165" spans="1:20" x14ac:dyDescent="0.25">
      <c r="A165" s="711"/>
      <c r="B165" s="696" t="s">
        <v>488</v>
      </c>
      <c r="C165" s="796"/>
      <c r="D165" s="797"/>
      <c r="E165" s="798"/>
      <c r="F165" s="796" t="s">
        <v>539</v>
      </c>
      <c r="G165" s="1526"/>
      <c r="H165" s="898">
        <v>20</v>
      </c>
      <c r="I165" s="695"/>
      <c r="J165" s="697">
        <v>20</v>
      </c>
      <c r="K165" s="697">
        <v>4</v>
      </c>
      <c r="L165" s="697">
        <v>2</v>
      </c>
      <c r="M165" s="913">
        <v>0.5</v>
      </c>
      <c r="N165" s="697">
        <v>40</v>
      </c>
      <c r="O165" s="697">
        <v>15000</v>
      </c>
      <c r="P165" s="697">
        <v>150000</v>
      </c>
      <c r="Q165" s="697"/>
      <c r="R165" s="697"/>
      <c r="S165" s="888"/>
      <c r="T165" s="914">
        <f>P165</f>
        <v>150000</v>
      </c>
    </row>
    <row r="166" spans="1:20" s="515" customFormat="1" x14ac:dyDescent="0.25">
      <c r="A166" s="1069"/>
      <c r="B166" s="696" t="s">
        <v>841</v>
      </c>
      <c r="C166" s="1073"/>
      <c r="D166" s="1070"/>
      <c r="E166" s="1084">
        <f>SUM(E167:E170)</f>
        <v>0</v>
      </c>
      <c r="F166" s="1084">
        <f t="shared" ref="F166:T166" si="226">SUM(F167:F170)</f>
        <v>0</v>
      </c>
      <c r="G166" s="1084">
        <f t="shared" si="226"/>
        <v>0</v>
      </c>
      <c r="H166" s="1084">
        <f t="shared" si="226"/>
        <v>796.5</v>
      </c>
      <c r="I166" s="1084">
        <f t="shared" si="226"/>
        <v>0</v>
      </c>
      <c r="J166" s="1084">
        <f t="shared" si="226"/>
        <v>796.5</v>
      </c>
      <c r="K166" s="1084">
        <f t="shared" si="226"/>
        <v>16</v>
      </c>
      <c r="L166" s="1084">
        <f t="shared" si="226"/>
        <v>8.8000000000000007</v>
      </c>
      <c r="M166" s="1084">
        <f t="shared" si="226"/>
        <v>1.8</v>
      </c>
      <c r="N166" s="1084">
        <f t="shared" si="226"/>
        <v>120.8</v>
      </c>
      <c r="O166" s="1084">
        <f t="shared" si="226"/>
        <v>15000</v>
      </c>
      <c r="P166" s="1084">
        <f t="shared" si="226"/>
        <v>453000</v>
      </c>
      <c r="Q166" s="1084">
        <f t="shared" si="226"/>
        <v>1491.6</v>
      </c>
      <c r="R166" s="1084">
        <f t="shared" si="226"/>
        <v>51</v>
      </c>
      <c r="S166" s="1084">
        <f t="shared" si="226"/>
        <v>25357200</v>
      </c>
      <c r="T166" s="1084">
        <f t="shared" si="226"/>
        <v>25810200</v>
      </c>
    </row>
    <row r="167" spans="1:20" x14ac:dyDescent="0.25">
      <c r="A167" s="711"/>
      <c r="C167" s="796"/>
      <c r="D167" s="797"/>
      <c r="E167" s="798"/>
      <c r="F167" s="796" t="s">
        <v>539</v>
      </c>
      <c r="G167" s="1526"/>
      <c r="H167" s="898">
        <v>151</v>
      </c>
      <c r="I167" s="695"/>
      <c r="J167" s="697">
        <v>151</v>
      </c>
      <c r="K167" s="697">
        <v>4</v>
      </c>
      <c r="L167" s="697">
        <v>3.2</v>
      </c>
      <c r="M167" s="913">
        <v>0.2</v>
      </c>
      <c r="N167" s="697">
        <v>120.8</v>
      </c>
      <c r="O167" s="697">
        <v>15000</v>
      </c>
      <c r="P167" s="697">
        <v>453000</v>
      </c>
      <c r="Q167" s="697"/>
      <c r="R167" s="697"/>
      <c r="S167" s="888"/>
      <c r="T167" s="914">
        <f>P167</f>
        <v>453000</v>
      </c>
    </row>
    <row r="168" spans="1:20" x14ac:dyDescent="0.25">
      <c r="A168" s="711"/>
      <c r="B168" s="696"/>
      <c r="C168" s="796"/>
      <c r="D168" s="797"/>
      <c r="E168" s="798"/>
      <c r="F168" s="796" t="s">
        <v>586</v>
      </c>
      <c r="G168" s="1526"/>
      <c r="H168" s="898">
        <v>445</v>
      </c>
      <c r="I168" s="695"/>
      <c r="J168" s="697">
        <v>445</v>
      </c>
      <c r="K168" s="697">
        <v>4</v>
      </c>
      <c r="L168" s="697">
        <v>2</v>
      </c>
      <c r="M168" s="913">
        <v>0.5</v>
      </c>
      <c r="N168" s="697"/>
      <c r="O168" s="697"/>
      <c r="P168" s="697"/>
      <c r="Q168" s="697">
        <v>890</v>
      </c>
      <c r="R168" s="697">
        <v>17</v>
      </c>
      <c r="S168" s="888">
        <v>15130000</v>
      </c>
      <c r="T168" s="914">
        <f>S168</f>
        <v>15130000</v>
      </c>
    </row>
    <row r="169" spans="1:20" x14ac:dyDescent="0.25">
      <c r="A169" s="711"/>
      <c r="B169" s="696"/>
      <c r="C169" s="796"/>
      <c r="D169" s="797"/>
      <c r="E169" s="798"/>
      <c r="F169" s="796" t="s">
        <v>586</v>
      </c>
      <c r="G169" s="1526"/>
      <c r="H169" s="898">
        <v>180.5</v>
      </c>
      <c r="I169" s="695"/>
      <c r="J169" s="697">
        <v>180.5</v>
      </c>
      <c r="K169" s="697">
        <v>4</v>
      </c>
      <c r="L169" s="697">
        <v>0.8</v>
      </c>
      <c r="M169" s="913">
        <v>0.8</v>
      </c>
      <c r="N169" s="697"/>
      <c r="O169" s="697"/>
      <c r="P169" s="697"/>
      <c r="Q169" s="697">
        <v>577.6</v>
      </c>
      <c r="R169" s="697">
        <v>17</v>
      </c>
      <c r="S169" s="888">
        <v>9819200</v>
      </c>
      <c r="T169" s="914">
        <f>S169</f>
        <v>9819200</v>
      </c>
    </row>
    <row r="170" spans="1:20" x14ac:dyDescent="0.25">
      <c r="A170" s="711"/>
      <c r="B170" s="696"/>
      <c r="C170" s="796"/>
      <c r="D170" s="797"/>
      <c r="E170" s="798"/>
      <c r="F170" s="796" t="s">
        <v>474</v>
      </c>
      <c r="G170" s="1526"/>
      <c r="H170" s="898">
        <v>20</v>
      </c>
      <c r="I170" s="695"/>
      <c r="J170" s="697">
        <v>20</v>
      </c>
      <c r="K170" s="697">
        <v>4</v>
      </c>
      <c r="L170" s="697">
        <v>2.8</v>
      </c>
      <c r="M170" s="913">
        <v>0.3</v>
      </c>
      <c r="N170" s="697"/>
      <c r="O170" s="697"/>
      <c r="P170" s="697"/>
      <c r="Q170" s="697">
        <v>24</v>
      </c>
      <c r="R170" s="697">
        <v>17</v>
      </c>
      <c r="S170" s="888">
        <v>408000</v>
      </c>
      <c r="T170" s="914">
        <f>S170</f>
        <v>408000</v>
      </c>
    </row>
    <row r="171" spans="1:20" x14ac:dyDescent="0.25">
      <c r="A171" s="711"/>
      <c r="B171" s="696" t="s">
        <v>631</v>
      </c>
      <c r="C171" s="796"/>
      <c r="D171" s="797"/>
      <c r="E171" s="798"/>
      <c r="F171" s="796" t="s">
        <v>586</v>
      </c>
      <c r="G171" s="1526"/>
      <c r="H171" s="898">
        <v>300</v>
      </c>
      <c r="I171" s="697">
        <v>300</v>
      </c>
      <c r="J171" s="697"/>
      <c r="K171" s="697">
        <v>4</v>
      </c>
      <c r="L171" s="697">
        <v>0</v>
      </c>
      <c r="M171" s="913">
        <v>1</v>
      </c>
      <c r="N171" s="697"/>
      <c r="O171" s="697"/>
      <c r="P171" s="697"/>
      <c r="Q171" s="697">
        <f>I171*K171*M171</f>
        <v>1200</v>
      </c>
      <c r="R171" s="697">
        <v>17</v>
      </c>
      <c r="S171" s="888">
        <f>Q171*R171*1000</f>
        <v>20400000</v>
      </c>
      <c r="T171" s="914">
        <f>S171</f>
        <v>20400000</v>
      </c>
    </row>
    <row r="172" spans="1:20" s="515" customFormat="1" x14ac:dyDescent="0.25">
      <c r="A172" s="1069"/>
      <c r="B172" s="696" t="s">
        <v>842</v>
      </c>
      <c r="C172" s="1073"/>
      <c r="D172" s="1070"/>
      <c r="E172" s="1084">
        <f>SUM(E173:E178)</f>
        <v>0</v>
      </c>
      <c r="F172" s="1084">
        <f t="shared" ref="F172:T172" si="227">SUM(F173:F178)</f>
        <v>0</v>
      </c>
      <c r="G172" s="1084">
        <f t="shared" si="227"/>
        <v>0</v>
      </c>
      <c r="H172" s="1084">
        <f t="shared" si="227"/>
        <v>118.25</v>
      </c>
      <c r="I172" s="1084">
        <f t="shared" si="227"/>
        <v>2.25</v>
      </c>
      <c r="J172" s="1084">
        <f t="shared" si="227"/>
        <v>116</v>
      </c>
      <c r="K172" s="1084">
        <f t="shared" si="227"/>
        <v>20</v>
      </c>
      <c r="L172" s="1084">
        <f t="shared" si="227"/>
        <v>13.6</v>
      </c>
      <c r="M172" s="1084">
        <f t="shared" si="227"/>
        <v>2.6000000000000005</v>
      </c>
      <c r="N172" s="1084">
        <f t="shared" si="227"/>
        <v>96.199999999999989</v>
      </c>
      <c r="O172" s="1084">
        <f t="shared" si="227"/>
        <v>36200</v>
      </c>
      <c r="P172" s="1084">
        <f t="shared" si="227"/>
        <v>291299.99999999994</v>
      </c>
      <c r="Q172" s="1084">
        <f t="shared" si="227"/>
        <v>2.7999999999999994</v>
      </c>
      <c r="R172" s="1084">
        <f t="shared" si="227"/>
        <v>34</v>
      </c>
      <c r="S172" s="1084">
        <f t="shared" si="227"/>
        <v>47599.999999999993</v>
      </c>
      <c r="T172" s="1084">
        <f t="shared" si="227"/>
        <v>338899.99999999994</v>
      </c>
    </row>
    <row r="173" spans="1:20" x14ac:dyDescent="0.25">
      <c r="A173" s="711"/>
      <c r="C173" s="796"/>
      <c r="D173" s="797"/>
      <c r="E173" s="798"/>
      <c r="F173" s="796" t="s">
        <v>482</v>
      </c>
      <c r="G173" s="796"/>
      <c r="H173" s="917" t="s">
        <v>843</v>
      </c>
      <c r="I173" s="796" t="s">
        <v>843</v>
      </c>
      <c r="J173" s="697"/>
      <c r="K173" s="697"/>
      <c r="L173" s="697"/>
      <c r="M173" s="913">
        <v>1</v>
      </c>
      <c r="N173" s="697"/>
      <c r="O173" s="697">
        <v>1200</v>
      </c>
      <c r="P173" s="697">
        <f>O173*9</f>
        <v>10800</v>
      </c>
      <c r="Q173" s="697"/>
      <c r="R173" s="697"/>
      <c r="S173" s="888"/>
      <c r="T173" s="914">
        <f>P173</f>
        <v>10800</v>
      </c>
    </row>
    <row r="174" spans="1:20" x14ac:dyDescent="0.25">
      <c r="A174" s="711"/>
      <c r="B174" s="696"/>
      <c r="C174" s="796"/>
      <c r="D174" s="797"/>
      <c r="E174" s="798"/>
      <c r="F174" s="796" t="s">
        <v>745</v>
      </c>
      <c r="G174" s="796"/>
      <c r="H174" s="898">
        <f t="shared" ref="H174:H183" si="228">I174+J174</f>
        <v>69</v>
      </c>
      <c r="I174" s="697"/>
      <c r="J174" s="697">
        <v>69</v>
      </c>
      <c r="K174" s="697">
        <v>4</v>
      </c>
      <c r="L174" s="697">
        <v>3.2</v>
      </c>
      <c r="M174" s="913">
        <f>(K174-L174)/K174</f>
        <v>0.19999999999999996</v>
      </c>
      <c r="N174" s="697">
        <f>J174*K174*M174</f>
        <v>55.199999999999989</v>
      </c>
      <c r="O174" s="697">
        <v>10000</v>
      </c>
      <c r="P174" s="697">
        <f>J174*M174*O174</f>
        <v>137999.99999999997</v>
      </c>
      <c r="Q174" s="697"/>
      <c r="R174" s="697"/>
      <c r="S174" s="888"/>
      <c r="T174" s="914">
        <f>P174</f>
        <v>137999.99999999997</v>
      </c>
    </row>
    <row r="175" spans="1:20" x14ac:dyDescent="0.25">
      <c r="A175" s="711"/>
      <c r="B175" s="696"/>
      <c r="C175" s="796"/>
      <c r="D175" s="797"/>
      <c r="E175" s="798"/>
      <c r="F175" s="796"/>
      <c r="G175" s="796"/>
      <c r="H175" s="898">
        <f t="shared" si="228"/>
        <v>2.25</v>
      </c>
      <c r="I175" s="697">
        <v>2.25</v>
      </c>
      <c r="J175" s="697"/>
      <c r="K175" s="697">
        <v>4</v>
      </c>
      <c r="L175" s="697">
        <v>0</v>
      </c>
      <c r="M175" s="913">
        <f>(K175-L175)/K175</f>
        <v>1</v>
      </c>
      <c r="N175" s="697">
        <v>9</v>
      </c>
      <c r="O175" s="697">
        <v>10000</v>
      </c>
      <c r="P175" s="697">
        <f>I175*O175</f>
        <v>22500</v>
      </c>
      <c r="Q175" s="697"/>
      <c r="R175" s="697"/>
      <c r="S175" s="888"/>
      <c r="T175" s="914">
        <f>P175</f>
        <v>22500</v>
      </c>
    </row>
    <row r="176" spans="1:20" x14ac:dyDescent="0.25">
      <c r="A176" s="711"/>
      <c r="B176" s="696"/>
      <c r="C176" s="796"/>
      <c r="D176" s="797"/>
      <c r="E176" s="798"/>
      <c r="F176" s="796" t="s">
        <v>539</v>
      </c>
      <c r="G176" s="796"/>
      <c r="H176" s="898">
        <f t="shared" si="228"/>
        <v>40</v>
      </c>
      <c r="I176" s="697"/>
      <c r="J176" s="697">
        <v>40</v>
      </c>
      <c r="K176" s="697">
        <v>4</v>
      </c>
      <c r="L176" s="697">
        <v>3.2</v>
      </c>
      <c r="M176" s="913">
        <f t="shared" ref="M176:M183" si="229">(K176-L176)/K176</f>
        <v>0.19999999999999996</v>
      </c>
      <c r="N176" s="697">
        <f>J176*K176*M176</f>
        <v>31.999999999999993</v>
      </c>
      <c r="O176" s="697">
        <v>15000</v>
      </c>
      <c r="P176" s="697">
        <f>J176*M176*O176</f>
        <v>119999.99999999997</v>
      </c>
      <c r="Q176" s="697"/>
      <c r="R176" s="697"/>
      <c r="S176" s="888"/>
      <c r="T176" s="914">
        <f>P176</f>
        <v>119999.99999999997</v>
      </c>
    </row>
    <row r="177" spans="1:20" x14ac:dyDescent="0.25">
      <c r="A177" s="711"/>
      <c r="B177" s="696"/>
      <c r="C177" s="796"/>
      <c r="D177" s="797"/>
      <c r="E177" s="697"/>
      <c r="F177" s="796" t="s">
        <v>586</v>
      </c>
      <c r="G177" s="796"/>
      <c r="H177" s="898">
        <f t="shared" si="228"/>
        <v>4</v>
      </c>
      <c r="I177" s="796"/>
      <c r="J177" s="796">
        <v>4</v>
      </c>
      <c r="K177" s="697">
        <v>4</v>
      </c>
      <c r="L177" s="697">
        <v>3.6</v>
      </c>
      <c r="M177" s="913">
        <f t="shared" si="229"/>
        <v>9.9999999999999978E-2</v>
      </c>
      <c r="N177" s="697"/>
      <c r="O177" s="697"/>
      <c r="P177" s="697"/>
      <c r="Q177" s="697">
        <f>J177*M177*K177</f>
        <v>1.5999999999999996</v>
      </c>
      <c r="R177" s="697">
        <v>17</v>
      </c>
      <c r="S177" s="888">
        <f>Q177*R177*1000</f>
        <v>27199.999999999996</v>
      </c>
      <c r="T177" s="914">
        <f>S177</f>
        <v>27199.999999999996</v>
      </c>
    </row>
    <row r="178" spans="1:20" x14ac:dyDescent="0.25">
      <c r="A178" s="711"/>
      <c r="B178" s="696"/>
      <c r="C178" s="796"/>
      <c r="D178" s="797"/>
      <c r="E178" s="697"/>
      <c r="F178" s="796" t="s">
        <v>474</v>
      </c>
      <c r="G178" s="796"/>
      <c r="H178" s="898">
        <f t="shared" si="228"/>
        <v>3</v>
      </c>
      <c r="I178" s="796"/>
      <c r="J178" s="796">
        <v>3</v>
      </c>
      <c r="K178" s="697">
        <v>4</v>
      </c>
      <c r="L178" s="697">
        <v>3.6</v>
      </c>
      <c r="M178" s="913">
        <f t="shared" si="229"/>
        <v>9.9999999999999978E-2</v>
      </c>
      <c r="N178" s="697"/>
      <c r="O178" s="697"/>
      <c r="P178" s="697"/>
      <c r="Q178" s="697">
        <f>J178*M178*K178</f>
        <v>1.1999999999999997</v>
      </c>
      <c r="R178" s="697">
        <v>17</v>
      </c>
      <c r="S178" s="888">
        <f>Q178*R178*1000</f>
        <v>20399.999999999996</v>
      </c>
      <c r="T178" s="914">
        <f>S178</f>
        <v>20399.999999999996</v>
      </c>
    </row>
    <row r="179" spans="1:20" s="515" customFormat="1" x14ac:dyDescent="0.25">
      <c r="A179" s="1074"/>
      <c r="B179" s="919" t="s">
        <v>520</v>
      </c>
      <c r="C179" s="1078"/>
      <c r="D179" s="1076"/>
      <c r="E179" s="1075">
        <f>SUM(E180:E184)</f>
        <v>0</v>
      </c>
      <c r="F179" s="1075">
        <f t="shared" ref="F179:T179" si="230">SUM(F180:F184)</f>
        <v>0</v>
      </c>
      <c r="G179" s="1075">
        <f t="shared" si="230"/>
        <v>0</v>
      </c>
      <c r="H179" s="1075">
        <f t="shared" si="230"/>
        <v>25.15</v>
      </c>
      <c r="I179" s="1075">
        <f t="shared" si="230"/>
        <v>0</v>
      </c>
      <c r="J179" s="1075">
        <f t="shared" si="230"/>
        <v>25.15</v>
      </c>
      <c r="K179" s="1075">
        <f t="shared" si="230"/>
        <v>16</v>
      </c>
      <c r="L179" s="1075">
        <f t="shared" si="230"/>
        <v>12.48</v>
      </c>
      <c r="M179" s="1075">
        <f t="shared" si="230"/>
        <v>0.88</v>
      </c>
      <c r="N179" s="1075">
        <f t="shared" si="230"/>
        <v>12.379999999999997</v>
      </c>
      <c r="O179" s="1075">
        <f t="shared" si="230"/>
        <v>25000</v>
      </c>
      <c r="P179" s="1075">
        <f t="shared" si="230"/>
        <v>43199.999999999993</v>
      </c>
      <c r="Q179" s="1075">
        <f t="shared" si="230"/>
        <v>7.8000000000000016</v>
      </c>
      <c r="R179" s="1075">
        <f t="shared" si="230"/>
        <v>34</v>
      </c>
      <c r="S179" s="1075">
        <f t="shared" si="230"/>
        <v>132600.00000000003</v>
      </c>
      <c r="T179" s="1075">
        <f t="shared" si="230"/>
        <v>175800.00000000003</v>
      </c>
    </row>
    <row r="180" spans="1:20" x14ac:dyDescent="0.25">
      <c r="A180" s="918"/>
      <c r="C180" s="824"/>
      <c r="D180" s="822"/>
      <c r="E180" s="821"/>
      <c r="F180" s="824" t="s">
        <v>745</v>
      </c>
      <c r="G180" s="824"/>
      <c r="H180" s="920">
        <f t="shared" si="228"/>
        <v>2.15</v>
      </c>
      <c r="I180" s="824"/>
      <c r="J180" s="824">
        <v>2.15</v>
      </c>
      <c r="K180" s="821">
        <v>4</v>
      </c>
      <c r="L180" s="821">
        <v>2.8</v>
      </c>
      <c r="M180" s="913">
        <f t="shared" si="229"/>
        <v>0.30000000000000004</v>
      </c>
      <c r="N180" s="697">
        <f>J180*K180*M180</f>
        <v>2.58</v>
      </c>
      <c r="O180" s="821">
        <v>10000</v>
      </c>
      <c r="P180" s="697">
        <f>J180*M180*O180</f>
        <v>6450</v>
      </c>
      <c r="Q180" s="821"/>
      <c r="R180" s="821"/>
      <c r="S180" s="888"/>
      <c r="T180" s="921">
        <f>P180</f>
        <v>6450</v>
      </c>
    </row>
    <row r="181" spans="1:20" x14ac:dyDescent="0.25">
      <c r="A181" s="918"/>
      <c r="B181" s="919"/>
      <c r="C181" s="824"/>
      <c r="D181" s="822"/>
      <c r="E181" s="821"/>
      <c r="F181" s="824" t="s">
        <v>539</v>
      </c>
      <c r="G181" s="824"/>
      <c r="H181" s="920">
        <f t="shared" si="228"/>
        <v>12.25</v>
      </c>
      <c r="I181" s="824"/>
      <c r="J181" s="824">
        <v>12.25</v>
      </c>
      <c r="K181" s="821">
        <v>4</v>
      </c>
      <c r="L181" s="821">
        <v>3.2</v>
      </c>
      <c r="M181" s="913">
        <f t="shared" si="229"/>
        <v>0.19999999999999996</v>
      </c>
      <c r="N181" s="697">
        <f>J181*K181*M181</f>
        <v>9.7999999999999972</v>
      </c>
      <c r="O181" s="821">
        <v>15000</v>
      </c>
      <c r="P181" s="697">
        <f>J181*M181*O181</f>
        <v>36749.999999999993</v>
      </c>
      <c r="Q181" s="821"/>
      <c r="R181" s="821"/>
      <c r="S181" s="888"/>
      <c r="T181" s="921">
        <f>P181</f>
        <v>36749.999999999993</v>
      </c>
    </row>
    <row r="182" spans="1:20" x14ac:dyDescent="0.25">
      <c r="A182" s="918"/>
      <c r="B182" s="919"/>
      <c r="C182" s="824"/>
      <c r="D182" s="822"/>
      <c r="E182" s="821"/>
      <c r="F182" s="824" t="s">
        <v>586</v>
      </c>
      <c r="G182" s="824"/>
      <c r="H182" s="920">
        <f t="shared" si="228"/>
        <v>10</v>
      </c>
      <c r="I182" s="824"/>
      <c r="J182" s="824">
        <v>10</v>
      </c>
      <c r="K182" s="821">
        <v>4</v>
      </c>
      <c r="L182" s="821">
        <v>3.28</v>
      </c>
      <c r="M182" s="913">
        <f t="shared" si="229"/>
        <v>0.18000000000000005</v>
      </c>
      <c r="N182" s="821"/>
      <c r="O182" s="821"/>
      <c r="P182" s="821"/>
      <c r="Q182" s="821">
        <f>J182*K182*M182</f>
        <v>7.200000000000002</v>
      </c>
      <c r="R182" s="821">
        <v>17</v>
      </c>
      <c r="S182" s="888">
        <f>Q182*R182*1000</f>
        <v>122400.00000000003</v>
      </c>
      <c r="T182" s="921">
        <f>S182</f>
        <v>122400.00000000003</v>
      </c>
    </row>
    <row r="183" spans="1:20" x14ac:dyDescent="0.25">
      <c r="A183" s="918"/>
      <c r="B183" s="919"/>
      <c r="C183" s="824"/>
      <c r="D183" s="822"/>
      <c r="E183" s="821"/>
      <c r="F183" s="824" t="s">
        <v>484</v>
      </c>
      <c r="G183" s="824"/>
      <c r="H183" s="920">
        <f t="shared" si="228"/>
        <v>0.75</v>
      </c>
      <c r="I183" s="824"/>
      <c r="J183" s="824">
        <v>0.75</v>
      </c>
      <c r="K183" s="821">
        <v>4</v>
      </c>
      <c r="L183" s="821">
        <v>3.2</v>
      </c>
      <c r="M183" s="913">
        <f t="shared" si="229"/>
        <v>0.19999999999999996</v>
      </c>
      <c r="N183" s="821"/>
      <c r="O183" s="821"/>
      <c r="P183" s="821"/>
      <c r="Q183" s="821">
        <f>J183*K183*M183</f>
        <v>0.59999999999999987</v>
      </c>
      <c r="R183" s="821">
        <v>17</v>
      </c>
      <c r="S183" s="888">
        <f>Q183*R183*1000</f>
        <v>10199.999999999998</v>
      </c>
      <c r="T183" s="921">
        <f>S183</f>
        <v>10199.999999999998</v>
      </c>
    </row>
    <row r="184" spans="1:20" x14ac:dyDescent="0.25">
      <c r="A184" s="918"/>
      <c r="B184" s="919"/>
      <c r="C184" s="824"/>
      <c r="D184" s="822"/>
      <c r="E184" s="821"/>
      <c r="F184" s="824"/>
      <c r="G184" s="824"/>
      <c r="H184" s="920"/>
      <c r="I184" s="824"/>
      <c r="J184" s="824"/>
      <c r="K184" s="821"/>
      <c r="L184" s="821"/>
      <c r="M184" s="922"/>
      <c r="N184" s="821"/>
      <c r="O184" s="821"/>
      <c r="P184" s="821"/>
      <c r="Q184" s="821"/>
      <c r="R184" s="821"/>
      <c r="S184" s="923"/>
      <c r="T184" s="921"/>
    </row>
    <row r="185" spans="1:20" x14ac:dyDescent="0.25">
      <c r="A185" s="893"/>
      <c r="B185" s="894" t="s">
        <v>589</v>
      </c>
      <c r="C185" s="824"/>
      <c r="D185" s="822"/>
      <c r="E185" s="821"/>
      <c r="F185" s="824"/>
      <c r="G185" s="824"/>
      <c r="H185" s="924">
        <f>SUM(H187:H202)</f>
        <v>586.14</v>
      </c>
      <c r="I185" s="925">
        <f>SUM(I187:I202)</f>
        <v>56.14</v>
      </c>
      <c r="J185" s="925">
        <f>SUM(J187:J203)</f>
        <v>530</v>
      </c>
      <c r="K185" s="823"/>
      <c r="L185" s="823"/>
      <c r="M185" s="926"/>
      <c r="N185" s="823">
        <f>SUM(N187:N202)</f>
        <v>912.13</v>
      </c>
      <c r="O185" s="823"/>
      <c r="P185" s="823">
        <f>SUM(P187:P202)</f>
        <v>2985190</v>
      </c>
      <c r="Q185" s="823">
        <f>SUM(Q187:Q203)</f>
        <v>39.460000000000008</v>
      </c>
      <c r="R185" s="823"/>
      <c r="S185" s="896">
        <f>SUM(S187:S203)</f>
        <v>670820</v>
      </c>
      <c r="T185" s="927">
        <f>SUM(T187:T202)</f>
        <v>3656010</v>
      </c>
    </row>
    <row r="186" spans="1:20" s="515" customFormat="1" x14ac:dyDescent="0.25">
      <c r="A186" s="1074"/>
      <c r="B186" s="919" t="s">
        <v>472</v>
      </c>
      <c r="C186" s="1078"/>
      <c r="D186" s="1076"/>
      <c r="E186" s="1075">
        <f>SUM(E187:E192)</f>
        <v>0</v>
      </c>
      <c r="F186" s="1078">
        <f t="shared" ref="F186:T186" si="231">SUM(F187:F192)</f>
        <v>0</v>
      </c>
      <c r="G186" s="1078">
        <f t="shared" si="231"/>
        <v>0</v>
      </c>
      <c r="H186" s="1085">
        <f t="shared" si="231"/>
        <v>250</v>
      </c>
      <c r="I186" s="1086">
        <f t="shared" si="231"/>
        <v>50</v>
      </c>
      <c r="J186" s="1086">
        <f t="shared" si="231"/>
        <v>200</v>
      </c>
      <c r="K186" s="1077">
        <f t="shared" si="231"/>
        <v>33.799999999999997</v>
      </c>
      <c r="L186" s="1077">
        <f t="shared" si="231"/>
        <v>8.4499999999999993</v>
      </c>
      <c r="M186" s="1087">
        <f t="shared" si="231"/>
        <v>4.5</v>
      </c>
      <c r="N186" s="1077">
        <f t="shared" si="231"/>
        <v>754</v>
      </c>
      <c r="O186" s="1077">
        <f t="shared" si="231"/>
        <v>110000</v>
      </c>
      <c r="P186" s="1077">
        <f t="shared" si="231"/>
        <v>2245000</v>
      </c>
      <c r="Q186" s="1077">
        <f t="shared" si="231"/>
        <v>0</v>
      </c>
      <c r="R186" s="1077">
        <f t="shared" si="231"/>
        <v>0</v>
      </c>
      <c r="S186" s="1080">
        <f t="shared" si="231"/>
        <v>0</v>
      </c>
      <c r="T186" s="1088">
        <f t="shared" si="231"/>
        <v>2245000</v>
      </c>
    </row>
    <row r="187" spans="1:20" x14ac:dyDescent="0.25">
      <c r="A187" s="918"/>
      <c r="C187" s="824"/>
      <c r="D187" s="822"/>
      <c r="E187" s="821"/>
      <c r="F187" s="824" t="s">
        <v>539</v>
      </c>
      <c r="G187" s="824"/>
      <c r="H187" s="920">
        <f t="shared" ref="H187:H199" si="232">I187+J187</f>
        <v>5</v>
      </c>
      <c r="I187" s="824">
        <v>5</v>
      </c>
      <c r="J187" s="824"/>
      <c r="K187" s="821">
        <v>6.9</v>
      </c>
      <c r="L187" s="821">
        <v>0</v>
      </c>
      <c r="M187" s="922">
        <f>(K187-L187)/K187</f>
        <v>1</v>
      </c>
      <c r="N187" s="821">
        <f>I187*K187*M187</f>
        <v>34.5</v>
      </c>
      <c r="O187" s="821">
        <v>24000</v>
      </c>
      <c r="P187" s="821">
        <f>I187*M187*O187</f>
        <v>120000</v>
      </c>
      <c r="Q187" s="821"/>
      <c r="R187" s="821"/>
      <c r="S187" s="923"/>
      <c r="T187" s="921">
        <f t="shared" ref="T187:T198" si="233">P187</f>
        <v>120000</v>
      </c>
    </row>
    <row r="188" spans="1:20" x14ac:dyDescent="0.25">
      <c r="A188" s="711"/>
      <c r="B188" s="696"/>
      <c r="C188" s="796"/>
      <c r="D188" s="797"/>
      <c r="E188" s="697"/>
      <c r="F188" s="796"/>
      <c r="G188" s="796"/>
      <c r="H188" s="898">
        <v>10</v>
      </c>
      <c r="I188" s="796">
        <v>10</v>
      </c>
      <c r="J188" s="796"/>
      <c r="K188" s="697">
        <v>5.5</v>
      </c>
      <c r="L188" s="697">
        <v>0</v>
      </c>
      <c r="M188" s="913">
        <v>1</v>
      </c>
      <c r="N188" s="697">
        <v>55</v>
      </c>
      <c r="O188" s="697">
        <v>21000</v>
      </c>
      <c r="P188" s="697">
        <v>210000</v>
      </c>
      <c r="Q188" s="697"/>
      <c r="R188" s="697"/>
      <c r="S188" s="888"/>
      <c r="T188" s="914">
        <f>P188</f>
        <v>210000</v>
      </c>
    </row>
    <row r="189" spans="1:20" x14ac:dyDescent="0.25">
      <c r="A189" s="918"/>
      <c r="B189" s="919"/>
      <c r="C189" s="824"/>
      <c r="D189" s="822"/>
      <c r="E189" s="821"/>
      <c r="F189" s="824"/>
      <c r="G189" s="824"/>
      <c r="H189" s="920">
        <v>35</v>
      </c>
      <c r="I189" s="824">
        <v>35</v>
      </c>
      <c r="J189" s="824"/>
      <c r="K189" s="821">
        <v>4.5</v>
      </c>
      <c r="L189" s="821"/>
      <c r="M189" s="922">
        <v>1</v>
      </c>
      <c r="N189" s="821">
        <v>157.5</v>
      </c>
      <c r="O189" s="821">
        <v>10000</v>
      </c>
      <c r="P189" s="821">
        <v>350000</v>
      </c>
      <c r="Q189" s="821"/>
      <c r="R189" s="821"/>
      <c r="S189" s="923"/>
      <c r="T189" s="921">
        <f>P189</f>
        <v>350000</v>
      </c>
    </row>
    <row r="190" spans="1:20" x14ac:dyDescent="0.25">
      <c r="A190" s="918"/>
      <c r="B190" s="919"/>
      <c r="C190" s="824"/>
      <c r="D190" s="822"/>
      <c r="E190" s="821"/>
      <c r="F190" s="824"/>
      <c r="G190" s="824"/>
      <c r="H190" s="920">
        <v>10</v>
      </c>
      <c r="I190" s="824"/>
      <c r="J190" s="824">
        <v>10</v>
      </c>
      <c r="K190" s="821">
        <v>6.9</v>
      </c>
      <c r="L190" s="821">
        <v>3.45</v>
      </c>
      <c r="M190" s="922">
        <v>0.5</v>
      </c>
      <c r="N190" s="821">
        <v>34.5</v>
      </c>
      <c r="O190" s="821">
        <v>24000</v>
      </c>
      <c r="P190" s="821">
        <v>120000</v>
      </c>
      <c r="Q190" s="821"/>
      <c r="R190" s="821"/>
      <c r="S190" s="923"/>
      <c r="T190" s="921">
        <f>P190</f>
        <v>120000</v>
      </c>
    </row>
    <row r="191" spans="1:20" x14ac:dyDescent="0.25">
      <c r="A191" s="918"/>
      <c r="B191" s="919"/>
      <c r="C191" s="824"/>
      <c r="D191" s="822"/>
      <c r="E191" s="821"/>
      <c r="F191" s="824"/>
      <c r="G191" s="824"/>
      <c r="H191" s="920">
        <v>90</v>
      </c>
      <c r="I191" s="824"/>
      <c r="J191" s="824">
        <v>90</v>
      </c>
      <c r="K191" s="821">
        <v>5.5</v>
      </c>
      <c r="L191" s="821">
        <v>2.75</v>
      </c>
      <c r="M191" s="922">
        <v>0.5</v>
      </c>
      <c r="N191" s="821">
        <v>247.5</v>
      </c>
      <c r="O191" s="821">
        <v>21000</v>
      </c>
      <c r="P191" s="821">
        <v>945000</v>
      </c>
      <c r="Q191" s="821"/>
      <c r="R191" s="821"/>
      <c r="S191" s="923"/>
      <c r="T191" s="921">
        <f>P191</f>
        <v>945000</v>
      </c>
    </row>
    <row r="192" spans="1:20" x14ac:dyDescent="0.25">
      <c r="A192" s="711"/>
      <c r="B192" s="696"/>
      <c r="C192" s="796"/>
      <c r="D192" s="797"/>
      <c r="E192" s="697"/>
      <c r="F192" s="796"/>
      <c r="G192" s="796"/>
      <c r="H192" s="898">
        <f>I192+J192</f>
        <v>100</v>
      </c>
      <c r="I192" s="796"/>
      <c r="J192" s="796">
        <v>100</v>
      </c>
      <c r="K192" s="697">
        <v>4.5</v>
      </c>
      <c r="L192" s="697">
        <v>2.25</v>
      </c>
      <c r="M192" s="913">
        <v>0.5</v>
      </c>
      <c r="N192" s="697">
        <f>J192*K192*M192</f>
        <v>225</v>
      </c>
      <c r="O192" s="697">
        <v>10000</v>
      </c>
      <c r="P192" s="697">
        <f>J192*M192*O192</f>
        <v>500000</v>
      </c>
      <c r="Q192" s="697"/>
      <c r="R192" s="697"/>
      <c r="S192" s="888"/>
      <c r="T192" s="914">
        <f t="shared" si="233"/>
        <v>500000</v>
      </c>
    </row>
    <row r="193" spans="1:20" s="515" customFormat="1" x14ac:dyDescent="0.25">
      <c r="A193" s="1074"/>
      <c r="B193" s="919" t="s">
        <v>596</v>
      </c>
      <c r="C193" s="1078"/>
      <c r="D193" s="1076"/>
      <c r="E193" s="1075">
        <f>SUM(E194:E195)</f>
        <v>0</v>
      </c>
      <c r="F193" s="1075">
        <f t="shared" ref="F193:T193" si="234">SUM(F194:F195)</f>
        <v>0</v>
      </c>
      <c r="G193" s="1075">
        <f t="shared" si="234"/>
        <v>0</v>
      </c>
      <c r="H193" s="1075">
        <f t="shared" si="234"/>
        <v>150</v>
      </c>
      <c r="I193" s="1075">
        <f t="shared" si="234"/>
        <v>0</v>
      </c>
      <c r="J193" s="1075">
        <f t="shared" si="234"/>
        <v>150</v>
      </c>
      <c r="K193" s="1075">
        <f t="shared" si="234"/>
        <v>9</v>
      </c>
      <c r="L193" s="1075">
        <f t="shared" si="234"/>
        <v>8.1</v>
      </c>
      <c r="M193" s="1075">
        <f t="shared" si="234"/>
        <v>0.20000000000000007</v>
      </c>
      <c r="N193" s="1075">
        <f t="shared" si="234"/>
        <v>67.500000000000028</v>
      </c>
      <c r="O193" s="1075">
        <f t="shared" si="234"/>
        <v>45000</v>
      </c>
      <c r="P193" s="1075">
        <f t="shared" si="234"/>
        <v>324000.00000000012</v>
      </c>
      <c r="Q193" s="1075">
        <f t="shared" si="234"/>
        <v>0</v>
      </c>
      <c r="R193" s="1075">
        <f t="shared" si="234"/>
        <v>0</v>
      </c>
      <c r="S193" s="1075">
        <f t="shared" si="234"/>
        <v>0</v>
      </c>
      <c r="T193" s="1075">
        <f t="shared" si="234"/>
        <v>324000.00000000012</v>
      </c>
    </row>
    <row r="194" spans="1:20" x14ac:dyDescent="0.25">
      <c r="A194" s="918"/>
      <c r="C194" s="824"/>
      <c r="D194" s="822"/>
      <c r="E194" s="821"/>
      <c r="F194" s="824" t="s">
        <v>539</v>
      </c>
      <c r="G194" s="824"/>
      <c r="H194" s="920">
        <f t="shared" si="232"/>
        <v>30</v>
      </c>
      <c r="I194" s="824"/>
      <c r="J194" s="824">
        <v>30</v>
      </c>
      <c r="K194" s="821">
        <v>4.5</v>
      </c>
      <c r="L194" s="821">
        <v>4.05</v>
      </c>
      <c r="M194" s="922">
        <f>(K194-L194)/K194</f>
        <v>0.10000000000000003</v>
      </c>
      <c r="N194" s="821">
        <f>J194*K194*M194</f>
        <v>13.500000000000005</v>
      </c>
      <c r="O194" s="821">
        <v>24000</v>
      </c>
      <c r="P194" s="821">
        <f>J194*M194*O194</f>
        <v>72000.000000000015</v>
      </c>
      <c r="Q194" s="821"/>
      <c r="R194" s="821"/>
      <c r="S194" s="923"/>
      <c r="T194" s="921">
        <f t="shared" si="233"/>
        <v>72000.000000000015</v>
      </c>
    </row>
    <row r="195" spans="1:20" x14ac:dyDescent="0.25">
      <c r="A195" s="918"/>
      <c r="B195" s="919"/>
      <c r="C195" s="824"/>
      <c r="D195" s="822"/>
      <c r="E195" s="821"/>
      <c r="F195" s="824"/>
      <c r="G195" s="824"/>
      <c r="H195" s="920">
        <f t="shared" si="232"/>
        <v>120</v>
      </c>
      <c r="I195" s="824"/>
      <c r="J195" s="824">
        <v>120</v>
      </c>
      <c r="K195" s="821">
        <v>4.5</v>
      </c>
      <c r="L195" s="821">
        <v>4.05</v>
      </c>
      <c r="M195" s="922">
        <f>(K195-L195)/K195</f>
        <v>0.10000000000000003</v>
      </c>
      <c r="N195" s="821">
        <f>J195*K195*M195</f>
        <v>54.000000000000021</v>
      </c>
      <c r="O195" s="821">
        <v>21000</v>
      </c>
      <c r="P195" s="821">
        <f>O195*J195*M195</f>
        <v>252000.00000000009</v>
      </c>
      <c r="Q195" s="821"/>
      <c r="R195" s="821"/>
      <c r="S195" s="923"/>
      <c r="T195" s="921">
        <f t="shared" si="233"/>
        <v>252000.00000000009</v>
      </c>
    </row>
    <row r="196" spans="1:20" s="515" customFormat="1" x14ac:dyDescent="0.25">
      <c r="A196" s="1074"/>
      <c r="B196" s="919" t="s">
        <v>598</v>
      </c>
      <c r="C196" s="1078"/>
      <c r="D196" s="1076"/>
      <c r="E196" s="1075">
        <f>SUM(E197:E199)</f>
        <v>0</v>
      </c>
      <c r="F196" s="1075">
        <f t="shared" ref="F196:T196" si="235">SUM(F197:F199)</f>
        <v>0</v>
      </c>
      <c r="G196" s="1075">
        <f t="shared" si="235"/>
        <v>0</v>
      </c>
      <c r="H196" s="1075">
        <f t="shared" si="235"/>
        <v>15.5</v>
      </c>
      <c r="I196" s="1075">
        <f t="shared" si="235"/>
        <v>0.5</v>
      </c>
      <c r="J196" s="1075">
        <f t="shared" si="235"/>
        <v>15</v>
      </c>
      <c r="K196" s="1075">
        <f t="shared" si="235"/>
        <v>15</v>
      </c>
      <c r="L196" s="1075">
        <f t="shared" si="235"/>
        <v>8.2519999999999989</v>
      </c>
      <c r="M196" s="1075">
        <f t="shared" si="235"/>
        <v>1.3495999999999999</v>
      </c>
      <c r="N196" s="1075">
        <f t="shared" si="235"/>
        <v>6.25</v>
      </c>
      <c r="O196" s="1075">
        <f t="shared" si="235"/>
        <v>42000</v>
      </c>
      <c r="P196" s="1075">
        <f t="shared" si="235"/>
        <v>26250</v>
      </c>
      <c r="Q196" s="1075">
        <f t="shared" si="235"/>
        <v>9.9800000000000022</v>
      </c>
      <c r="R196" s="1075">
        <f t="shared" si="235"/>
        <v>17</v>
      </c>
      <c r="S196" s="1075">
        <f t="shared" si="235"/>
        <v>169660.00000000003</v>
      </c>
      <c r="T196" s="1075">
        <f t="shared" si="235"/>
        <v>195910.00000000003</v>
      </c>
    </row>
    <row r="197" spans="1:20" x14ac:dyDescent="0.25">
      <c r="A197" s="918"/>
      <c r="C197" s="824"/>
      <c r="D197" s="822"/>
      <c r="E197" s="821"/>
      <c r="F197" s="824" t="s">
        <v>539</v>
      </c>
      <c r="G197" s="824"/>
      <c r="H197" s="920">
        <f t="shared" si="232"/>
        <v>0.5</v>
      </c>
      <c r="I197" s="824">
        <v>0.5</v>
      </c>
      <c r="J197" s="824"/>
      <c r="K197" s="821">
        <v>5</v>
      </c>
      <c r="L197" s="821">
        <v>0</v>
      </c>
      <c r="M197" s="922">
        <f>(K197-L197)/K197</f>
        <v>1</v>
      </c>
      <c r="N197" s="821">
        <f>I197*K197*M197</f>
        <v>2.5</v>
      </c>
      <c r="O197" s="821">
        <v>21000</v>
      </c>
      <c r="P197" s="821">
        <f>I197*M197*O197</f>
        <v>10500</v>
      </c>
      <c r="Q197" s="821"/>
      <c r="R197" s="821"/>
      <c r="S197" s="923"/>
      <c r="T197" s="921">
        <f t="shared" si="233"/>
        <v>10500</v>
      </c>
    </row>
    <row r="198" spans="1:20" x14ac:dyDescent="0.25">
      <c r="A198" s="918"/>
      <c r="B198" s="919"/>
      <c r="C198" s="824"/>
      <c r="D198" s="822"/>
      <c r="E198" s="821"/>
      <c r="F198" s="824"/>
      <c r="G198" s="824"/>
      <c r="H198" s="920">
        <f t="shared" si="232"/>
        <v>5</v>
      </c>
      <c r="I198" s="824"/>
      <c r="J198" s="824">
        <v>5</v>
      </c>
      <c r="K198" s="821">
        <v>5</v>
      </c>
      <c r="L198" s="821">
        <v>4.25</v>
      </c>
      <c r="M198" s="922">
        <f>(K198-L198)/K198</f>
        <v>0.15</v>
      </c>
      <c r="N198" s="821">
        <f>J198*K198*M198</f>
        <v>3.75</v>
      </c>
      <c r="O198" s="821">
        <v>21000</v>
      </c>
      <c r="P198" s="821">
        <f>J198*M198*O198</f>
        <v>15750</v>
      </c>
      <c r="Q198" s="821"/>
      <c r="R198" s="821"/>
      <c r="S198" s="923"/>
      <c r="T198" s="921">
        <f t="shared" si="233"/>
        <v>15750</v>
      </c>
    </row>
    <row r="199" spans="1:20" x14ac:dyDescent="0.25">
      <c r="A199" s="918"/>
      <c r="B199" s="919"/>
      <c r="C199" s="824"/>
      <c r="D199" s="822"/>
      <c r="E199" s="821"/>
      <c r="F199" s="796" t="s">
        <v>586</v>
      </c>
      <c r="G199" s="796"/>
      <c r="H199" s="898">
        <f t="shared" si="232"/>
        <v>10</v>
      </c>
      <c r="I199" s="695"/>
      <c r="J199" s="697">
        <v>10</v>
      </c>
      <c r="K199" s="697">
        <v>5</v>
      </c>
      <c r="L199" s="697">
        <v>4.0019999999999998</v>
      </c>
      <c r="M199" s="913">
        <f>(K199-L199)/K199</f>
        <v>0.19960000000000006</v>
      </c>
      <c r="N199" s="697"/>
      <c r="O199" s="697"/>
      <c r="P199" s="697"/>
      <c r="Q199" s="697">
        <f>J199*K199*M199</f>
        <v>9.9800000000000022</v>
      </c>
      <c r="R199" s="697">
        <v>17</v>
      </c>
      <c r="S199" s="888">
        <f>Q199*R199*1000</f>
        <v>169660.00000000003</v>
      </c>
      <c r="T199" s="914">
        <f>S199</f>
        <v>169660.00000000003</v>
      </c>
    </row>
    <row r="200" spans="1:20" x14ac:dyDescent="0.25">
      <c r="A200" s="918"/>
      <c r="B200" s="919" t="s">
        <v>592</v>
      </c>
      <c r="C200" s="824"/>
      <c r="D200" s="822"/>
      <c r="E200" s="821"/>
      <c r="F200" s="928" t="s">
        <v>539</v>
      </c>
      <c r="G200" s="928"/>
      <c r="H200" s="929">
        <v>1.64</v>
      </c>
      <c r="I200" s="930">
        <v>1.64</v>
      </c>
      <c r="J200" s="930"/>
      <c r="K200" s="930">
        <v>4.5</v>
      </c>
      <c r="L200" s="930">
        <v>0</v>
      </c>
      <c r="M200" s="931">
        <v>1</v>
      </c>
      <c r="N200" s="930">
        <v>7.38</v>
      </c>
      <c r="O200" s="930">
        <v>21000</v>
      </c>
      <c r="P200" s="930">
        <v>34440</v>
      </c>
      <c r="Q200" s="930"/>
      <c r="R200" s="697"/>
      <c r="S200" s="697"/>
      <c r="T200" s="474">
        <f>P200</f>
        <v>34440</v>
      </c>
    </row>
    <row r="201" spans="1:20" x14ac:dyDescent="0.25">
      <c r="A201" s="918"/>
      <c r="B201" s="919" t="s">
        <v>605</v>
      </c>
      <c r="C201" s="824"/>
      <c r="D201" s="822"/>
      <c r="E201" s="821"/>
      <c r="F201" s="796" t="s">
        <v>539</v>
      </c>
      <c r="G201" s="796"/>
      <c r="H201" s="898">
        <v>0.5</v>
      </c>
      <c r="I201" s="697">
        <v>0.5</v>
      </c>
      <c r="J201" s="697"/>
      <c r="K201" s="697">
        <v>6.5</v>
      </c>
      <c r="L201" s="697">
        <v>0</v>
      </c>
      <c r="M201" s="913">
        <v>1</v>
      </c>
      <c r="N201" s="697">
        <v>3.25</v>
      </c>
      <c r="O201" s="697">
        <v>10500</v>
      </c>
      <c r="P201" s="697">
        <v>5250</v>
      </c>
      <c r="Q201" s="697"/>
      <c r="R201" s="697"/>
      <c r="S201" s="697"/>
      <c r="T201" s="474">
        <f>P201</f>
        <v>5250</v>
      </c>
    </row>
    <row r="202" spans="1:20" x14ac:dyDescent="0.25">
      <c r="A202" s="918"/>
      <c r="B202" s="919" t="s">
        <v>603</v>
      </c>
      <c r="C202" s="824"/>
      <c r="D202" s="822"/>
      <c r="E202" s="821"/>
      <c r="F202" s="928" t="s">
        <v>586</v>
      </c>
      <c r="G202" s="928"/>
      <c r="H202" s="929">
        <v>3</v>
      </c>
      <c r="I202" s="928">
        <v>3</v>
      </c>
      <c r="J202" s="928"/>
      <c r="K202" s="930">
        <v>6.5</v>
      </c>
      <c r="L202" s="930">
        <v>0</v>
      </c>
      <c r="M202" s="931">
        <v>1</v>
      </c>
      <c r="N202" s="930"/>
      <c r="O202" s="930"/>
      <c r="P202" s="930"/>
      <c r="Q202" s="930">
        <v>19.5</v>
      </c>
      <c r="R202" s="697">
        <v>17</v>
      </c>
      <c r="S202" s="697">
        <v>331500</v>
      </c>
      <c r="T202" s="474">
        <f>S202</f>
        <v>331500</v>
      </c>
    </row>
    <row r="203" spans="1:20" ht="16.5" thickBot="1" x14ac:dyDescent="0.3">
      <c r="A203" s="932"/>
      <c r="B203" s="829"/>
      <c r="C203" s="933"/>
      <c r="D203" s="831"/>
      <c r="E203" s="934"/>
      <c r="F203" s="832"/>
      <c r="G203" s="832"/>
      <c r="H203" s="935"/>
      <c r="I203" s="834"/>
      <c r="J203" s="936"/>
      <c r="K203" s="936"/>
      <c r="L203" s="936"/>
      <c r="M203" s="937"/>
      <c r="N203" s="936"/>
      <c r="O203" s="936"/>
      <c r="P203" s="936"/>
      <c r="Q203" s="936"/>
      <c r="R203" s="938"/>
      <c r="S203" s="939"/>
      <c r="T203" s="940"/>
    </row>
    <row r="204" spans="1:20" x14ac:dyDescent="0.25">
      <c r="A204" s="941"/>
      <c r="B204" s="942"/>
      <c r="C204" s="837"/>
      <c r="D204" s="838"/>
      <c r="E204" s="839"/>
      <c r="F204" s="840"/>
      <c r="G204" s="839"/>
      <c r="H204" s="943"/>
      <c r="I204" s="839"/>
      <c r="J204" s="840"/>
      <c r="K204" s="839"/>
      <c r="L204" s="841"/>
      <c r="M204" s="842"/>
      <c r="N204" s="841"/>
      <c r="O204" s="841"/>
      <c r="P204" s="841"/>
      <c r="Q204" s="841"/>
      <c r="R204" s="403"/>
      <c r="S204" s="403"/>
      <c r="T204" s="944"/>
    </row>
    <row r="205" spans="1:20" ht="18" x14ac:dyDescent="0.25">
      <c r="A205" s="945"/>
      <c r="B205" s="863"/>
      <c r="C205" s="864"/>
      <c r="D205" s="859"/>
      <c r="E205" s="859"/>
      <c r="F205" s="769"/>
      <c r="G205" s="1529"/>
      <c r="H205" s="946"/>
      <c r="I205" s="865"/>
      <c r="J205" s="865"/>
      <c r="K205" s="865"/>
      <c r="L205" s="865"/>
      <c r="M205" s="865"/>
      <c r="N205" s="865"/>
      <c r="O205" s="865"/>
      <c r="P205" s="865"/>
      <c r="Q205" s="865"/>
      <c r="R205" s="865"/>
      <c r="S205" s="865"/>
      <c r="T205" s="775"/>
    </row>
    <row r="206" spans="1:20" ht="18" x14ac:dyDescent="0.25">
      <c r="A206" s="947"/>
      <c r="B206" s="863"/>
      <c r="C206" s="864"/>
      <c r="D206" s="859"/>
      <c r="E206" s="859"/>
      <c r="F206" s="769"/>
      <c r="G206" s="1529"/>
      <c r="H206" s="946"/>
      <c r="I206" s="865"/>
      <c r="J206" s="865"/>
      <c r="K206" s="865"/>
      <c r="L206" s="865"/>
      <c r="M206" s="865"/>
      <c r="N206" s="865"/>
      <c r="O206" s="865"/>
      <c r="P206" s="865"/>
      <c r="Q206" s="865"/>
      <c r="R206" s="865"/>
      <c r="S206" s="865"/>
      <c r="T206" s="775"/>
    </row>
    <row r="207" spans="1:20" x14ac:dyDescent="0.25">
      <c r="A207" s="948" t="s">
        <v>522</v>
      </c>
      <c r="B207" s="1524"/>
      <c r="C207" s="1513"/>
      <c r="D207" s="496"/>
      <c r="E207" s="746"/>
      <c r="F207" s="867"/>
      <c r="G207" s="868" t="s">
        <v>815</v>
      </c>
      <c r="H207" s="949"/>
      <c r="I207" s="864"/>
      <c r="J207" s="864"/>
      <c r="K207" s="1513"/>
      <c r="L207" s="864"/>
      <c r="M207" s="1513"/>
      <c r="N207" s="495"/>
      <c r="O207" s="403"/>
      <c r="P207" s="403" t="s">
        <v>816</v>
      </c>
      <c r="Q207" s="403"/>
      <c r="R207" s="1513"/>
      <c r="S207" s="495"/>
      <c r="T207" s="775"/>
    </row>
    <row r="208" spans="1:20" x14ac:dyDescent="0.25">
      <c r="A208" s="948"/>
      <c r="B208" s="1524"/>
      <c r="C208" s="1513"/>
      <c r="D208" s="496"/>
      <c r="E208" s="746"/>
      <c r="F208" s="867"/>
      <c r="G208" s="868"/>
      <c r="H208" s="949"/>
      <c r="I208" s="864"/>
      <c r="J208" s="864"/>
      <c r="K208" s="1513"/>
      <c r="L208" s="864"/>
      <c r="M208" s="1513"/>
      <c r="N208" s="495"/>
      <c r="O208" s="403"/>
      <c r="P208" s="403"/>
      <c r="Q208" s="403"/>
      <c r="R208" s="1513"/>
      <c r="S208" s="495"/>
      <c r="T208" s="775"/>
    </row>
    <row r="209" spans="1:20" x14ac:dyDescent="0.25">
      <c r="A209" s="950"/>
      <c r="B209" s="870"/>
      <c r="C209" s="871"/>
      <c r="D209" s="872"/>
      <c r="E209" s="873"/>
      <c r="F209" s="873"/>
      <c r="G209" s="873"/>
      <c r="H209" s="951"/>
      <c r="I209" s="873"/>
      <c r="J209" s="871"/>
      <c r="K209" s="871"/>
      <c r="L209" s="1516"/>
      <c r="M209" s="871"/>
      <c r="N209" s="871"/>
      <c r="O209" s="403"/>
      <c r="P209" s="403"/>
      <c r="Q209" s="403"/>
      <c r="R209" s="1516"/>
      <c r="S209" s="871"/>
      <c r="T209" s="775"/>
    </row>
    <row r="210" spans="1:20" x14ac:dyDescent="0.25">
      <c r="A210" s="950"/>
      <c r="B210" s="1580" t="s">
        <v>844</v>
      </c>
      <c r="C210" s="1580"/>
      <c r="D210" s="1580"/>
      <c r="E210" s="1515"/>
      <c r="F210" s="1515"/>
      <c r="G210" s="1581" t="s">
        <v>818</v>
      </c>
      <c r="H210" s="1581"/>
      <c r="I210" s="1581"/>
      <c r="J210" s="1581"/>
      <c r="K210" s="871"/>
      <c r="L210" s="1516"/>
      <c r="M210" s="871"/>
      <c r="N210" s="871"/>
      <c r="O210" s="403"/>
      <c r="P210" s="1580" t="s">
        <v>819</v>
      </c>
      <c r="Q210" s="1580"/>
      <c r="R210" s="1580"/>
      <c r="S210" s="871"/>
      <c r="T210" s="775"/>
    </row>
    <row r="211" spans="1:20" ht="16.5" thickBot="1" x14ac:dyDescent="0.3">
      <c r="A211" s="952"/>
      <c r="B211" s="1676" t="s">
        <v>527</v>
      </c>
      <c r="C211" s="1676"/>
      <c r="D211" s="1676"/>
      <c r="E211" s="953"/>
      <c r="F211" s="1527"/>
      <c r="G211" s="1676" t="s">
        <v>820</v>
      </c>
      <c r="H211" s="1676"/>
      <c r="I211" s="1676"/>
      <c r="J211" s="1676"/>
      <c r="K211" s="954"/>
      <c r="L211" s="954"/>
      <c r="M211" s="954"/>
      <c r="N211" s="954"/>
      <c r="O211" s="954"/>
      <c r="P211" s="1676" t="s">
        <v>821</v>
      </c>
      <c r="Q211" s="1676"/>
      <c r="R211" s="1676"/>
      <c r="S211" s="954"/>
      <c r="T211" s="955"/>
    </row>
  </sheetData>
  <mergeCells count="24">
    <mergeCell ref="A1:S1"/>
    <mergeCell ref="A7:S7"/>
    <mergeCell ref="M8:S8"/>
    <mergeCell ref="A13:S13"/>
    <mergeCell ref="A14:A16"/>
    <mergeCell ref="B14:B16"/>
    <mergeCell ref="C14:C16"/>
    <mergeCell ref="D14:D16"/>
    <mergeCell ref="E14:E16"/>
    <mergeCell ref="F14:F16"/>
    <mergeCell ref="T15:T16"/>
    <mergeCell ref="B210:D210"/>
    <mergeCell ref="G210:J210"/>
    <mergeCell ref="P210:R210"/>
    <mergeCell ref="B211:D211"/>
    <mergeCell ref="G211:J211"/>
    <mergeCell ref="P211:R211"/>
    <mergeCell ref="G14:G16"/>
    <mergeCell ref="H14:J15"/>
    <mergeCell ref="K14:L15"/>
    <mergeCell ref="M14:M16"/>
    <mergeCell ref="N14:S14"/>
    <mergeCell ref="N15:P15"/>
    <mergeCell ref="Q15:S15"/>
  </mergeCells>
  <pageMargins left="0.74" right="0" top="0.32" bottom="0.72" header="0.28999999999999998" footer="0.3"/>
  <pageSetup paperSize="5" scale="55" orientation="landscape" errors="blank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3DE3-3891-CD41-8DF1-B3401AD9AB50}">
  <sheetPr>
    <tabColor rgb="FFC00000"/>
  </sheetPr>
  <dimension ref="A1:T112"/>
  <sheetViews>
    <sheetView view="pageBreakPreview" topLeftCell="J1" zoomScale="91" zoomScaleNormal="70" zoomScaleSheetLayoutView="91" workbookViewId="0">
      <pane ySplit="17" topLeftCell="A18" activePane="bottomLeft" state="frozen"/>
      <selection activeCell="P74" sqref="P74"/>
      <selection pane="bottomLeft" activeCell="D23" sqref="D23:G23"/>
    </sheetView>
  </sheetViews>
  <sheetFormatPr defaultColWidth="9.125" defaultRowHeight="15.75" x14ac:dyDescent="0.25"/>
  <cols>
    <col min="1" max="1" width="5.875" style="393" customWidth="1"/>
    <col min="2" max="2" width="16" style="393" customWidth="1"/>
    <col min="3" max="3" width="15.125" style="393" customWidth="1"/>
    <col min="4" max="4" width="12" style="393" customWidth="1"/>
    <col min="5" max="5" width="12.625" style="718" customWidth="1"/>
    <col min="6" max="6" width="17.375" style="393" customWidth="1"/>
    <col min="7" max="7" width="13.375" style="393" customWidth="1"/>
    <col min="8" max="8" width="14" style="721" customWidth="1"/>
    <col min="9" max="9" width="14.5" style="393" customWidth="1"/>
    <col min="10" max="10" width="11.5" style="393" customWidth="1"/>
    <col min="11" max="11" width="9" style="393" customWidth="1"/>
    <col min="12" max="12" width="8.125" style="393" customWidth="1"/>
    <col min="13" max="13" width="12.5" style="393" customWidth="1"/>
    <col min="14" max="14" width="12" style="393" customWidth="1"/>
    <col min="15" max="15" width="16.625" style="393" customWidth="1"/>
    <col min="16" max="16" width="13.5" style="393" customWidth="1"/>
    <col min="17" max="17" width="15.625" style="393" customWidth="1"/>
    <col min="18" max="18" width="20.5" style="393" bestFit="1" customWidth="1"/>
    <col min="19" max="19" width="19.375" style="393" customWidth="1"/>
    <col min="20" max="20" width="19" style="393" customWidth="1"/>
    <col min="21" max="16384" width="9.125" style="393"/>
  </cols>
  <sheetData>
    <row r="1" spans="1:20" ht="15.75" customHeight="1" x14ac:dyDescent="0.25">
      <c r="A1" s="1708" t="s">
        <v>845</v>
      </c>
      <c r="B1" s="1708"/>
      <c r="C1" s="1708"/>
      <c r="D1" s="1708"/>
      <c r="E1" s="1708"/>
      <c r="F1" s="1708"/>
      <c r="G1" s="1708"/>
      <c r="H1" s="1708"/>
      <c r="I1" s="1708"/>
      <c r="J1" s="1708"/>
      <c r="K1" s="1708"/>
      <c r="L1" s="1708"/>
      <c r="M1" s="1708"/>
      <c r="N1" s="1708"/>
      <c r="O1" s="1708"/>
      <c r="P1" s="1708"/>
      <c r="Q1" s="1708"/>
      <c r="R1" s="1708"/>
      <c r="S1" s="1708"/>
      <c r="T1" s="956"/>
    </row>
    <row r="2" spans="1:20" x14ac:dyDescent="0.25">
      <c r="A2" s="956" t="s">
        <v>846</v>
      </c>
      <c r="B2" s="956"/>
      <c r="C2" s="956"/>
      <c r="D2" s="956"/>
      <c r="E2" s="956"/>
      <c r="F2" s="956"/>
      <c r="G2" s="956"/>
      <c r="H2" s="956"/>
      <c r="I2" s="956"/>
      <c r="J2" s="956"/>
      <c r="K2" s="956"/>
      <c r="L2" s="956"/>
      <c r="M2" s="956"/>
      <c r="N2" s="956"/>
      <c r="O2" s="956"/>
      <c r="P2" s="956"/>
      <c r="Q2" s="956"/>
      <c r="R2" s="956"/>
      <c r="S2" s="956"/>
      <c r="T2" s="956"/>
    </row>
    <row r="3" spans="1:20" x14ac:dyDescent="0.25">
      <c r="A3" s="1709" t="s">
        <v>847</v>
      </c>
      <c r="B3" s="1709"/>
      <c r="C3" s="1709"/>
      <c r="D3" s="1709"/>
      <c r="E3" s="1709"/>
      <c r="F3" s="1709"/>
      <c r="G3" s="1709"/>
      <c r="H3" s="1709"/>
      <c r="I3" s="1709"/>
      <c r="J3" s="1709"/>
      <c r="K3" s="1709"/>
      <c r="L3" s="1709"/>
      <c r="M3" s="1709"/>
      <c r="N3" s="1709"/>
      <c r="O3" s="1709"/>
      <c r="P3" s="1709"/>
      <c r="Q3" s="1709"/>
      <c r="R3" s="1709"/>
      <c r="S3" s="1709"/>
      <c r="T3" s="956"/>
    </row>
    <row r="4" spans="1:20" x14ac:dyDescent="0.25">
      <c r="A4" s="1709" t="s">
        <v>848</v>
      </c>
      <c r="B4" s="1709"/>
      <c r="C4" s="1709"/>
      <c r="D4" s="1709"/>
      <c r="E4" s="1709"/>
      <c r="F4" s="1709"/>
      <c r="G4" s="1709"/>
      <c r="H4" s="1709"/>
      <c r="I4" s="1709"/>
      <c r="J4" s="1709"/>
      <c r="K4" s="1709"/>
      <c r="L4" s="1709"/>
      <c r="M4" s="1709"/>
      <c r="N4" s="1709"/>
      <c r="O4" s="1709"/>
      <c r="P4" s="1709"/>
      <c r="Q4" s="1709"/>
      <c r="R4" s="1709"/>
      <c r="S4" s="1709"/>
      <c r="T4" s="956"/>
    </row>
    <row r="5" spans="1:20" x14ac:dyDescent="0.25">
      <c r="A5" s="1709" t="s">
        <v>849</v>
      </c>
      <c r="B5" s="1709"/>
      <c r="C5" s="1709"/>
      <c r="D5" s="1709"/>
      <c r="E5" s="1709"/>
      <c r="F5" s="1709"/>
      <c r="G5" s="1709"/>
      <c r="H5" s="1709"/>
      <c r="I5" s="1709"/>
      <c r="J5" s="1709"/>
      <c r="K5" s="1709"/>
      <c r="L5" s="1709"/>
      <c r="M5" s="1709"/>
      <c r="N5" s="1709"/>
      <c r="O5" s="1709"/>
      <c r="P5" s="1709"/>
      <c r="Q5" s="1709"/>
      <c r="R5" s="1709"/>
      <c r="S5" s="1709"/>
      <c r="T5" s="956"/>
    </row>
    <row r="6" spans="1:20" x14ac:dyDescent="0.25">
      <c r="A6" s="1709" t="s">
        <v>850</v>
      </c>
      <c r="B6" s="1709"/>
      <c r="C6" s="1709"/>
      <c r="D6" s="1709"/>
      <c r="E6" s="1709"/>
      <c r="F6" s="1709"/>
      <c r="G6" s="1709"/>
      <c r="H6" s="1709"/>
      <c r="I6" s="1709"/>
      <c r="J6" s="1709"/>
      <c r="K6" s="1709"/>
      <c r="L6" s="1709"/>
      <c r="M6" s="1709"/>
      <c r="N6" s="1709"/>
      <c r="O6" s="1709"/>
      <c r="P6" s="1709"/>
      <c r="Q6" s="1709"/>
      <c r="R6" s="1709"/>
      <c r="S6" s="1709"/>
      <c r="T6" s="956"/>
    </row>
    <row r="7" spans="1:20" x14ac:dyDescent="0.25">
      <c r="A7" s="957" t="s">
        <v>851</v>
      </c>
      <c r="B7" s="958"/>
      <c r="C7" s="958"/>
      <c r="D7" s="958"/>
      <c r="E7" s="958"/>
      <c r="F7" s="958"/>
      <c r="G7" s="958"/>
      <c r="H7" s="958"/>
      <c r="I7" s="959"/>
      <c r="J7" s="959"/>
      <c r="K7" s="960"/>
      <c r="L7" s="958"/>
      <c r="M7" s="1706" t="s">
        <v>852</v>
      </c>
      <c r="N7" s="1695"/>
      <c r="O7" s="1707"/>
      <c r="P7" s="1707"/>
      <c r="Q7" s="1707"/>
      <c r="R7" s="1707"/>
      <c r="S7" s="979"/>
      <c r="T7" s="961"/>
    </row>
    <row r="8" spans="1:20" x14ac:dyDescent="0.25">
      <c r="A8" s="962"/>
      <c r="B8" s="956" t="s">
        <v>853</v>
      </c>
      <c r="C8" s="963"/>
      <c r="D8" s="963"/>
      <c r="E8" s="963"/>
      <c r="F8" s="963"/>
      <c r="G8" s="963"/>
      <c r="H8" s="963"/>
      <c r="I8" s="964"/>
      <c r="J8" s="964"/>
      <c r="K8" s="956"/>
      <c r="L8" s="956"/>
      <c r="M8" s="965" t="s">
        <v>421</v>
      </c>
      <c r="N8" s="966"/>
      <c r="O8" s="958"/>
      <c r="P8" s="958"/>
      <c r="Q8" s="958"/>
      <c r="R8" s="967" t="s">
        <v>422</v>
      </c>
      <c r="S8" s="958"/>
      <c r="T8" s="968"/>
    </row>
    <row r="9" spans="1:20" x14ac:dyDescent="0.25">
      <c r="A9" s="962"/>
      <c r="B9" s="956"/>
      <c r="C9" s="963"/>
      <c r="D9" s="963"/>
      <c r="E9" s="963"/>
      <c r="F9" s="963"/>
      <c r="G9" s="963"/>
      <c r="H9" s="963"/>
      <c r="I9" s="964"/>
      <c r="J9" s="964"/>
      <c r="K9" s="956"/>
      <c r="L9" s="956"/>
      <c r="M9" s="969"/>
      <c r="N9" s="970" t="s">
        <v>854</v>
      </c>
      <c r="O9" s="956"/>
      <c r="P9" s="963"/>
      <c r="Q9" s="963"/>
      <c r="R9" s="1528"/>
      <c r="S9" s="970" t="s">
        <v>424</v>
      </c>
      <c r="T9" s="968"/>
    </row>
    <row r="10" spans="1:20" x14ac:dyDescent="0.25">
      <c r="A10" s="962"/>
      <c r="B10" s="956"/>
      <c r="C10" s="963"/>
      <c r="D10" s="956"/>
      <c r="E10" s="956"/>
      <c r="F10" s="956"/>
      <c r="G10" s="956"/>
      <c r="H10" s="956"/>
      <c r="I10" s="971"/>
      <c r="J10" s="971"/>
      <c r="K10" s="956"/>
      <c r="L10" s="956"/>
      <c r="M10" s="972" t="s">
        <v>425</v>
      </c>
      <c r="N10" s="970" t="s">
        <v>855</v>
      </c>
      <c r="O10" s="956"/>
      <c r="P10" s="956"/>
      <c r="Q10" s="956"/>
      <c r="R10" s="956"/>
      <c r="S10" s="970" t="s">
        <v>856</v>
      </c>
      <c r="T10" s="968"/>
    </row>
    <row r="11" spans="1:20" x14ac:dyDescent="0.25">
      <c r="A11" s="962"/>
      <c r="B11" s="956"/>
      <c r="C11" s="963"/>
      <c r="D11" s="956"/>
      <c r="E11" s="956"/>
      <c r="F11" s="956"/>
      <c r="G11" s="956"/>
      <c r="H11" s="956"/>
      <c r="I11" s="971"/>
      <c r="J11" s="971"/>
      <c r="K11" s="956"/>
      <c r="L11" s="956"/>
      <c r="M11" s="973"/>
      <c r="N11" s="974" t="s">
        <v>857</v>
      </c>
      <c r="O11" s="956"/>
      <c r="P11" s="975"/>
      <c r="Q11" s="975"/>
      <c r="R11" s="976" t="s">
        <v>858</v>
      </c>
      <c r="S11" s="974" t="s">
        <v>859</v>
      </c>
      <c r="T11" s="968"/>
    </row>
    <row r="12" spans="1:20" x14ac:dyDescent="0.25">
      <c r="A12" s="1694" t="s">
        <v>430</v>
      </c>
      <c r="B12" s="1695"/>
      <c r="C12" s="1695"/>
      <c r="D12" s="1695"/>
      <c r="E12" s="1695"/>
      <c r="F12" s="1695"/>
      <c r="G12" s="1695"/>
      <c r="H12" s="1695"/>
      <c r="I12" s="1695"/>
      <c r="J12" s="1695"/>
      <c r="K12" s="1695"/>
      <c r="L12" s="1695"/>
      <c r="M12" s="1695"/>
      <c r="N12" s="1696"/>
      <c r="O12" s="1696"/>
      <c r="P12" s="1696"/>
      <c r="Q12" s="1696"/>
      <c r="R12" s="1696"/>
      <c r="S12" s="979"/>
      <c r="T12" s="968"/>
    </row>
    <row r="13" spans="1:20" ht="15.75" customHeight="1" x14ac:dyDescent="0.25">
      <c r="A13" s="1697" t="s">
        <v>431</v>
      </c>
      <c r="B13" s="1693" t="s">
        <v>860</v>
      </c>
      <c r="C13" s="1677" t="s">
        <v>861</v>
      </c>
      <c r="D13" s="1677" t="s">
        <v>434</v>
      </c>
      <c r="E13" s="1693" t="s">
        <v>435</v>
      </c>
      <c r="F13" s="1693" t="s">
        <v>436</v>
      </c>
      <c r="G13" s="1683" t="s">
        <v>764</v>
      </c>
      <c r="H13" s="1680" t="s">
        <v>862</v>
      </c>
      <c r="I13" s="1680"/>
      <c r="J13" s="1680"/>
      <c r="K13" s="1700" t="s">
        <v>863</v>
      </c>
      <c r="L13" s="1701"/>
      <c r="M13" s="1683" t="s">
        <v>864</v>
      </c>
      <c r="N13" s="1686" t="s">
        <v>865</v>
      </c>
      <c r="O13" s="1686"/>
      <c r="P13" s="1686"/>
      <c r="Q13" s="1686"/>
      <c r="R13" s="1686"/>
      <c r="S13" s="1687"/>
      <c r="T13" s="977"/>
    </row>
    <row r="14" spans="1:20" ht="15.75" customHeight="1" x14ac:dyDescent="0.25">
      <c r="A14" s="1698"/>
      <c r="B14" s="1693"/>
      <c r="C14" s="1678"/>
      <c r="D14" s="1678"/>
      <c r="E14" s="1693"/>
      <c r="F14" s="1693"/>
      <c r="G14" s="1684"/>
      <c r="H14" s="1680"/>
      <c r="I14" s="1680"/>
      <c r="J14" s="1680"/>
      <c r="K14" s="1702"/>
      <c r="L14" s="1703"/>
      <c r="M14" s="1684"/>
      <c r="N14" s="1686"/>
      <c r="O14" s="1686"/>
      <c r="P14" s="1686"/>
      <c r="Q14" s="1686"/>
      <c r="R14" s="1686"/>
      <c r="S14" s="1687"/>
      <c r="T14" s="978"/>
    </row>
    <row r="15" spans="1:20" ht="15.75" customHeight="1" x14ac:dyDescent="0.25">
      <c r="A15" s="1698"/>
      <c r="B15" s="1693"/>
      <c r="C15" s="1678"/>
      <c r="D15" s="1678"/>
      <c r="E15" s="1693"/>
      <c r="F15" s="1693"/>
      <c r="G15" s="1684"/>
      <c r="H15" s="1680"/>
      <c r="I15" s="1680"/>
      <c r="J15" s="1680"/>
      <c r="K15" s="1704"/>
      <c r="L15" s="1705"/>
      <c r="M15" s="1684"/>
      <c r="N15" s="1688" t="s">
        <v>866</v>
      </c>
      <c r="O15" s="1689"/>
      <c r="P15" s="1690"/>
      <c r="Q15" s="1688" t="s">
        <v>867</v>
      </c>
      <c r="R15" s="1691"/>
      <c r="S15" s="1691"/>
      <c r="T15" s="1677" t="s">
        <v>452</v>
      </c>
    </row>
    <row r="16" spans="1:20" ht="14.25" customHeight="1" x14ac:dyDescent="0.25">
      <c r="A16" s="1698"/>
      <c r="B16" s="1693"/>
      <c r="C16" s="1678"/>
      <c r="D16" s="1678"/>
      <c r="E16" s="1693"/>
      <c r="F16" s="1693"/>
      <c r="G16" s="1684"/>
      <c r="H16" s="1680" t="s">
        <v>447</v>
      </c>
      <c r="I16" s="1681" t="s">
        <v>868</v>
      </c>
      <c r="J16" s="1681" t="s">
        <v>449</v>
      </c>
      <c r="K16" s="1680" t="s">
        <v>869</v>
      </c>
      <c r="L16" s="1680" t="s">
        <v>870</v>
      </c>
      <c r="M16" s="1684"/>
      <c r="N16" s="1683" t="s">
        <v>871</v>
      </c>
      <c r="O16" s="1680" t="s">
        <v>872</v>
      </c>
      <c r="P16" s="1680" t="s">
        <v>452</v>
      </c>
      <c r="Q16" s="1683" t="s">
        <v>871</v>
      </c>
      <c r="R16" s="1693" t="s">
        <v>873</v>
      </c>
      <c r="S16" s="1682" t="s">
        <v>452</v>
      </c>
      <c r="T16" s="1678"/>
    </row>
    <row r="17" spans="1:20" ht="47.25" customHeight="1" x14ac:dyDescent="0.25">
      <c r="A17" s="1699"/>
      <c r="B17" s="1693"/>
      <c r="C17" s="1679"/>
      <c r="D17" s="1679"/>
      <c r="E17" s="1693"/>
      <c r="F17" s="1693"/>
      <c r="G17" s="1685"/>
      <c r="H17" s="1680"/>
      <c r="I17" s="1681"/>
      <c r="J17" s="1681"/>
      <c r="K17" s="1680"/>
      <c r="L17" s="1680"/>
      <c r="M17" s="1685"/>
      <c r="N17" s="1692"/>
      <c r="O17" s="1680"/>
      <c r="P17" s="1680"/>
      <c r="Q17" s="1685"/>
      <c r="R17" s="1693"/>
      <c r="S17" s="1682"/>
      <c r="T17" s="1679"/>
    </row>
    <row r="18" spans="1:20" s="875" customFormat="1" x14ac:dyDescent="0.25">
      <c r="A18" s="980" t="s">
        <v>454</v>
      </c>
      <c r="B18" s="981" t="s">
        <v>455</v>
      </c>
      <c r="C18" s="981" t="s">
        <v>456</v>
      </c>
      <c r="D18" s="981" t="s">
        <v>457</v>
      </c>
      <c r="E18" s="981" t="s">
        <v>458</v>
      </c>
      <c r="F18" s="981" t="s">
        <v>459</v>
      </c>
      <c r="G18" s="982" t="s">
        <v>460</v>
      </c>
      <c r="H18" s="983" t="s">
        <v>461</v>
      </c>
      <c r="I18" s="984" t="s">
        <v>462</v>
      </c>
      <c r="J18" s="984" t="s">
        <v>463</v>
      </c>
      <c r="K18" s="983" t="s">
        <v>464</v>
      </c>
      <c r="L18" s="983" t="s">
        <v>465</v>
      </c>
      <c r="M18" s="983" t="s">
        <v>768</v>
      </c>
      <c r="N18" s="981" t="s">
        <v>466</v>
      </c>
      <c r="O18" s="981" t="s">
        <v>467</v>
      </c>
      <c r="P18" s="981" t="s">
        <v>468</v>
      </c>
      <c r="Q18" s="981" t="s">
        <v>469</v>
      </c>
      <c r="R18" s="981" t="s">
        <v>769</v>
      </c>
      <c r="S18" s="985" t="s">
        <v>770</v>
      </c>
      <c r="T18" s="986"/>
    </row>
    <row r="19" spans="1:20" x14ac:dyDescent="0.25">
      <c r="A19" s="987"/>
      <c r="B19" s="988" t="s">
        <v>874</v>
      </c>
      <c r="C19" s="989"/>
      <c r="D19" s="988"/>
      <c r="E19" s="990"/>
      <c r="F19" s="991"/>
      <c r="G19" s="991"/>
      <c r="H19" s="990">
        <f>H21</f>
        <v>5338.5</v>
      </c>
      <c r="I19" s="990">
        <f>I21</f>
        <v>18</v>
      </c>
      <c r="J19" s="990">
        <f>J21</f>
        <v>5320.5</v>
      </c>
      <c r="K19" s="990"/>
      <c r="L19" s="990"/>
      <c r="M19" s="990"/>
      <c r="N19" s="990">
        <f>N20</f>
        <v>0</v>
      </c>
      <c r="O19" s="990"/>
      <c r="P19" s="990">
        <f>P20</f>
        <v>0</v>
      </c>
      <c r="Q19" s="990">
        <f>Q21</f>
        <v>2349.0964999999997</v>
      </c>
      <c r="R19" s="990"/>
      <c r="S19" s="990">
        <f>S21</f>
        <v>32887351</v>
      </c>
      <c r="T19" s="990">
        <f>T21</f>
        <v>33009601</v>
      </c>
    </row>
    <row r="20" spans="1:20" x14ac:dyDescent="0.25">
      <c r="A20" s="992"/>
      <c r="B20" s="993"/>
      <c r="C20" s="994"/>
      <c r="D20" s="995"/>
      <c r="E20" s="996"/>
      <c r="F20" s="997"/>
      <c r="G20" s="996"/>
      <c r="H20" s="994">
        <f>I20+J20</f>
        <v>0</v>
      </c>
      <c r="I20" s="998">
        <v>0</v>
      </c>
      <c r="J20" s="998">
        <v>0</v>
      </c>
      <c r="K20" s="998">
        <v>0</v>
      </c>
      <c r="L20" s="996">
        <f>K20-(K20/100*M20)</f>
        <v>0</v>
      </c>
      <c r="M20" s="999">
        <v>0</v>
      </c>
      <c r="N20" s="1000">
        <v>0</v>
      </c>
      <c r="O20" s="1000">
        <v>0</v>
      </c>
      <c r="P20" s="1001">
        <f>H20*M20/100*O20</f>
        <v>0</v>
      </c>
      <c r="Q20" s="1000">
        <v>0</v>
      </c>
      <c r="R20" s="1000">
        <v>0</v>
      </c>
      <c r="S20" s="1001">
        <f>K20*P20/100*R20</f>
        <v>0</v>
      </c>
      <c r="T20" s="994"/>
    </row>
    <row r="21" spans="1:20" x14ac:dyDescent="0.25">
      <c r="A21" s="1002"/>
      <c r="B21" s="1003" t="s">
        <v>271</v>
      </c>
      <c r="C21" s="1004"/>
      <c r="D21" s="1005"/>
      <c r="E21" s="1006"/>
      <c r="F21" s="1006"/>
      <c r="G21" s="1006"/>
      <c r="H21" s="1004">
        <f>H22+H27+H38+H49+H72</f>
        <v>5338.5</v>
      </c>
      <c r="I21" s="1004">
        <f>I22+I27+I38+I49+I72</f>
        <v>18</v>
      </c>
      <c r="J21" s="1004">
        <f>J22+J27+J38+J49+J72</f>
        <v>5320.5</v>
      </c>
      <c r="K21" s="1004"/>
      <c r="L21" s="1004"/>
      <c r="M21" s="1007"/>
      <c r="N21" s="1004"/>
      <c r="O21" s="1004"/>
      <c r="P21" s="1004"/>
      <c r="Q21" s="1004">
        <f>Q22+Q27+Q38+Q49+Q72</f>
        <v>2349.0964999999997</v>
      </c>
      <c r="R21" s="1004"/>
      <c r="S21" s="1004">
        <f>S22+S27+S38+S49+S72</f>
        <v>32887351</v>
      </c>
      <c r="T21" s="1004">
        <f>T22+T27+T38+T49+T72</f>
        <v>33009601</v>
      </c>
    </row>
    <row r="22" spans="1:20" x14ac:dyDescent="0.25">
      <c r="A22" s="1008"/>
      <c r="B22" s="1009" t="s">
        <v>471</v>
      </c>
      <c r="C22" s="1010"/>
      <c r="D22" s="1011"/>
      <c r="E22" s="1012"/>
      <c r="F22" s="1013"/>
      <c r="G22" s="1012"/>
      <c r="H22" s="1014">
        <f>H23</f>
        <v>210</v>
      </c>
      <c r="I22" s="1015"/>
      <c r="J22" s="1014">
        <f>J23</f>
        <v>210</v>
      </c>
      <c r="K22" s="1010"/>
      <c r="L22" s="1012"/>
      <c r="M22" s="1011"/>
      <c r="N22" s="1016"/>
      <c r="O22" s="1017"/>
      <c r="P22" s="1018"/>
      <c r="Q22" s="1014">
        <f>Q23</f>
        <v>84.3</v>
      </c>
      <c r="R22" s="1012"/>
      <c r="S22" s="1014">
        <f>S23</f>
        <v>1180200</v>
      </c>
      <c r="T22" s="1014">
        <f>T23</f>
        <v>1180200</v>
      </c>
    </row>
    <row r="23" spans="1:20" x14ac:dyDescent="0.25">
      <c r="A23" s="1019"/>
      <c r="B23" s="1020" t="s">
        <v>613</v>
      </c>
      <c r="C23" s="963"/>
      <c r="D23" s="995">
        <f>SUM(D24:D26)</f>
        <v>2218</v>
      </c>
      <c r="E23" s="995">
        <f t="shared" ref="E23:G23" si="0">SUM(E24:E26)</f>
        <v>2065</v>
      </c>
      <c r="F23" s="995">
        <f t="shared" si="0"/>
        <v>0</v>
      </c>
      <c r="G23" s="995">
        <f t="shared" si="0"/>
        <v>0</v>
      </c>
      <c r="H23" s="1021">
        <f>H24+H25+H26</f>
        <v>210</v>
      </c>
      <c r="I23" s="1022"/>
      <c r="J23" s="1021">
        <f>J24+J25+J26</f>
        <v>210</v>
      </c>
      <c r="K23" s="994"/>
      <c r="L23" s="996"/>
      <c r="M23" s="995"/>
      <c r="N23" s="1023"/>
      <c r="O23" s="1000"/>
      <c r="P23" s="1001"/>
      <c r="Q23" s="1021">
        <f>Q24+Q25+Q26</f>
        <v>84.3</v>
      </c>
      <c r="R23" s="996">
        <v>14</v>
      </c>
      <c r="S23" s="1021">
        <f>S24+S25+S26</f>
        <v>1180200</v>
      </c>
      <c r="T23" s="1021">
        <f t="shared" ref="T23:T71" si="1">P23+S23</f>
        <v>1180200</v>
      </c>
    </row>
    <row r="24" spans="1:20" x14ac:dyDescent="0.25">
      <c r="A24" s="1019"/>
      <c r="B24" s="993"/>
      <c r="C24" s="994" t="s">
        <v>713</v>
      </c>
      <c r="D24" s="995">
        <v>657</v>
      </c>
      <c r="E24" s="996">
        <v>600</v>
      </c>
      <c r="F24" s="1024" t="s">
        <v>875</v>
      </c>
      <c r="G24" s="996"/>
      <c r="H24" s="994">
        <f>I24+J24</f>
        <v>20</v>
      </c>
      <c r="I24" s="1022">
        <v>0</v>
      </c>
      <c r="J24" s="994">
        <v>20</v>
      </c>
      <c r="K24" s="994">
        <v>5.45</v>
      </c>
      <c r="L24" s="1025">
        <f t="shared" ref="L24:L45" si="2">K24-(K24/100*M24)</f>
        <v>4.9050000000000002</v>
      </c>
      <c r="M24" s="995">
        <v>10</v>
      </c>
      <c r="N24" s="1000"/>
      <c r="O24" s="1000"/>
      <c r="P24" s="1001"/>
      <c r="Q24" s="1026">
        <f>(J24*K24*(M24/100))</f>
        <v>10.9</v>
      </c>
      <c r="R24" s="996">
        <v>14</v>
      </c>
      <c r="S24" s="1001">
        <f>R24*1000*Q24</f>
        <v>152600</v>
      </c>
      <c r="T24" s="994">
        <f t="shared" si="1"/>
        <v>152600</v>
      </c>
    </row>
    <row r="25" spans="1:20" x14ac:dyDescent="0.25">
      <c r="A25" s="1019"/>
      <c r="B25" s="993"/>
      <c r="C25" s="994" t="s">
        <v>713</v>
      </c>
      <c r="D25" s="995"/>
      <c r="E25" s="996"/>
      <c r="F25" s="1024" t="s">
        <v>876</v>
      </c>
      <c r="G25" s="996"/>
      <c r="H25" s="994">
        <f t="shared" ref="H25:H45" si="3">I25+J25</f>
        <v>90</v>
      </c>
      <c r="I25" s="1022">
        <v>0</v>
      </c>
      <c r="J25" s="994">
        <v>90</v>
      </c>
      <c r="K25" s="994">
        <v>4</v>
      </c>
      <c r="L25" s="1025">
        <f t="shared" si="2"/>
        <v>3.6</v>
      </c>
      <c r="M25" s="995">
        <v>10</v>
      </c>
      <c r="N25" s="1023"/>
      <c r="O25" s="1000"/>
      <c r="P25" s="1001"/>
      <c r="Q25" s="1026">
        <f>(J25*K25*(M25/100))</f>
        <v>36</v>
      </c>
      <c r="R25" s="996">
        <v>14</v>
      </c>
      <c r="S25" s="1001">
        <f>R25*1000*Q25</f>
        <v>504000</v>
      </c>
      <c r="T25" s="994">
        <f t="shared" si="1"/>
        <v>504000</v>
      </c>
    </row>
    <row r="26" spans="1:20" x14ac:dyDescent="0.25">
      <c r="A26" s="1019"/>
      <c r="B26" s="993"/>
      <c r="C26" s="994" t="s">
        <v>716</v>
      </c>
      <c r="D26" s="995">
        <v>1561</v>
      </c>
      <c r="E26" s="996">
        <v>1465</v>
      </c>
      <c r="F26" s="1024" t="s">
        <v>876</v>
      </c>
      <c r="G26" s="996"/>
      <c r="H26" s="994">
        <f t="shared" si="3"/>
        <v>100</v>
      </c>
      <c r="I26" s="1022">
        <v>0</v>
      </c>
      <c r="J26" s="994">
        <v>100</v>
      </c>
      <c r="K26" s="994">
        <v>3.74</v>
      </c>
      <c r="L26" s="1025">
        <f t="shared" si="2"/>
        <v>3.3660000000000001</v>
      </c>
      <c r="M26" s="995">
        <v>10</v>
      </c>
      <c r="N26" s="1023"/>
      <c r="O26" s="1000"/>
      <c r="P26" s="1001"/>
      <c r="Q26" s="1026">
        <f t="shared" ref="Q26:Q34" si="4">(J26*K26*(M26/100))</f>
        <v>37.4</v>
      </c>
      <c r="R26" s="996">
        <v>14</v>
      </c>
      <c r="S26" s="1001">
        <f>R26*1000*Q26</f>
        <v>523600</v>
      </c>
      <c r="T26" s="994">
        <f t="shared" si="1"/>
        <v>523600</v>
      </c>
    </row>
    <row r="27" spans="1:20" x14ac:dyDescent="0.25">
      <c r="A27" s="1008"/>
      <c r="B27" s="1009" t="s">
        <v>475</v>
      </c>
      <c r="C27" s="1010"/>
      <c r="D27" s="1011"/>
      <c r="E27" s="1012"/>
      <c r="F27" s="1013"/>
      <c r="G27" s="1012"/>
      <c r="H27" s="1014">
        <f>H28+H37</f>
        <v>281</v>
      </c>
      <c r="I27" s="1015"/>
      <c r="J27" s="1014">
        <f>J28+J37</f>
        <v>281</v>
      </c>
      <c r="K27" s="1010"/>
      <c r="L27" s="1012"/>
      <c r="M27" s="1011"/>
      <c r="N27" s="1016"/>
      <c r="O27" s="1017"/>
      <c r="P27" s="1018"/>
      <c r="Q27" s="1014">
        <f>Q28+Q37</f>
        <v>100.26300000000001</v>
      </c>
      <c r="R27" s="1012"/>
      <c r="S27" s="1014">
        <f>S28+S37</f>
        <v>1403682</v>
      </c>
      <c r="T27" s="1014">
        <f t="shared" si="1"/>
        <v>1403682</v>
      </c>
    </row>
    <row r="28" spans="1:20" x14ac:dyDescent="0.25">
      <c r="A28" s="1019"/>
      <c r="B28" s="1020" t="s">
        <v>486</v>
      </c>
      <c r="C28" s="994"/>
      <c r="D28" s="995"/>
      <c r="E28" s="996"/>
      <c r="F28" s="1024"/>
      <c r="G28" s="996"/>
      <c r="H28" s="1021">
        <f>H29+H30+H31+H32+H33+H34+H35+H36</f>
        <v>189</v>
      </c>
      <c r="I28" s="1022"/>
      <c r="J28" s="1021">
        <f>J29+J30+J31+J32+J33+J34+J35+J36</f>
        <v>189</v>
      </c>
      <c r="K28" s="994"/>
      <c r="L28" s="1025"/>
      <c r="M28" s="995"/>
      <c r="N28" s="1000"/>
      <c r="O28" s="1000"/>
      <c r="P28" s="1001"/>
      <c r="Q28" s="1021">
        <f>Q29+Q30+Q31+Q32+Q33+Q34+Q35+Q36</f>
        <v>85.221000000000004</v>
      </c>
      <c r="R28" s="996">
        <v>14</v>
      </c>
      <c r="S28" s="1021">
        <f>S29+S30+S31+S32+S33+S34+S35+S36</f>
        <v>1193094</v>
      </c>
      <c r="T28" s="1021">
        <f t="shared" si="1"/>
        <v>1193094</v>
      </c>
    </row>
    <row r="29" spans="1:20" x14ac:dyDescent="0.25">
      <c r="A29" s="1019"/>
      <c r="B29" s="992"/>
      <c r="C29" s="994" t="s">
        <v>713</v>
      </c>
      <c r="D29" s="995"/>
      <c r="E29" s="996"/>
      <c r="F29" s="1024" t="s">
        <v>877</v>
      </c>
      <c r="G29" s="996" t="s">
        <v>878</v>
      </c>
      <c r="H29" s="994">
        <f t="shared" si="3"/>
        <v>15</v>
      </c>
      <c r="I29" s="1022">
        <v>0</v>
      </c>
      <c r="J29" s="994">
        <v>15</v>
      </c>
      <c r="K29" s="994">
        <v>5.45</v>
      </c>
      <c r="L29" s="1025">
        <f t="shared" si="2"/>
        <v>4.9050000000000002</v>
      </c>
      <c r="M29" s="995">
        <v>10</v>
      </c>
      <c r="N29" s="1000"/>
      <c r="O29" s="1000"/>
      <c r="P29" s="1001"/>
      <c r="Q29" s="1026">
        <f t="shared" si="4"/>
        <v>8.1750000000000007</v>
      </c>
      <c r="R29" s="996">
        <v>14</v>
      </c>
      <c r="S29" s="1001">
        <f t="shared" ref="S29:S37" si="5">R29*Q29*1000</f>
        <v>114450.00000000001</v>
      </c>
      <c r="T29" s="994">
        <f t="shared" si="1"/>
        <v>114450.00000000001</v>
      </c>
    </row>
    <row r="30" spans="1:20" x14ac:dyDescent="0.25">
      <c r="A30" s="1019"/>
      <c r="B30" s="993"/>
      <c r="C30" s="994" t="s">
        <v>713</v>
      </c>
      <c r="D30" s="995"/>
      <c r="E30" s="996"/>
      <c r="F30" s="1024" t="s">
        <v>879</v>
      </c>
      <c r="G30" s="996" t="s">
        <v>878</v>
      </c>
      <c r="H30" s="994">
        <f t="shared" si="3"/>
        <v>30</v>
      </c>
      <c r="I30" s="1022">
        <v>0</v>
      </c>
      <c r="J30" s="994">
        <v>30</v>
      </c>
      <c r="K30" s="994">
        <v>4.8899999999999997</v>
      </c>
      <c r="L30" s="1025">
        <f t="shared" si="2"/>
        <v>4.4009999999999998</v>
      </c>
      <c r="M30" s="995">
        <v>10</v>
      </c>
      <c r="N30" s="1000"/>
      <c r="O30" s="1000"/>
      <c r="P30" s="1001"/>
      <c r="Q30" s="1026">
        <f t="shared" si="4"/>
        <v>14.67</v>
      </c>
      <c r="R30" s="996">
        <v>14</v>
      </c>
      <c r="S30" s="1001">
        <f t="shared" si="5"/>
        <v>205380</v>
      </c>
      <c r="T30" s="994">
        <f t="shared" si="1"/>
        <v>205380</v>
      </c>
    </row>
    <row r="31" spans="1:20" x14ac:dyDescent="0.25">
      <c r="A31" s="1019"/>
      <c r="B31" s="992"/>
      <c r="C31" s="994" t="s">
        <v>713</v>
      </c>
      <c r="D31" s="995"/>
      <c r="E31" s="996"/>
      <c r="F31" s="1024" t="s">
        <v>880</v>
      </c>
      <c r="G31" s="996" t="s">
        <v>878</v>
      </c>
      <c r="H31" s="994">
        <f t="shared" si="3"/>
        <v>25</v>
      </c>
      <c r="I31" s="1022">
        <v>0</v>
      </c>
      <c r="J31" s="994">
        <v>25</v>
      </c>
      <c r="K31" s="994">
        <v>5.45</v>
      </c>
      <c r="L31" s="1025">
        <f t="shared" si="2"/>
        <v>4.9050000000000002</v>
      </c>
      <c r="M31" s="995">
        <v>10</v>
      </c>
      <c r="N31" s="1000"/>
      <c r="O31" s="1000"/>
      <c r="P31" s="1001"/>
      <c r="Q31" s="1026">
        <f t="shared" si="4"/>
        <v>13.625</v>
      </c>
      <c r="R31" s="996">
        <v>14</v>
      </c>
      <c r="S31" s="1001">
        <f t="shared" si="5"/>
        <v>190750</v>
      </c>
      <c r="T31" s="994">
        <f t="shared" si="1"/>
        <v>190750</v>
      </c>
    </row>
    <row r="32" spans="1:20" x14ac:dyDescent="0.25">
      <c r="A32" s="1019"/>
      <c r="B32" s="993"/>
      <c r="C32" s="994" t="s">
        <v>713</v>
      </c>
      <c r="D32" s="995"/>
      <c r="E32" s="996"/>
      <c r="F32" s="1024" t="s">
        <v>881</v>
      </c>
      <c r="G32" s="996" t="s">
        <v>878</v>
      </c>
      <c r="H32" s="994">
        <f t="shared" si="3"/>
        <v>35</v>
      </c>
      <c r="I32" s="1022">
        <v>0</v>
      </c>
      <c r="J32" s="994">
        <v>35</v>
      </c>
      <c r="K32" s="994">
        <v>4</v>
      </c>
      <c r="L32" s="1025">
        <f t="shared" si="2"/>
        <v>3.6</v>
      </c>
      <c r="M32" s="995">
        <v>10</v>
      </c>
      <c r="N32" s="1023"/>
      <c r="O32" s="1000"/>
      <c r="P32" s="1001"/>
      <c r="Q32" s="1026">
        <f t="shared" si="4"/>
        <v>14</v>
      </c>
      <c r="R32" s="996">
        <v>14</v>
      </c>
      <c r="S32" s="1001">
        <f t="shared" si="5"/>
        <v>196000</v>
      </c>
      <c r="T32" s="994">
        <f t="shared" si="1"/>
        <v>196000</v>
      </c>
    </row>
    <row r="33" spans="1:20" x14ac:dyDescent="0.25">
      <c r="A33" s="1019"/>
      <c r="B33" s="992"/>
      <c r="C33" s="994" t="s">
        <v>716</v>
      </c>
      <c r="D33" s="995"/>
      <c r="E33" s="996"/>
      <c r="F33" s="1024" t="s">
        <v>877</v>
      </c>
      <c r="G33" s="996" t="s">
        <v>878</v>
      </c>
      <c r="H33" s="994">
        <f t="shared" si="3"/>
        <v>4</v>
      </c>
      <c r="I33" s="1022">
        <v>0</v>
      </c>
      <c r="J33" s="994">
        <v>4</v>
      </c>
      <c r="K33" s="994">
        <v>4.8899999999999997</v>
      </c>
      <c r="L33" s="1025">
        <f t="shared" si="2"/>
        <v>4.4009999999999998</v>
      </c>
      <c r="M33" s="995">
        <v>10</v>
      </c>
      <c r="N33" s="1023"/>
      <c r="O33" s="1000"/>
      <c r="P33" s="1001"/>
      <c r="Q33" s="1026">
        <f t="shared" si="4"/>
        <v>1.956</v>
      </c>
      <c r="R33" s="996">
        <v>14</v>
      </c>
      <c r="S33" s="1001">
        <f t="shared" si="5"/>
        <v>27384</v>
      </c>
      <c r="T33" s="994">
        <f t="shared" si="1"/>
        <v>27384</v>
      </c>
    </row>
    <row r="34" spans="1:20" x14ac:dyDescent="0.25">
      <c r="A34" s="1019"/>
      <c r="B34" s="993"/>
      <c r="C34" s="994" t="s">
        <v>716</v>
      </c>
      <c r="D34" s="995"/>
      <c r="E34" s="996"/>
      <c r="F34" s="1024" t="s">
        <v>879</v>
      </c>
      <c r="G34" s="996" t="s">
        <v>878</v>
      </c>
      <c r="H34" s="994">
        <f t="shared" si="3"/>
        <v>25</v>
      </c>
      <c r="I34" s="1022">
        <v>0</v>
      </c>
      <c r="J34" s="994">
        <v>25</v>
      </c>
      <c r="K34" s="994">
        <v>3.74</v>
      </c>
      <c r="L34" s="1025">
        <f t="shared" si="2"/>
        <v>3.3660000000000001</v>
      </c>
      <c r="M34" s="995">
        <v>10</v>
      </c>
      <c r="N34" s="1023"/>
      <c r="O34" s="1000"/>
      <c r="P34" s="1001"/>
      <c r="Q34" s="1026">
        <f t="shared" si="4"/>
        <v>9.35</v>
      </c>
      <c r="R34" s="996">
        <v>14</v>
      </c>
      <c r="S34" s="1001">
        <f t="shared" si="5"/>
        <v>130900</v>
      </c>
      <c r="T34" s="994">
        <f t="shared" si="1"/>
        <v>130900</v>
      </c>
    </row>
    <row r="35" spans="1:20" x14ac:dyDescent="0.25">
      <c r="A35" s="1019"/>
      <c r="B35" s="993"/>
      <c r="C35" s="994" t="s">
        <v>716</v>
      </c>
      <c r="D35" s="995"/>
      <c r="E35" s="996"/>
      <c r="F35" s="1024" t="s">
        <v>880</v>
      </c>
      <c r="G35" s="996" t="s">
        <v>878</v>
      </c>
      <c r="H35" s="994">
        <f t="shared" si="3"/>
        <v>25</v>
      </c>
      <c r="I35" s="1022">
        <v>0</v>
      </c>
      <c r="J35" s="994">
        <v>25</v>
      </c>
      <c r="K35" s="994">
        <v>4.8899999999999997</v>
      </c>
      <c r="L35" s="1025">
        <f t="shared" si="2"/>
        <v>4.4009999999999998</v>
      </c>
      <c r="M35" s="995">
        <v>10</v>
      </c>
      <c r="N35" s="1023"/>
      <c r="O35" s="1000"/>
      <c r="P35" s="1001"/>
      <c r="Q35" s="1026">
        <f>(J35*K35*(M35/100))</f>
        <v>12.225</v>
      </c>
      <c r="R35" s="996">
        <v>14</v>
      </c>
      <c r="S35" s="1001">
        <f t="shared" si="5"/>
        <v>171150</v>
      </c>
      <c r="T35" s="994">
        <f t="shared" si="1"/>
        <v>171150</v>
      </c>
    </row>
    <row r="36" spans="1:20" x14ac:dyDescent="0.25">
      <c r="A36" s="1019"/>
      <c r="B36" s="993"/>
      <c r="C36" s="994" t="s">
        <v>716</v>
      </c>
      <c r="D36" s="995"/>
      <c r="E36" s="996"/>
      <c r="F36" s="1024" t="s">
        <v>881</v>
      </c>
      <c r="G36" s="996" t="s">
        <v>878</v>
      </c>
      <c r="H36" s="994">
        <f t="shared" si="3"/>
        <v>30</v>
      </c>
      <c r="I36" s="1022">
        <v>0</v>
      </c>
      <c r="J36" s="994">
        <v>30</v>
      </c>
      <c r="K36" s="994">
        <v>3.74</v>
      </c>
      <c r="L36" s="1025">
        <f t="shared" si="2"/>
        <v>3.3660000000000001</v>
      </c>
      <c r="M36" s="995">
        <v>10</v>
      </c>
      <c r="N36" s="1023"/>
      <c r="O36" s="1000"/>
      <c r="P36" s="1001"/>
      <c r="Q36" s="1026">
        <f>(J36*K36*(M36/100))</f>
        <v>11.22</v>
      </c>
      <c r="R36" s="996">
        <v>14</v>
      </c>
      <c r="S36" s="1001">
        <f t="shared" si="5"/>
        <v>157080</v>
      </c>
      <c r="T36" s="994">
        <f t="shared" si="1"/>
        <v>157080</v>
      </c>
    </row>
    <row r="37" spans="1:20" x14ac:dyDescent="0.25">
      <c r="A37" s="1019"/>
      <c r="B37" s="1020" t="s">
        <v>882</v>
      </c>
      <c r="C37" s="994" t="s">
        <v>713</v>
      </c>
      <c r="D37" s="995"/>
      <c r="E37" s="996"/>
      <c r="F37" s="1024" t="s">
        <v>883</v>
      </c>
      <c r="G37" s="996"/>
      <c r="H37" s="1021">
        <f>I37+J37</f>
        <v>92</v>
      </c>
      <c r="I37" s="1022"/>
      <c r="J37" s="1021">
        <v>92</v>
      </c>
      <c r="K37" s="994">
        <v>5.45</v>
      </c>
      <c r="L37" s="1025">
        <f>K37-(K37/100*M37)</f>
        <v>5.2865000000000002</v>
      </c>
      <c r="M37" s="995">
        <v>3</v>
      </c>
      <c r="N37" s="1023"/>
      <c r="O37" s="1000"/>
      <c r="P37" s="1001"/>
      <c r="Q37" s="1026">
        <f>(J37*K37*(M37/100))</f>
        <v>15.042</v>
      </c>
      <c r="R37" s="996">
        <v>14</v>
      </c>
      <c r="S37" s="1027">
        <f t="shared" si="5"/>
        <v>210588</v>
      </c>
      <c r="T37" s="1021">
        <f t="shared" si="1"/>
        <v>210588</v>
      </c>
    </row>
    <row r="38" spans="1:20" x14ac:dyDescent="0.25">
      <c r="A38" s="1008"/>
      <c r="B38" s="1009" t="s">
        <v>489</v>
      </c>
      <c r="C38" s="1010"/>
      <c r="D38" s="1011"/>
      <c r="E38" s="1012"/>
      <c r="F38" s="1013"/>
      <c r="G38" s="1012"/>
      <c r="H38" s="1014">
        <f>H39</f>
        <v>81</v>
      </c>
      <c r="I38" s="1015"/>
      <c r="J38" s="1014">
        <f>J39</f>
        <v>81</v>
      </c>
      <c r="K38" s="1010"/>
      <c r="L38" s="1012"/>
      <c r="M38" s="1011"/>
      <c r="N38" s="1016"/>
      <c r="O38" s="1017"/>
      <c r="P38" s="1018"/>
      <c r="Q38" s="1014">
        <f>Q39</f>
        <v>20.685000000000002</v>
      </c>
      <c r="R38" s="1012"/>
      <c r="S38" s="1014">
        <f>S39</f>
        <v>289590.00000000006</v>
      </c>
      <c r="T38" s="1014">
        <f>T39</f>
        <v>289590.00000000006</v>
      </c>
    </row>
    <row r="39" spans="1:20" x14ac:dyDescent="0.25">
      <c r="A39" s="1019"/>
      <c r="B39" s="1020" t="s">
        <v>628</v>
      </c>
      <c r="C39" s="963"/>
      <c r="D39" s="995"/>
      <c r="E39" s="996"/>
      <c r="F39" s="1024"/>
      <c r="G39" s="996"/>
      <c r="H39" s="1021">
        <f>SUM(H40:H47)</f>
        <v>81</v>
      </c>
      <c r="I39" s="1022"/>
      <c r="J39" s="1021">
        <f>SUM(J40:J47)</f>
        <v>81</v>
      </c>
      <c r="K39" s="994"/>
      <c r="L39" s="1025"/>
      <c r="M39" s="995"/>
      <c r="N39" s="1000"/>
      <c r="O39" s="1000"/>
      <c r="P39" s="1001"/>
      <c r="Q39" s="1021">
        <f>Q42+Q43+Q41+Q44+Q48</f>
        <v>20.685000000000002</v>
      </c>
      <c r="R39" s="996">
        <v>14</v>
      </c>
      <c r="S39" s="1001">
        <f t="shared" ref="S39:S45" si="6">R39*Q39*1000</f>
        <v>289590.00000000006</v>
      </c>
      <c r="T39" s="1021">
        <f t="shared" si="1"/>
        <v>289590.00000000006</v>
      </c>
    </row>
    <row r="40" spans="1:20" x14ac:dyDescent="0.25">
      <c r="A40" s="1019"/>
      <c r="B40" s="1020"/>
      <c r="C40" s="994" t="s">
        <v>713</v>
      </c>
      <c r="D40" s="995"/>
      <c r="E40" s="996"/>
      <c r="F40" s="1024" t="s">
        <v>875</v>
      </c>
      <c r="G40" s="996" t="s">
        <v>878</v>
      </c>
      <c r="H40" s="994">
        <f t="shared" si="3"/>
        <v>7</v>
      </c>
      <c r="I40" s="1022">
        <v>0</v>
      </c>
      <c r="J40" s="994">
        <v>7</v>
      </c>
      <c r="K40" s="994">
        <v>5.45</v>
      </c>
      <c r="L40" s="1025">
        <f t="shared" si="2"/>
        <v>4.9050000000000002</v>
      </c>
      <c r="M40" s="995">
        <v>10</v>
      </c>
      <c r="N40" s="1000"/>
      <c r="O40" s="1000"/>
      <c r="P40" s="1001"/>
      <c r="Q40" s="1026">
        <f t="shared" ref="Q40:Q45" si="7">(J40*K40*(M40/100))</f>
        <v>3.8149999999999999</v>
      </c>
      <c r="R40" s="996">
        <v>14</v>
      </c>
      <c r="S40" s="1001">
        <f t="shared" si="6"/>
        <v>53410</v>
      </c>
      <c r="T40" s="994">
        <f t="shared" si="1"/>
        <v>53410</v>
      </c>
    </row>
    <row r="41" spans="1:20" x14ac:dyDescent="0.25">
      <c r="A41" s="992"/>
      <c r="B41" s="993"/>
      <c r="C41" s="994" t="s">
        <v>713</v>
      </c>
      <c r="D41" s="995"/>
      <c r="E41" s="996"/>
      <c r="F41" s="1024" t="s">
        <v>876</v>
      </c>
      <c r="G41" s="996" t="s">
        <v>878</v>
      </c>
      <c r="H41" s="994">
        <f>I41+J41</f>
        <v>20</v>
      </c>
      <c r="I41" s="1022">
        <v>0</v>
      </c>
      <c r="J41" s="994">
        <v>20</v>
      </c>
      <c r="K41" s="994">
        <v>4</v>
      </c>
      <c r="L41" s="1025">
        <f>K41-(K41/100*M41)</f>
        <v>3.6</v>
      </c>
      <c r="M41" s="995">
        <v>10</v>
      </c>
      <c r="N41" s="1023"/>
      <c r="O41" s="1000"/>
      <c r="P41" s="1001"/>
      <c r="Q41" s="1026">
        <f>(J41*K41*(M41/100))</f>
        <v>8</v>
      </c>
      <c r="R41" s="996">
        <v>14</v>
      </c>
      <c r="S41" s="1001">
        <f>R41*Q41*1000</f>
        <v>112000</v>
      </c>
      <c r="T41" s="994">
        <f t="shared" si="1"/>
        <v>112000</v>
      </c>
    </row>
    <row r="42" spans="1:20" x14ac:dyDescent="0.25">
      <c r="A42" s="992"/>
      <c r="B42" s="993"/>
      <c r="C42" s="994" t="s">
        <v>713</v>
      </c>
      <c r="D42" s="995"/>
      <c r="E42" s="996"/>
      <c r="F42" s="1024" t="s">
        <v>884</v>
      </c>
      <c r="G42" s="996" t="s">
        <v>878</v>
      </c>
      <c r="H42" s="994">
        <f t="shared" si="3"/>
        <v>9</v>
      </c>
      <c r="I42" s="1022">
        <v>0</v>
      </c>
      <c r="J42" s="994">
        <v>9</v>
      </c>
      <c r="K42" s="994">
        <v>5.45</v>
      </c>
      <c r="L42" s="1025">
        <f t="shared" si="2"/>
        <v>4.9050000000000002</v>
      </c>
      <c r="M42" s="995">
        <v>10</v>
      </c>
      <c r="N42" s="1000"/>
      <c r="O42" s="1000"/>
      <c r="P42" s="1001"/>
      <c r="Q42" s="1026">
        <f t="shared" si="7"/>
        <v>4.9050000000000011</v>
      </c>
      <c r="R42" s="996">
        <v>14</v>
      </c>
      <c r="S42" s="1001">
        <f t="shared" si="6"/>
        <v>68670.000000000015</v>
      </c>
      <c r="T42" s="994">
        <f t="shared" si="1"/>
        <v>68670.000000000015</v>
      </c>
    </row>
    <row r="43" spans="1:20" x14ac:dyDescent="0.25">
      <c r="A43" s="1019"/>
      <c r="B43" s="993"/>
      <c r="C43" s="994" t="s">
        <v>713</v>
      </c>
      <c r="D43" s="995"/>
      <c r="E43" s="996"/>
      <c r="F43" s="1024" t="s">
        <v>885</v>
      </c>
      <c r="G43" s="996" t="s">
        <v>878</v>
      </c>
      <c r="H43" s="994">
        <f t="shared" si="3"/>
        <v>4</v>
      </c>
      <c r="I43" s="1022">
        <v>0</v>
      </c>
      <c r="J43" s="994">
        <v>4</v>
      </c>
      <c r="K43" s="994">
        <v>5.45</v>
      </c>
      <c r="L43" s="1025">
        <f t="shared" si="2"/>
        <v>4.9050000000000002</v>
      </c>
      <c r="M43" s="995">
        <v>10</v>
      </c>
      <c r="N43" s="1023"/>
      <c r="O43" s="1000"/>
      <c r="P43" s="1001"/>
      <c r="Q43" s="1026">
        <f t="shared" si="7"/>
        <v>2.1800000000000002</v>
      </c>
      <c r="R43" s="996">
        <v>14</v>
      </c>
      <c r="S43" s="1001">
        <f t="shared" si="6"/>
        <v>30520.000000000004</v>
      </c>
      <c r="T43" s="994">
        <f t="shared" si="1"/>
        <v>30520.000000000004</v>
      </c>
    </row>
    <row r="44" spans="1:20" x14ac:dyDescent="0.25">
      <c r="A44" s="992"/>
      <c r="B44" s="993"/>
      <c r="C44" s="994" t="s">
        <v>713</v>
      </c>
      <c r="D44" s="995"/>
      <c r="E44" s="996"/>
      <c r="F44" s="1024" t="s">
        <v>886</v>
      </c>
      <c r="G44" s="996" t="s">
        <v>878</v>
      </c>
      <c r="H44" s="994">
        <f t="shared" si="3"/>
        <v>14</v>
      </c>
      <c r="I44" s="1022">
        <v>0</v>
      </c>
      <c r="J44" s="994">
        <v>14</v>
      </c>
      <c r="K44" s="994">
        <v>4</v>
      </c>
      <c r="L44" s="1025">
        <f t="shared" si="2"/>
        <v>3.6</v>
      </c>
      <c r="M44" s="995">
        <v>10</v>
      </c>
      <c r="N44" s="1000"/>
      <c r="O44" s="1000"/>
      <c r="P44" s="1001"/>
      <c r="Q44" s="1026">
        <f t="shared" si="7"/>
        <v>5.6000000000000005</v>
      </c>
      <c r="R44" s="996">
        <v>14</v>
      </c>
      <c r="S44" s="1001">
        <f t="shared" si="6"/>
        <v>78400</v>
      </c>
      <c r="T44" s="994">
        <f t="shared" si="1"/>
        <v>78400</v>
      </c>
    </row>
    <row r="45" spans="1:20" x14ac:dyDescent="0.25">
      <c r="A45" s="992"/>
      <c r="B45" s="993"/>
      <c r="C45" s="994" t="s">
        <v>716</v>
      </c>
      <c r="D45" s="995"/>
      <c r="E45" s="996"/>
      <c r="F45" s="1024" t="s">
        <v>887</v>
      </c>
      <c r="G45" s="996" t="s">
        <v>878</v>
      </c>
      <c r="H45" s="994">
        <f t="shared" si="3"/>
        <v>12</v>
      </c>
      <c r="I45" s="1022">
        <v>0</v>
      </c>
      <c r="J45" s="994">
        <v>12</v>
      </c>
      <c r="K45" s="994">
        <v>3.74</v>
      </c>
      <c r="L45" s="1025">
        <f t="shared" si="2"/>
        <v>3.3660000000000001</v>
      </c>
      <c r="M45" s="995">
        <v>10</v>
      </c>
      <c r="N45" s="1000"/>
      <c r="O45" s="1000"/>
      <c r="P45" s="1001"/>
      <c r="Q45" s="1026">
        <f t="shared" si="7"/>
        <v>4.4880000000000004</v>
      </c>
      <c r="R45" s="996">
        <v>14</v>
      </c>
      <c r="S45" s="1001">
        <f t="shared" si="6"/>
        <v>62832.000000000007</v>
      </c>
      <c r="T45" s="994">
        <f t="shared" si="1"/>
        <v>62832.000000000007</v>
      </c>
    </row>
    <row r="46" spans="1:20" x14ac:dyDescent="0.25">
      <c r="A46" s="992"/>
      <c r="B46" s="993"/>
      <c r="C46" s="994" t="s">
        <v>716</v>
      </c>
      <c r="D46" s="995"/>
      <c r="E46" s="996"/>
      <c r="F46" s="1024" t="s">
        <v>885</v>
      </c>
      <c r="G46" s="996" t="s">
        <v>878</v>
      </c>
      <c r="H46" s="994">
        <f>I46+J46</f>
        <v>8</v>
      </c>
      <c r="I46" s="1022">
        <v>0</v>
      </c>
      <c r="J46" s="994">
        <v>8</v>
      </c>
      <c r="K46" s="994">
        <v>4.8899999999999997</v>
      </c>
      <c r="L46" s="1025">
        <f>K46-(K46/100*M46)</f>
        <v>4.4009999999999998</v>
      </c>
      <c r="M46" s="995">
        <v>10</v>
      </c>
      <c r="N46" s="1000"/>
      <c r="O46" s="1000"/>
      <c r="P46" s="1001"/>
      <c r="Q46" s="1026">
        <f>(J46*K46*(M46/100))</f>
        <v>3.9119999999999999</v>
      </c>
      <c r="R46" s="996">
        <v>14</v>
      </c>
      <c r="S46" s="1001">
        <f>R46*Q46*1000</f>
        <v>54768</v>
      </c>
      <c r="T46" s="994">
        <f t="shared" si="1"/>
        <v>54768</v>
      </c>
    </row>
    <row r="47" spans="1:20" x14ac:dyDescent="0.25">
      <c r="A47" s="992"/>
      <c r="B47" s="993"/>
      <c r="C47" s="994" t="s">
        <v>716</v>
      </c>
      <c r="D47" s="995"/>
      <c r="E47" s="996"/>
      <c r="F47" s="1024" t="s">
        <v>886</v>
      </c>
      <c r="G47" s="996" t="s">
        <v>878</v>
      </c>
      <c r="H47" s="994">
        <f>I47+J47</f>
        <v>7</v>
      </c>
      <c r="I47" s="1022">
        <v>0</v>
      </c>
      <c r="J47" s="994">
        <v>7</v>
      </c>
      <c r="K47" s="994">
        <v>3.74</v>
      </c>
      <c r="L47" s="1025">
        <f>K47-(K47/100*M47)</f>
        <v>3.3660000000000001</v>
      </c>
      <c r="M47" s="995">
        <v>10</v>
      </c>
      <c r="N47" s="1000"/>
      <c r="O47" s="1000"/>
      <c r="P47" s="1001"/>
      <c r="Q47" s="1026">
        <f>(J47*K47*(M47/100))</f>
        <v>2.6180000000000003</v>
      </c>
      <c r="R47" s="996">
        <v>14</v>
      </c>
      <c r="S47" s="1001">
        <f>R47*Q47*1000</f>
        <v>36652</v>
      </c>
      <c r="T47" s="994">
        <f t="shared" si="1"/>
        <v>36652</v>
      </c>
    </row>
    <row r="48" spans="1:20" x14ac:dyDescent="0.25">
      <c r="A48" s="992"/>
      <c r="B48" s="993"/>
      <c r="C48" s="994"/>
      <c r="D48" s="995"/>
      <c r="E48" s="996"/>
      <c r="F48" s="1024"/>
      <c r="G48" s="996"/>
      <c r="H48" s="994"/>
      <c r="I48" s="1022"/>
      <c r="J48" s="994"/>
      <c r="K48" s="994"/>
      <c r="L48" s="1025"/>
      <c r="M48" s="995"/>
      <c r="N48" s="1000"/>
      <c r="O48" s="1000"/>
      <c r="P48" s="1001"/>
      <c r="Q48" s="1026"/>
      <c r="R48" s="996"/>
      <c r="S48" s="1001"/>
      <c r="T48" s="994">
        <f t="shared" si="1"/>
        <v>0</v>
      </c>
    </row>
    <row r="49" spans="1:20" x14ac:dyDescent="0.25">
      <c r="A49" s="1008"/>
      <c r="B49" s="1009" t="s">
        <v>493</v>
      </c>
      <c r="C49" s="1010"/>
      <c r="D49" s="1011"/>
      <c r="E49" s="1012"/>
      <c r="F49" s="1013"/>
      <c r="G49" s="1012"/>
      <c r="H49" s="1014">
        <f>H50+H59+H62+H66</f>
        <v>1694</v>
      </c>
      <c r="I49" s="1015"/>
      <c r="J49" s="1014">
        <f>J50+J59+J62+J66</f>
        <v>1694</v>
      </c>
      <c r="K49" s="1010"/>
      <c r="L49" s="1012"/>
      <c r="M49" s="1011"/>
      <c r="N49" s="1016"/>
      <c r="O49" s="1017"/>
      <c r="P49" s="1018"/>
      <c r="Q49" s="1014">
        <f>Q50+Q59+Q62+Q66</f>
        <v>747.76400000000001</v>
      </c>
      <c r="R49" s="1012"/>
      <c r="S49" s="1014">
        <f>S50+S59+S62+S66</f>
        <v>10468696</v>
      </c>
      <c r="T49" s="1014">
        <f t="shared" si="1"/>
        <v>10468696</v>
      </c>
    </row>
    <row r="50" spans="1:20" x14ac:dyDescent="0.25">
      <c r="A50" s="992"/>
      <c r="B50" s="1020" t="s">
        <v>502</v>
      </c>
      <c r="C50" s="994"/>
      <c r="D50" s="995"/>
      <c r="E50" s="996"/>
      <c r="F50" s="1024"/>
      <c r="G50" s="996"/>
      <c r="H50" s="1021">
        <f>H51+H53+H52+H54+H55+H57+H56+H58</f>
        <v>562</v>
      </c>
      <c r="I50" s="1022"/>
      <c r="J50" s="1021">
        <f>J51+J53+J52+J54+J55+J57+J56+J58</f>
        <v>562</v>
      </c>
      <c r="K50" s="994"/>
      <c r="L50" s="1025"/>
      <c r="M50" s="995"/>
      <c r="N50" s="1000"/>
      <c r="O50" s="1000"/>
      <c r="P50" s="1001"/>
      <c r="Q50" s="1021">
        <f>Q51+Q53+Q52+Q54+Q55+Q57+Q56+Q58</f>
        <v>276.45100000000008</v>
      </c>
      <c r="R50" s="996">
        <v>14</v>
      </c>
      <c r="S50" s="1021">
        <f>S51+S53+S52+S54+S55+S57+S56+S58</f>
        <v>3870314.0000000005</v>
      </c>
      <c r="T50" s="1021">
        <f t="shared" si="1"/>
        <v>3870314.0000000005</v>
      </c>
    </row>
    <row r="51" spans="1:20" x14ac:dyDescent="0.25">
      <c r="A51" s="992"/>
      <c r="B51" s="993"/>
      <c r="C51" s="994" t="s">
        <v>713</v>
      </c>
      <c r="D51" s="995"/>
      <c r="E51" s="996"/>
      <c r="F51" s="1024" t="s">
        <v>875</v>
      </c>
      <c r="G51" s="996"/>
      <c r="H51" s="994">
        <f t="shared" ref="H51:H58" si="8">I51+J51</f>
        <v>247</v>
      </c>
      <c r="I51" s="1022">
        <v>0</v>
      </c>
      <c r="J51" s="994">
        <v>247</v>
      </c>
      <c r="K51" s="994">
        <v>5.45</v>
      </c>
      <c r="L51" s="1025">
        <f t="shared" ref="L51:L58" si="9">K51-(K51/100*M51)</f>
        <v>4.9050000000000002</v>
      </c>
      <c r="M51" s="995">
        <v>10</v>
      </c>
      <c r="N51" s="1000"/>
      <c r="O51" s="1000"/>
      <c r="P51" s="1001"/>
      <c r="Q51" s="1026">
        <f t="shared" ref="Q51:Q58" si="10">(J51*K51*(M51/100))</f>
        <v>134.61500000000001</v>
      </c>
      <c r="R51" s="996">
        <v>14</v>
      </c>
      <c r="S51" s="1001">
        <f t="shared" ref="S51:S58" si="11">R51*Q51*1000</f>
        <v>1884610.0000000002</v>
      </c>
      <c r="T51" s="994">
        <f t="shared" si="1"/>
        <v>1884610.0000000002</v>
      </c>
    </row>
    <row r="52" spans="1:20" x14ac:dyDescent="0.25">
      <c r="A52" s="992"/>
      <c r="B52" s="993"/>
      <c r="C52" s="994" t="s">
        <v>713</v>
      </c>
      <c r="D52" s="995"/>
      <c r="E52" s="996"/>
      <c r="F52" s="1024" t="s">
        <v>876</v>
      </c>
      <c r="G52" s="996"/>
      <c r="H52" s="994">
        <f t="shared" si="8"/>
        <v>106</v>
      </c>
      <c r="I52" s="1022">
        <v>0</v>
      </c>
      <c r="J52" s="994">
        <v>106</v>
      </c>
      <c r="K52" s="994">
        <v>4</v>
      </c>
      <c r="L52" s="1025">
        <f t="shared" si="9"/>
        <v>3.6</v>
      </c>
      <c r="M52" s="995">
        <v>10</v>
      </c>
      <c r="N52" s="1000"/>
      <c r="O52" s="1000"/>
      <c r="P52" s="1001"/>
      <c r="Q52" s="1026">
        <f t="shared" si="10"/>
        <v>42.400000000000006</v>
      </c>
      <c r="R52" s="996">
        <v>14</v>
      </c>
      <c r="S52" s="1001">
        <f t="shared" si="11"/>
        <v>593600.00000000012</v>
      </c>
      <c r="T52" s="994">
        <f t="shared" si="1"/>
        <v>593600.00000000012</v>
      </c>
    </row>
    <row r="53" spans="1:20" x14ac:dyDescent="0.25">
      <c r="A53" s="992"/>
      <c r="B53" s="993"/>
      <c r="C53" s="994" t="s">
        <v>713</v>
      </c>
      <c r="D53" s="995"/>
      <c r="E53" s="996"/>
      <c r="F53" s="1024" t="s">
        <v>880</v>
      </c>
      <c r="G53" s="996"/>
      <c r="H53" s="994">
        <f t="shared" si="8"/>
        <v>67</v>
      </c>
      <c r="I53" s="1022">
        <v>0</v>
      </c>
      <c r="J53" s="994">
        <v>67</v>
      </c>
      <c r="K53" s="994">
        <v>5.45</v>
      </c>
      <c r="L53" s="1025">
        <f t="shared" si="9"/>
        <v>4.9050000000000002</v>
      </c>
      <c r="M53" s="995">
        <v>10</v>
      </c>
      <c r="N53" s="1000"/>
      <c r="O53" s="1000"/>
      <c r="P53" s="1001"/>
      <c r="Q53" s="1026">
        <f t="shared" si="10"/>
        <v>36.515000000000008</v>
      </c>
      <c r="R53" s="996">
        <v>14</v>
      </c>
      <c r="S53" s="1001">
        <f t="shared" si="11"/>
        <v>511210.00000000012</v>
      </c>
      <c r="T53" s="994">
        <f t="shared" si="1"/>
        <v>511210.00000000012</v>
      </c>
    </row>
    <row r="54" spans="1:20" x14ac:dyDescent="0.25">
      <c r="A54" s="992"/>
      <c r="B54" s="993"/>
      <c r="C54" s="994" t="s">
        <v>713</v>
      </c>
      <c r="D54" s="995"/>
      <c r="E54" s="996"/>
      <c r="F54" s="1024" t="s">
        <v>881</v>
      </c>
      <c r="G54" s="996"/>
      <c r="H54" s="994">
        <f t="shared" si="8"/>
        <v>28</v>
      </c>
      <c r="I54" s="1022">
        <v>0</v>
      </c>
      <c r="J54" s="994">
        <v>28</v>
      </c>
      <c r="K54" s="994">
        <v>4</v>
      </c>
      <c r="L54" s="1025">
        <f t="shared" si="9"/>
        <v>3.6</v>
      </c>
      <c r="M54" s="995">
        <v>10</v>
      </c>
      <c r="N54" s="1000"/>
      <c r="O54" s="1000"/>
      <c r="P54" s="1001"/>
      <c r="Q54" s="1026">
        <f t="shared" si="10"/>
        <v>11.200000000000001</v>
      </c>
      <c r="R54" s="996">
        <v>14</v>
      </c>
      <c r="S54" s="1001">
        <f t="shared" si="11"/>
        <v>156800</v>
      </c>
      <c r="T54" s="994">
        <f t="shared" si="1"/>
        <v>156800</v>
      </c>
    </row>
    <row r="55" spans="1:20" x14ac:dyDescent="0.25">
      <c r="A55" s="992"/>
      <c r="B55" s="993"/>
      <c r="C55" s="994" t="s">
        <v>716</v>
      </c>
      <c r="D55" s="995"/>
      <c r="E55" s="996"/>
      <c r="F55" s="1024" t="s">
        <v>875</v>
      </c>
      <c r="G55" s="996"/>
      <c r="H55" s="994">
        <f t="shared" si="8"/>
        <v>62</v>
      </c>
      <c r="I55" s="1022">
        <v>0</v>
      </c>
      <c r="J55" s="994">
        <v>62</v>
      </c>
      <c r="K55" s="994">
        <v>4.8899999999999997</v>
      </c>
      <c r="L55" s="1025">
        <f t="shared" si="9"/>
        <v>4.4009999999999998</v>
      </c>
      <c r="M55" s="995">
        <v>10</v>
      </c>
      <c r="N55" s="1000"/>
      <c r="O55" s="1000"/>
      <c r="P55" s="1001"/>
      <c r="Q55" s="1026">
        <f t="shared" si="10"/>
        <v>30.318000000000001</v>
      </c>
      <c r="R55" s="996">
        <v>14</v>
      </c>
      <c r="S55" s="1001">
        <f t="shared" si="11"/>
        <v>424452</v>
      </c>
      <c r="T55" s="994">
        <f t="shared" si="1"/>
        <v>424452</v>
      </c>
    </row>
    <row r="56" spans="1:20" x14ac:dyDescent="0.25">
      <c r="A56" s="992"/>
      <c r="B56" s="993"/>
      <c r="C56" s="994" t="s">
        <v>716</v>
      </c>
      <c r="D56" s="995"/>
      <c r="E56" s="996"/>
      <c r="F56" s="1024" t="s">
        <v>876</v>
      </c>
      <c r="G56" s="996"/>
      <c r="H56" s="994">
        <f t="shared" si="8"/>
        <v>27</v>
      </c>
      <c r="I56" s="1022">
        <v>0</v>
      </c>
      <c r="J56" s="994">
        <v>27</v>
      </c>
      <c r="K56" s="994">
        <v>3.74</v>
      </c>
      <c r="L56" s="1025">
        <f t="shared" si="9"/>
        <v>3.3660000000000001</v>
      </c>
      <c r="M56" s="995">
        <v>10</v>
      </c>
      <c r="N56" s="1000"/>
      <c r="O56" s="1000"/>
      <c r="P56" s="1001"/>
      <c r="Q56" s="1026">
        <f t="shared" si="10"/>
        <v>10.098000000000001</v>
      </c>
      <c r="R56" s="996">
        <v>14</v>
      </c>
      <c r="S56" s="1001">
        <f t="shared" si="11"/>
        <v>141372</v>
      </c>
      <c r="T56" s="994">
        <f t="shared" si="1"/>
        <v>141372</v>
      </c>
    </row>
    <row r="57" spans="1:20" x14ac:dyDescent="0.25">
      <c r="A57" s="992"/>
      <c r="B57" s="993"/>
      <c r="C57" s="994" t="s">
        <v>716</v>
      </c>
      <c r="D57" s="995"/>
      <c r="E57" s="996"/>
      <c r="F57" s="1024" t="s">
        <v>880</v>
      </c>
      <c r="G57" s="996"/>
      <c r="H57" s="994">
        <f t="shared" si="8"/>
        <v>17</v>
      </c>
      <c r="I57" s="1022">
        <v>0</v>
      </c>
      <c r="J57" s="994">
        <v>17</v>
      </c>
      <c r="K57" s="994">
        <v>4.8899999999999997</v>
      </c>
      <c r="L57" s="1025">
        <f t="shared" si="9"/>
        <v>4.4009999999999998</v>
      </c>
      <c r="M57" s="995">
        <v>10</v>
      </c>
      <c r="N57" s="1000"/>
      <c r="O57" s="1000"/>
      <c r="P57" s="1001"/>
      <c r="Q57" s="1026">
        <f t="shared" si="10"/>
        <v>8.3130000000000006</v>
      </c>
      <c r="R57" s="996">
        <v>14</v>
      </c>
      <c r="S57" s="1001">
        <f t="shared" si="11"/>
        <v>116382</v>
      </c>
      <c r="T57" s="994">
        <f t="shared" si="1"/>
        <v>116382</v>
      </c>
    </row>
    <row r="58" spans="1:20" x14ac:dyDescent="0.25">
      <c r="A58" s="992"/>
      <c r="B58" s="993"/>
      <c r="C58" s="994" t="s">
        <v>716</v>
      </c>
      <c r="D58" s="995"/>
      <c r="E58" s="996"/>
      <c r="F58" s="1024" t="s">
        <v>881</v>
      </c>
      <c r="G58" s="996"/>
      <c r="H58" s="994">
        <f t="shared" si="8"/>
        <v>8</v>
      </c>
      <c r="I58" s="1022">
        <v>0</v>
      </c>
      <c r="J58" s="994">
        <v>8</v>
      </c>
      <c r="K58" s="994">
        <v>3.74</v>
      </c>
      <c r="L58" s="1025">
        <f t="shared" si="9"/>
        <v>3.3660000000000001</v>
      </c>
      <c r="M58" s="995">
        <v>10</v>
      </c>
      <c r="N58" s="1000"/>
      <c r="O58" s="1000"/>
      <c r="P58" s="1001"/>
      <c r="Q58" s="1026">
        <f t="shared" si="10"/>
        <v>2.9920000000000004</v>
      </c>
      <c r="R58" s="996">
        <v>14</v>
      </c>
      <c r="S58" s="1001">
        <f t="shared" si="11"/>
        <v>41888.000000000007</v>
      </c>
      <c r="T58" s="994">
        <f t="shared" si="1"/>
        <v>41888.000000000007</v>
      </c>
    </row>
    <row r="59" spans="1:20" x14ac:dyDescent="0.25">
      <c r="A59" s="992"/>
      <c r="B59" s="1020" t="s">
        <v>494</v>
      </c>
      <c r="C59" s="994"/>
      <c r="D59" s="995"/>
      <c r="E59" s="996"/>
      <c r="F59" s="1024"/>
      <c r="G59" s="996"/>
      <c r="H59" s="1021">
        <f>SUM(H60:H61)</f>
        <v>120</v>
      </c>
      <c r="I59" s="1022"/>
      <c r="J59" s="1021">
        <f>SUM(J60:J61)</f>
        <v>120</v>
      </c>
      <c r="K59" s="994"/>
      <c r="L59" s="1025"/>
      <c r="M59" s="995"/>
      <c r="N59" s="1000"/>
      <c r="O59" s="1000"/>
      <c r="P59" s="1001"/>
      <c r="Q59" s="1021">
        <f>SUM(Q60:Q61)</f>
        <v>53.8</v>
      </c>
      <c r="R59" s="996">
        <v>14</v>
      </c>
      <c r="S59" s="1021">
        <f>SUM(S60:S61)</f>
        <v>753200</v>
      </c>
      <c r="T59" s="1021">
        <f t="shared" si="1"/>
        <v>753200</v>
      </c>
    </row>
    <row r="60" spans="1:20" x14ac:dyDescent="0.25">
      <c r="A60" s="992"/>
      <c r="B60" s="993"/>
      <c r="C60" s="994" t="s">
        <v>713</v>
      </c>
      <c r="D60" s="995"/>
      <c r="E60" s="996"/>
      <c r="F60" s="1024" t="s">
        <v>883</v>
      </c>
      <c r="G60" s="996"/>
      <c r="H60" s="994">
        <f>I60+J60</f>
        <v>40</v>
      </c>
      <c r="I60" s="1022">
        <v>0</v>
      </c>
      <c r="J60" s="994">
        <v>40</v>
      </c>
      <c r="K60" s="994">
        <v>5.45</v>
      </c>
      <c r="L60" s="1025">
        <f>K60-(K60/100*M60)</f>
        <v>4.9050000000000002</v>
      </c>
      <c r="M60" s="995">
        <v>10</v>
      </c>
      <c r="N60" s="1000"/>
      <c r="O60" s="1000"/>
      <c r="P60" s="1001"/>
      <c r="Q60" s="1026">
        <f>(J60*K60*(M60/100))</f>
        <v>21.8</v>
      </c>
      <c r="R60" s="996">
        <v>14</v>
      </c>
      <c r="S60" s="1001">
        <f>R60*Q60*1000</f>
        <v>305200</v>
      </c>
      <c r="T60" s="994">
        <f t="shared" si="1"/>
        <v>305200</v>
      </c>
    </row>
    <row r="61" spans="1:20" x14ac:dyDescent="0.25">
      <c r="A61" s="992"/>
      <c r="B61" s="993"/>
      <c r="C61" s="994" t="s">
        <v>713</v>
      </c>
      <c r="D61" s="995"/>
      <c r="E61" s="996"/>
      <c r="F61" s="1024" t="s">
        <v>888</v>
      </c>
      <c r="G61" s="996"/>
      <c r="H61" s="994">
        <f>I61+J61</f>
        <v>80</v>
      </c>
      <c r="I61" s="1022">
        <v>0</v>
      </c>
      <c r="J61" s="994">
        <v>80</v>
      </c>
      <c r="K61" s="994">
        <v>4</v>
      </c>
      <c r="L61" s="1025">
        <f>K61-(K61/100*M61)</f>
        <v>3.6</v>
      </c>
      <c r="M61" s="995">
        <v>10</v>
      </c>
      <c r="N61" s="1000"/>
      <c r="O61" s="1000"/>
      <c r="P61" s="1001"/>
      <c r="Q61" s="1026">
        <f>(J61*K61*(M61/100))</f>
        <v>32</v>
      </c>
      <c r="R61" s="996">
        <v>14</v>
      </c>
      <c r="S61" s="1001">
        <f>R61*Q61*1000</f>
        <v>448000</v>
      </c>
      <c r="T61" s="994">
        <f t="shared" si="1"/>
        <v>448000</v>
      </c>
    </row>
    <row r="62" spans="1:20" x14ac:dyDescent="0.25">
      <c r="A62" s="992"/>
      <c r="B62" s="1020" t="s">
        <v>889</v>
      </c>
      <c r="C62" s="994"/>
      <c r="D62" s="995"/>
      <c r="E62" s="996"/>
      <c r="F62" s="1024"/>
      <c r="G62" s="996"/>
      <c r="H62" s="1021">
        <f>SUM(H63:H65)</f>
        <v>550</v>
      </c>
      <c r="I62" s="1021">
        <f>SUM(I63:I65)</f>
        <v>0</v>
      </c>
      <c r="J62" s="1021">
        <f>SUM(J63:J65)</f>
        <v>550</v>
      </c>
      <c r="K62" s="994"/>
      <c r="L62" s="1025"/>
      <c r="M62" s="995"/>
      <c r="N62" s="1000"/>
      <c r="O62" s="1000"/>
      <c r="P62" s="1001"/>
      <c r="Q62" s="1021">
        <f>SUM(Q63:Q65)</f>
        <v>228.7</v>
      </c>
      <c r="R62" s="996">
        <v>14</v>
      </c>
      <c r="S62" s="1021">
        <f>SUM(S63:S65)</f>
        <v>3201800</v>
      </c>
      <c r="T62" s="1021">
        <f t="shared" si="1"/>
        <v>3201800</v>
      </c>
    </row>
    <row r="63" spans="1:20" x14ac:dyDescent="0.25">
      <c r="A63" s="992"/>
      <c r="B63" s="993"/>
      <c r="C63" s="994" t="s">
        <v>713</v>
      </c>
      <c r="D63" s="995"/>
      <c r="E63" s="996"/>
      <c r="F63" s="1024" t="s">
        <v>888</v>
      </c>
      <c r="G63" s="996"/>
      <c r="H63" s="994">
        <f>I63+J63</f>
        <v>110</v>
      </c>
      <c r="I63" s="1022">
        <v>0</v>
      </c>
      <c r="J63" s="994">
        <v>110</v>
      </c>
      <c r="K63" s="994">
        <v>4</v>
      </c>
      <c r="L63" s="1025">
        <f>K63-(K63/100*M63)</f>
        <v>3.6</v>
      </c>
      <c r="M63" s="995">
        <v>10</v>
      </c>
      <c r="N63" s="1000"/>
      <c r="O63" s="1000"/>
      <c r="P63" s="1001"/>
      <c r="Q63" s="1026">
        <f>(J63*K63*(M63/100))</f>
        <v>44</v>
      </c>
      <c r="R63" s="996">
        <v>14</v>
      </c>
      <c r="S63" s="1001">
        <f>R63*Q63*1000</f>
        <v>616000</v>
      </c>
      <c r="T63" s="994">
        <f t="shared" si="1"/>
        <v>616000</v>
      </c>
    </row>
    <row r="64" spans="1:20" x14ac:dyDescent="0.25">
      <c r="A64" s="992"/>
      <c r="B64" s="993"/>
      <c r="C64" s="994" t="s">
        <v>713</v>
      </c>
      <c r="D64" s="995"/>
      <c r="E64" s="996"/>
      <c r="F64" s="1024" t="s">
        <v>885</v>
      </c>
      <c r="G64" s="996"/>
      <c r="H64" s="994">
        <f>I64+J64</f>
        <v>60</v>
      </c>
      <c r="I64" s="1022"/>
      <c r="J64" s="994">
        <v>60</v>
      </c>
      <c r="K64" s="994">
        <v>5.45</v>
      </c>
      <c r="L64" s="1025">
        <f>K64-(K64/100*M64)</f>
        <v>4.9050000000000002</v>
      </c>
      <c r="M64" s="995">
        <v>10</v>
      </c>
      <c r="N64" s="1000"/>
      <c r="O64" s="1000"/>
      <c r="P64" s="1001"/>
      <c r="Q64" s="1026">
        <f>(J64*K64*(M64/100))</f>
        <v>32.700000000000003</v>
      </c>
      <c r="R64" s="996">
        <v>14</v>
      </c>
      <c r="S64" s="1001">
        <f>R64*Q64*1000</f>
        <v>457800.00000000006</v>
      </c>
      <c r="T64" s="994">
        <f t="shared" si="1"/>
        <v>457800.00000000006</v>
      </c>
    </row>
    <row r="65" spans="1:20" x14ac:dyDescent="0.25">
      <c r="A65" s="992"/>
      <c r="B65" s="993"/>
      <c r="C65" s="994" t="s">
        <v>713</v>
      </c>
      <c r="D65" s="995"/>
      <c r="E65" s="996"/>
      <c r="F65" s="1024" t="s">
        <v>886</v>
      </c>
      <c r="G65" s="996"/>
      <c r="H65" s="994">
        <f>I65+J65</f>
        <v>380</v>
      </c>
      <c r="I65" s="1022"/>
      <c r="J65" s="1028">
        <v>380</v>
      </c>
      <c r="K65" s="994">
        <v>4</v>
      </c>
      <c r="L65" s="1025">
        <f>K65-(K65/100*M65)</f>
        <v>3.6</v>
      </c>
      <c r="M65" s="995">
        <v>10</v>
      </c>
      <c r="N65" s="1000"/>
      <c r="O65" s="1000"/>
      <c r="P65" s="1001"/>
      <c r="Q65" s="1026">
        <f>(J65*K65*(M65/100))</f>
        <v>152</v>
      </c>
      <c r="R65" s="996">
        <v>14</v>
      </c>
      <c r="S65" s="1001">
        <f>R65*Q65*1000</f>
        <v>2128000</v>
      </c>
      <c r="T65" s="994">
        <f t="shared" si="1"/>
        <v>2128000</v>
      </c>
    </row>
    <row r="66" spans="1:20" x14ac:dyDescent="0.25">
      <c r="A66" s="992"/>
      <c r="B66" s="1020" t="s">
        <v>500</v>
      </c>
      <c r="C66" s="994"/>
      <c r="D66" s="995"/>
      <c r="E66" s="996"/>
      <c r="F66" s="1024"/>
      <c r="G66" s="996"/>
      <c r="H66" s="1021">
        <f>SUM(H67:H71)</f>
        <v>462</v>
      </c>
      <c r="I66" s="1022"/>
      <c r="J66" s="1021">
        <f>SUM(J67:J71)</f>
        <v>462</v>
      </c>
      <c r="K66" s="994"/>
      <c r="L66" s="1025"/>
      <c r="M66" s="995"/>
      <c r="N66" s="1000"/>
      <c r="O66" s="1000"/>
      <c r="P66" s="1001"/>
      <c r="Q66" s="1021">
        <f>SUM(Q67:Q71)</f>
        <v>188.81300000000002</v>
      </c>
      <c r="R66" s="996">
        <v>14</v>
      </c>
      <c r="S66" s="1021">
        <f>SUM(S67:S71)</f>
        <v>2643382</v>
      </c>
      <c r="T66" s="1021">
        <f t="shared" si="1"/>
        <v>2643382</v>
      </c>
    </row>
    <row r="67" spans="1:20" x14ac:dyDescent="0.25">
      <c r="A67" s="992"/>
      <c r="B67" s="993"/>
      <c r="C67" s="994" t="s">
        <v>713</v>
      </c>
      <c r="D67" s="995"/>
      <c r="E67" s="996"/>
      <c r="F67" s="1024" t="s">
        <v>875</v>
      </c>
      <c r="G67" s="996"/>
      <c r="H67" s="994">
        <f>I67+J67</f>
        <v>39</v>
      </c>
      <c r="I67" s="1022"/>
      <c r="J67" s="994">
        <v>39</v>
      </c>
      <c r="K67" s="994">
        <v>5.45</v>
      </c>
      <c r="L67" s="1025">
        <f>K67-(K67/100*M67)</f>
        <v>4.9050000000000002</v>
      </c>
      <c r="M67" s="995">
        <v>10</v>
      </c>
      <c r="N67" s="1000"/>
      <c r="O67" s="1000"/>
      <c r="P67" s="1001"/>
      <c r="Q67" s="1026">
        <f>(J67*K67*(M67/100))</f>
        <v>21.255000000000003</v>
      </c>
      <c r="R67" s="996">
        <v>14</v>
      </c>
      <c r="S67" s="1001">
        <f>R67*Q67*1000</f>
        <v>297570.00000000006</v>
      </c>
      <c r="T67" s="994">
        <f t="shared" si="1"/>
        <v>297570.00000000006</v>
      </c>
    </row>
    <row r="68" spans="1:20" x14ac:dyDescent="0.25">
      <c r="A68" s="992"/>
      <c r="B68" s="993"/>
      <c r="C68" s="994" t="s">
        <v>713</v>
      </c>
      <c r="D68" s="995"/>
      <c r="E68" s="996"/>
      <c r="F68" s="1024" t="s">
        <v>876</v>
      </c>
      <c r="G68" s="996"/>
      <c r="H68" s="994">
        <f>I68+J68</f>
        <v>271</v>
      </c>
      <c r="I68" s="1022"/>
      <c r="J68" s="1028">
        <v>271</v>
      </c>
      <c r="K68" s="994">
        <v>4</v>
      </c>
      <c r="L68" s="1025">
        <f>K68-(K68/100*M68)</f>
        <v>3.6</v>
      </c>
      <c r="M68" s="995">
        <v>10</v>
      </c>
      <c r="N68" s="1000"/>
      <c r="O68" s="1000"/>
      <c r="P68" s="1001"/>
      <c r="Q68" s="1026">
        <f>(J68*K68*(M68/100))</f>
        <v>108.4</v>
      </c>
      <c r="R68" s="996">
        <v>14</v>
      </c>
      <c r="S68" s="1001">
        <f>R68*Q68*1000</f>
        <v>1517600.0000000002</v>
      </c>
      <c r="T68" s="994">
        <f t="shared" si="1"/>
        <v>1517600.0000000002</v>
      </c>
    </row>
    <row r="69" spans="1:20" x14ac:dyDescent="0.25">
      <c r="A69" s="992"/>
      <c r="B69" s="993"/>
      <c r="C69" s="994" t="s">
        <v>713</v>
      </c>
      <c r="D69" s="995"/>
      <c r="E69" s="996"/>
      <c r="F69" s="1024" t="s">
        <v>881</v>
      </c>
      <c r="G69" s="996"/>
      <c r="H69" s="994">
        <f>I69+J69</f>
        <v>80</v>
      </c>
      <c r="I69" s="1022"/>
      <c r="J69" s="994">
        <v>80</v>
      </c>
      <c r="K69" s="994">
        <v>4</v>
      </c>
      <c r="L69" s="1025">
        <f>K69-(K69/100*M69)</f>
        <v>3.6</v>
      </c>
      <c r="M69" s="995">
        <v>10</v>
      </c>
      <c r="N69" s="1000"/>
      <c r="O69" s="1000"/>
      <c r="P69" s="1001"/>
      <c r="Q69" s="1026">
        <f>(J69*K69*(M69/100))</f>
        <v>32</v>
      </c>
      <c r="R69" s="996">
        <v>14</v>
      </c>
      <c r="S69" s="1001">
        <f>R69*Q69*1000</f>
        <v>448000</v>
      </c>
      <c r="T69" s="994">
        <f t="shared" si="1"/>
        <v>448000</v>
      </c>
    </row>
    <row r="70" spans="1:20" x14ac:dyDescent="0.25">
      <c r="A70" s="992"/>
      <c r="B70" s="993"/>
      <c r="C70" s="994" t="s">
        <v>716</v>
      </c>
      <c r="D70" s="995"/>
      <c r="E70" s="996"/>
      <c r="F70" s="1024" t="s">
        <v>875</v>
      </c>
      <c r="G70" s="996"/>
      <c r="H70" s="994">
        <f>I70+J70</f>
        <v>2</v>
      </c>
      <c r="I70" s="1022"/>
      <c r="J70" s="994">
        <v>2</v>
      </c>
      <c r="K70" s="994">
        <v>4.8899999999999997</v>
      </c>
      <c r="L70" s="1025">
        <f>K70-(K70/100*M70)</f>
        <v>4.4009999999999998</v>
      </c>
      <c r="M70" s="995">
        <v>10</v>
      </c>
      <c r="N70" s="1000"/>
      <c r="O70" s="1000"/>
      <c r="P70" s="1001"/>
      <c r="Q70" s="1026">
        <f>(J70*K70*(M70/100))</f>
        <v>0.97799999999999998</v>
      </c>
      <c r="R70" s="996">
        <v>14</v>
      </c>
      <c r="S70" s="1001">
        <f>R70*Q70*1000</f>
        <v>13692</v>
      </c>
      <c r="T70" s="994">
        <f t="shared" si="1"/>
        <v>13692</v>
      </c>
    </row>
    <row r="71" spans="1:20" x14ac:dyDescent="0.25">
      <c r="A71" s="992"/>
      <c r="B71" s="993"/>
      <c r="C71" s="994" t="s">
        <v>716</v>
      </c>
      <c r="D71" s="995"/>
      <c r="E71" s="996"/>
      <c r="F71" s="1024" t="s">
        <v>876</v>
      </c>
      <c r="G71" s="996"/>
      <c r="H71" s="994">
        <f>I71+J71</f>
        <v>70</v>
      </c>
      <c r="I71" s="1022"/>
      <c r="J71" s="994">
        <v>70</v>
      </c>
      <c r="K71" s="994">
        <v>3.74</v>
      </c>
      <c r="L71" s="1025">
        <f>K71-(K71/100*M71)</f>
        <v>3.3660000000000001</v>
      </c>
      <c r="M71" s="995">
        <v>10</v>
      </c>
      <c r="N71" s="1000"/>
      <c r="O71" s="1000"/>
      <c r="P71" s="1001"/>
      <c r="Q71" s="1026">
        <f>(J71*K71*(M71/100))</f>
        <v>26.180000000000003</v>
      </c>
      <c r="R71" s="996">
        <v>14</v>
      </c>
      <c r="S71" s="1001">
        <f>R71*Q71*1000</f>
        <v>366520.00000000006</v>
      </c>
      <c r="T71" s="994">
        <f t="shared" si="1"/>
        <v>366520.00000000006</v>
      </c>
    </row>
    <row r="72" spans="1:20" x14ac:dyDescent="0.25">
      <c r="A72" s="1008"/>
      <c r="B72" s="1009" t="s">
        <v>507</v>
      </c>
      <c r="C72" s="1010"/>
      <c r="D72" s="1011"/>
      <c r="E72" s="1012"/>
      <c r="F72" s="1013"/>
      <c r="G72" s="1012"/>
      <c r="H72" s="1014">
        <f>H73+H83+H87+H94+H102+H107</f>
        <v>3072.5</v>
      </c>
      <c r="I72" s="1014">
        <f>I73+I83+I87+I94+I102+I107</f>
        <v>18</v>
      </c>
      <c r="J72" s="1014">
        <f>J73+J83+J87+J94+J102+J107</f>
        <v>3054.5</v>
      </c>
      <c r="K72" s="1010"/>
      <c r="L72" s="1012"/>
      <c r="M72" s="1011"/>
      <c r="N72" s="1016"/>
      <c r="O72" s="1029">
        <f>O73+O83+O87+O94+O102+O107</f>
        <v>8150</v>
      </c>
      <c r="P72" s="1014">
        <f>P73+P83+P87+P94+P102+P107</f>
        <v>122250</v>
      </c>
      <c r="Q72" s="1014">
        <f>Q73+Q83+Q87+Q94+Q102+Q107</f>
        <v>1396.0844999999999</v>
      </c>
      <c r="R72" s="1012"/>
      <c r="S72" s="1014">
        <f>S73+S83+S87+S94+S102+S107</f>
        <v>19545183</v>
      </c>
      <c r="T72" s="1014">
        <f>T73+T83+T87+T94+T102+T107</f>
        <v>19667433</v>
      </c>
    </row>
    <row r="73" spans="1:20" x14ac:dyDescent="0.25">
      <c r="A73" s="992"/>
      <c r="B73" s="1020" t="s">
        <v>515</v>
      </c>
      <c r="C73" s="994"/>
      <c r="D73" s="995"/>
      <c r="E73" s="996"/>
      <c r="F73" s="1024"/>
      <c r="G73" s="996"/>
      <c r="H73" s="1021">
        <f>SUM(H74:H82)</f>
        <v>1518</v>
      </c>
      <c r="I73" s="1021">
        <f>SUM(I74:I82)</f>
        <v>15</v>
      </c>
      <c r="J73" s="1021">
        <f>SUM(J74:J82)</f>
        <v>1503</v>
      </c>
      <c r="K73" s="994"/>
      <c r="L73" s="1025"/>
      <c r="M73" s="995"/>
      <c r="N73" s="1000"/>
      <c r="O73" s="1030">
        <f>SUM(O74:O82)</f>
        <v>8150</v>
      </c>
      <c r="P73" s="1021">
        <f>SUM(P74:P82)</f>
        <v>122250</v>
      </c>
      <c r="Q73" s="1021">
        <f>SUM(Q74:Q82)</f>
        <v>644.57000000000005</v>
      </c>
      <c r="R73" s="1021"/>
      <c r="S73" s="1021">
        <f>SUM(S74:S82)</f>
        <v>9023980</v>
      </c>
      <c r="T73" s="1021">
        <f>SUM(T74:T82)</f>
        <v>9146230</v>
      </c>
    </row>
    <row r="74" spans="1:20" x14ac:dyDescent="0.25">
      <c r="A74" s="992"/>
      <c r="B74" s="993"/>
      <c r="C74" s="994" t="s">
        <v>713</v>
      </c>
      <c r="D74" s="995"/>
      <c r="E74" s="996"/>
      <c r="F74" s="1024" t="s">
        <v>778</v>
      </c>
      <c r="G74" s="996"/>
      <c r="H74" s="994">
        <f t="shared" ref="H74:H82" si="12">I74+J74</f>
        <v>15</v>
      </c>
      <c r="I74" s="1022">
        <v>15</v>
      </c>
      <c r="J74" s="994">
        <v>0</v>
      </c>
      <c r="K74" s="994"/>
      <c r="L74" s="1025"/>
      <c r="M74" s="995"/>
      <c r="N74" s="1000"/>
      <c r="O74" s="1000">
        <v>8150</v>
      </c>
      <c r="P74" s="1001">
        <f>O74*I74</f>
        <v>122250</v>
      </c>
      <c r="Q74" s="1026"/>
      <c r="R74" s="996"/>
      <c r="S74" s="1001"/>
      <c r="T74" s="994">
        <f>P74+S74</f>
        <v>122250</v>
      </c>
    </row>
    <row r="75" spans="1:20" x14ac:dyDescent="0.25">
      <c r="A75" s="992"/>
      <c r="B75" s="993"/>
      <c r="C75" s="994" t="s">
        <v>713</v>
      </c>
      <c r="D75" s="995"/>
      <c r="E75" s="996"/>
      <c r="F75" s="1024" t="s">
        <v>880</v>
      </c>
      <c r="G75" s="996"/>
      <c r="H75" s="994">
        <f t="shared" si="12"/>
        <v>166</v>
      </c>
      <c r="I75" s="1022">
        <v>0</v>
      </c>
      <c r="J75" s="1028">
        <v>166</v>
      </c>
      <c r="K75" s="994">
        <v>5.45</v>
      </c>
      <c r="L75" s="1025">
        <f t="shared" ref="L75:L82" si="13">K75-(K75/100*M75)</f>
        <v>4.9050000000000002</v>
      </c>
      <c r="M75" s="995">
        <v>10</v>
      </c>
      <c r="N75" s="1000"/>
      <c r="O75" s="1000"/>
      <c r="P75" s="1001"/>
      <c r="Q75" s="1026">
        <f t="shared" ref="Q75:Q82" si="14">(J75*K75*(M75/100))</f>
        <v>90.470000000000013</v>
      </c>
      <c r="R75" s="996">
        <v>14</v>
      </c>
      <c r="S75" s="1001">
        <f t="shared" ref="S75:S82" si="15">R75*Q75*1000</f>
        <v>1266580.0000000002</v>
      </c>
      <c r="T75" s="994">
        <f t="shared" ref="T75:T82" si="16">P75+S75</f>
        <v>1266580.0000000002</v>
      </c>
    </row>
    <row r="76" spans="1:20" x14ac:dyDescent="0.25">
      <c r="A76" s="992"/>
      <c r="B76" s="993"/>
      <c r="C76" s="994" t="s">
        <v>713</v>
      </c>
      <c r="D76" s="995"/>
      <c r="E76" s="996"/>
      <c r="F76" s="1024" t="s">
        <v>890</v>
      </c>
      <c r="G76" s="996"/>
      <c r="H76" s="994">
        <f t="shared" si="12"/>
        <v>115</v>
      </c>
      <c r="I76" s="1022">
        <v>0</v>
      </c>
      <c r="J76" s="1028">
        <v>115</v>
      </c>
      <c r="K76" s="994">
        <v>5.45</v>
      </c>
      <c r="L76" s="1025">
        <f t="shared" si="13"/>
        <v>4.9050000000000002</v>
      </c>
      <c r="M76" s="995">
        <v>10</v>
      </c>
      <c r="N76" s="1000"/>
      <c r="O76" s="1000"/>
      <c r="P76" s="1001"/>
      <c r="Q76" s="1026">
        <f t="shared" si="14"/>
        <v>62.675000000000004</v>
      </c>
      <c r="R76" s="996">
        <v>14</v>
      </c>
      <c r="S76" s="1001">
        <f t="shared" si="15"/>
        <v>877450</v>
      </c>
      <c r="T76" s="994">
        <f t="shared" si="16"/>
        <v>877450</v>
      </c>
    </row>
    <row r="77" spans="1:20" x14ac:dyDescent="0.25">
      <c r="A77" s="992"/>
      <c r="B77" s="993"/>
      <c r="C77" s="994" t="s">
        <v>713</v>
      </c>
      <c r="D77" s="995"/>
      <c r="E77" s="996"/>
      <c r="F77" s="1024" t="s">
        <v>881</v>
      </c>
      <c r="G77" s="996"/>
      <c r="H77" s="994">
        <f t="shared" si="12"/>
        <v>522</v>
      </c>
      <c r="I77" s="1022">
        <v>0</v>
      </c>
      <c r="J77" s="1028">
        <v>522</v>
      </c>
      <c r="K77" s="994">
        <v>4</v>
      </c>
      <c r="L77" s="1025">
        <f t="shared" si="13"/>
        <v>3.6</v>
      </c>
      <c r="M77" s="995">
        <v>10</v>
      </c>
      <c r="N77" s="1000"/>
      <c r="O77" s="1000"/>
      <c r="P77" s="1001"/>
      <c r="Q77" s="1026">
        <f t="shared" si="14"/>
        <v>208.8</v>
      </c>
      <c r="R77" s="996">
        <v>14</v>
      </c>
      <c r="S77" s="1001">
        <f t="shared" si="15"/>
        <v>2923200.0000000005</v>
      </c>
      <c r="T77" s="994">
        <f t="shared" si="16"/>
        <v>2923200.0000000005</v>
      </c>
    </row>
    <row r="78" spans="1:20" x14ac:dyDescent="0.25">
      <c r="A78" s="992"/>
      <c r="B78" s="993"/>
      <c r="C78" s="994" t="s">
        <v>713</v>
      </c>
      <c r="D78" s="995"/>
      <c r="E78" s="996"/>
      <c r="F78" s="1024" t="s">
        <v>891</v>
      </c>
      <c r="G78" s="996"/>
      <c r="H78" s="994">
        <f t="shared" si="12"/>
        <v>310</v>
      </c>
      <c r="I78" s="1022">
        <v>0</v>
      </c>
      <c r="J78" s="1028">
        <v>310</v>
      </c>
      <c r="K78" s="994">
        <v>4</v>
      </c>
      <c r="L78" s="1025">
        <f t="shared" si="13"/>
        <v>3.6</v>
      </c>
      <c r="M78" s="995">
        <v>10</v>
      </c>
      <c r="N78" s="1000"/>
      <c r="O78" s="1000"/>
      <c r="P78" s="1001"/>
      <c r="Q78" s="1026">
        <f t="shared" si="14"/>
        <v>124</v>
      </c>
      <c r="R78" s="996">
        <v>14</v>
      </c>
      <c r="S78" s="1001">
        <f t="shared" si="15"/>
        <v>1736000</v>
      </c>
      <c r="T78" s="994">
        <f t="shared" si="16"/>
        <v>1736000</v>
      </c>
    </row>
    <row r="79" spans="1:20" x14ac:dyDescent="0.25">
      <c r="A79" s="992"/>
      <c r="B79" s="993"/>
      <c r="C79" s="994" t="s">
        <v>716</v>
      </c>
      <c r="D79" s="995"/>
      <c r="E79" s="996"/>
      <c r="F79" s="1024" t="s">
        <v>880</v>
      </c>
      <c r="G79" s="996"/>
      <c r="H79" s="994">
        <f t="shared" si="12"/>
        <v>51</v>
      </c>
      <c r="I79" s="1022">
        <v>0</v>
      </c>
      <c r="J79" s="994">
        <v>51</v>
      </c>
      <c r="K79" s="994">
        <v>4.8899999999999997</v>
      </c>
      <c r="L79" s="1025">
        <f t="shared" si="13"/>
        <v>4.4009999999999998</v>
      </c>
      <c r="M79" s="995">
        <v>10</v>
      </c>
      <c r="N79" s="1000"/>
      <c r="O79" s="1000"/>
      <c r="P79" s="1001"/>
      <c r="Q79" s="1026">
        <f t="shared" si="14"/>
        <v>24.939</v>
      </c>
      <c r="R79" s="996">
        <v>14</v>
      </c>
      <c r="S79" s="1001">
        <f t="shared" si="15"/>
        <v>349146</v>
      </c>
      <c r="T79" s="994">
        <f t="shared" si="16"/>
        <v>349146</v>
      </c>
    </row>
    <row r="80" spans="1:20" x14ac:dyDescent="0.25">
      <c r="A80" s="992"/>
      <c r="B80" s="993"/>
      <c r="C80" s="994" t="s">
        <v>716</v>
      </c>
      <c r="D80" s="995"/>
      <c r="E80" s="996"/>
      <c r="F80" s="1024" t="s">
        <v>890</v>
      </c>
      <c r="G80" s="996"/>
      <c r="H80" s="994">
        <f t="shared" si="12"/>
        <v>60</v>
      </c>
      <c r="I80" s="1022">
        <v>0</v>
      </c>
      <c r="J80" s="994">
        <v>60</v>
      </c>
      <c r="K80" s="994">
        <v>4.8899999999999997</v>
      </c>
      <c r="L80" s="1025">
        <f t="shared" si="13"/>
        <v>4.4009999999999998</v>
      </c>
      <c r="M80" s="995">
        <v>10</v>
      </c>
      <c r="N80" s="1000"/>
      <c r="O80" s="1000"/>
      <c r="P80" s="1001"/>
      <c r="Q80" s="1026">
        <f t="shared" si="14"/>
        <v>29.34</v>
      </c>
      <c r="R80" s="996">
        <v>14</v>
      </c>
      <c r="S80" s="1001">
        <f t="shared" si="15"/>
        <v>410760</v>
      </c>
      <c r="T80" s="994">
        <f t="shared" si="16"/>
        <v>410760</v>
      </c>
    </row>
    <row r="81" spans="1:20" x14ac:dyDescent="0.25">
      <c r="A81" s="992"/>
      <c r="B81" s="993"/>
      <c r="C81" s="994" t="s">
        <v>716</v>
      </c>
      <c r="D81" s="995"/>
      <c r="E81" s="996"/>
      <c r="F81" s="1024" t="s">
        <v>881</v>
      </c>
      <c r="G81" s="996"/>
      <c r="H81" s="994">
        <f t="shared" si="12"/>
        <v>112</v>
      </c>
      <c r="I81" s="1022"/>
      <c r="J81" s="1028">
        <v>112</v>
      </c>
      <c r="K81" s="994">
        <v>3.74</v>
      </c>
      <c r="L81" s="1025">
        <f t="shared" si="13"/>
        <v>3.3660000000000001</v>
      </c>
      <c r="M81" s="995">
        <v>10</v>
      </c>
      <c r="N81" s="1000"/>
      <c r="O81" s="1000"/>
      <c r="P81" s="1001"/>
      <c r="Q81" s="1026">
        <f t="shared" si="14"/>
        <v>41.888000000000005</v>
      </c>
      <c r="R81" s="996">
        <v>14</v>
      </c>
      <c r="S81" s="1001">
        <f t="shared" si="15"/>
        <v>586432</v>
      </c>
      <c r="T81" s="994">
        <f t="shared" si="16"/>
        <v>586432</v>
      </c>
    </row>
    <row r="82" spans="1:20" x14ac:dyDescent="0.25">
      <c r="A82" s="992"/>
      <c r="B82" s="993"/>
      <c r="C82" s="994" t="s">
        <v>716</v>
      </c>
      <c r="D82" s="995"/>
      <c r="E82" s="996"/>
      <c r="F82" s="1024" t="s">
        <v>891</v>
      </c>
      <c r="G82" s="996"/>
      <c r="H82" s="994">
        <f t="shared" si="12"/>
        <v>167</v>
      </c>
      <c r="I82" s="1022"/>
      <c r="J82" s="1028">
        <v>167</v>
      </c>
      <c r="K82" s="994">
        <v>3.74</v>
      </c>
      <c r="L82" s="1025">
        <f t="shared" si="13"/>
        <v>3.3660000000000001</v>
      </c>
      <c r="M82" s="995">
        <v>10</v>
      </c>
      <c r="N82" s="1000"/>
      <c r="O82" s="1000"/>
      <c r="P82" s="1001"/>
      <c r="Q82" s="1026">
        <f t="shared" si="14"/>
        <v>62.458000000000006</v>
      </c>
      <c r="R82" s="996">
        <v>14</v>
      </c>
      <c r="S82" s="1001">
        <f t="shared" si="15"/>
        <v>874412</v>
      </c>
      <c r="T82" s="994">
        <f t="shared" si="16"/>
        <v>874412</v>
      </c>
    </row>
    <row r="83" spans="1:20" x14ac:dyDescent="0.25">
      <c r="A83" s="992"/>
      <c r="B83" s="1020" t="s">
        <v>511</v>
      </c>
      <c r="C83" s="994"/>
      <c r="D83" s="995"/>
      <c r="E83" s="996"/>
      <c r="F83" s="1024"/>
      <c r="G83" s="996"/>
      <c r="H83" s="1021">
        <f>SUM(H84:H86)</f>
        <v>22.5</v>
      </c>
      <c r="I83" s="1022"/>
      <c r="J83" s="1021">
        <f>SUM(J84:J86)</f>
        <v>22.5</v>
      </c>
      <c r="K83" s="994"/>
      <c r="L83" s="1025"/>
      <c r="M83" s="995"/>
      <c r="N83" s="1000"/>
      <c r="O83" s="1000"/>
      <c r="P83" s="1001"/>
      <c r="Q83" s="1021">
        <f>SUM(Q84:Q86)</f>
        <v>9.3770000000000007</v>
      </c>
      <c r="R83" s="996">
        <v>14</v>
      </c>
      <c r="S83" s="1021">
        <f>SUM(S84:S86)</f>
        <v>131278</v>
      </c>
      <c r="T83" s="1021">
        <f>SUM(T84:T86)</f>
        <v>131278</v>
      </c>
    </row>
    <row r="84" spans="1:20" x14ac:dyDescent="0.25">
      <c r="A84" s="992"/>
      <c r="B84" s="993"/>
      <c r="C84" s="994" t="s">
        <v>713</v>
      </c>
      <c r="D84" s="995"/>
      <c r="E84" s="996"/>
      <c r="F84" s="1024" t="s">
        <v>883</v>
      </c>
      <c r="G84" s="996"/>
      <c r="H84" s="994">
        <f>I84+J84</f>
        <v>2.6</v>
      </c>
      <c r="I84" s="1022">
        <v>0</v>
      </c>
      <c r="J84" s="994">
        <v>2.6</v>
      </c>
      <c r="K84" s="994">
        <v>5.45</v>
      </c>
      <c r="L84" s="1025">
        <f>K84-(K84/100*M84)</f>
        <v>4.9050000000000002</v>
      </c>
      <c r="M84" s="995">
        <v>10</v>
      </c>
      <c r="N84" s="1000"/>
      <c r="O84" s="1000"/>
      <c r="P84" s="1001"/>
      <c r="Q84" s="1026">
        <f>(J84*K84*(M84/100))</f>
        <v>1.4170000000000003</v>
      </c>
      <c r="R84" s="996">
        <v>14</v>
      </c>
      <c r="S84" s="1001">
        <f>R84*Q84*1000</f>
        <v>19838.000000000004</v>
      </c>
      <c r="T84" s="994">
        <f t="shared" ref="T84:T107" si="17">P84+S84</f>
        <v>19838.000000000004</v>
      </c>
    </row>
    <row r="85" spans="1:20" x14ac:dyDescent="0.25">
      <c r="A85" s="992"/>
      <c r="B85" s="993"/>
      <c r="C85" s="994" t="s">
        <v>713</v>
      </c>
      <c r="D85" s="995"/>
      <c r="E85" s="996"/>
      <c r="F85" s="1024" t="s">
        <v>892</v>
      </c>
      <c r="G85" s="996"/>
      <c r="H85" s="994">
        <f>I85+J85</f>
        <v>13.4</v>
      </c>
      <c r="I85" s="1022">
        <v>0</v>
      </c>
      <c r="J85" s="994">
        <v>13.4</v>
      </c>
      <c r="K85" s="994">
        <v>4</v>
      </c>
      <c r="L85" s="1025">
        <f>K85-(K85/100*M85)</f>
        <v>3.6</v>
      </c>
      <c r="M85" s="995">
        <v>10</v>
      </c>
      <c r="N85" s="1000"/>
      <c r="O85" s="1000"/>
      <c r="P85" s="1001"/>
      <c r="Q85" s="1026">
        <f>(J85*K85*(M85/100))</f>
        <v>5.36</v>
      </c>
      <c r="R85" s="996">
        <v>14</v>
      </c>
      <c r="S85" s="1001">
        <f>R85*Q85*1000</f>
        <v>75040</v>
      </c>
      <c r="T85" s="994">
        <f t="shared" si="17"/>
        <v>75040</v>
      </c>
    </row>
    <row r="86" spans="1:20" x14ac:dyDescent="0.25">
      <c r="A86" s="992"/>
      <c r="B86" s="993"/>
      <c r="C86" s="994" t="s">
        <v>713</v>
      </c>
      <c r="D86" s="995"/>
      <c r="E86" s="996"/>
      <c r="F86" s="1024" t="s">
        <v>881</v>
      </c>
      <c r="G86" s="996"/>
      <c r="H86" s="994">
        <f>I86+J86</f>
        <v>6.5</v>
      </c>
      <c r="I86" s="1022">
        <v>0</v>
      </c>
      <c r="J86" s="994">
        <v>6.5</v>
      </c>
      <c r="K86" s="994">
        <v>4</v>
      </c>
      <c r="L86" s="1025">
        <f>K86-(K86/100*M86)</f>
        <v>3.6</v>
      </c>
      <c r="M86" s="995">
        <v>10</v>
      </c>
      <c r="N86" s="1000"/>
      <c r="O86" s="1000"/>
      <c r="P86" s="1001"/>
      <c r="Q86" s="1026">
        <f>(J86*K86*(M86/100))</f>
        <v>2.6</v>
      </c>
      <c r="R86" s="996">
        <v>14</v>
      </c>
      <c r="S86" s="1001">
        <f>R86*Q86*1000</f>
        <v>36400</v>
      </c>
      <c r="T86" s="994">
        <f t="shared" si="17"/>
        <v>36400</v>
      </c>
    </row>
    <row r="87" spans="1:20" x14ac:dyDescent="0.25">
      <c r="A87" s="992"/>
      <c r="B87" s="1020" t="s">
        <v>514</v>
      </c>
      <c r="C87" s="994"/>
      <c r="D87" s="995"/>
      <c r="E87" s="996"/>
      <c r="F87" s="1024"/>
      <c r="G87" s="996"/>
      <c r="H87" s="1021">
        <f>SUM(H88:H93)</f>
        <v>645</v>
      </c>
      <c r="I87" s="1022"/>
      <c r="J87" s="1021">
        <f>SUM(J88:J93)</f>
        <v>645</v>
      </c>
      <c r="K87" s="994"/>
      <c r="L87" s="1025">
        <f t="shared" ref="L87:L107" si="18">K87-(K87/100*M87)</f>
        <v>0</v>
      </c>
      <c r="M87" s="995"/>
      <c r="N87" s="1000"/>
      <c r="O87" s="1000"/>
      <c r="P87" s="1001"/>
      <c r="Q87" s="1021">
        <f>SUM(Q88:Q93)</f>
        <v>327.02</v>
      </c>
      <c r="R87" s="996">
        <v>14</v>
      </c>
      <c r="S87" s="1021">
        <f>SUM(S88:S93)</f>
        <v>4578280</v>
      </c>
      <c r="T87" s="1021">
        <f t="shared" si="17"/>
        <v>4578280</v>
      </c>
    </row>
    <row r="88" spans="1:20" x14ac:dyDescent="0.25">
      <c r="A88" s="992"/>
      <c r="B88" s="993"/>
      <c r="C88" s="994" t="s">
        <v>713</v>
      </c>
      <c r="D88" s="995"/>
      <c r="E88" s="996"/>
      <c r="F88" s="1024" t="s">
        <v>883</v>
      </c>
      <c r="G88" s="996"/>
      <c r="H88" s="994">
        <f t="shared" ref="H88:H98" si="19">I88+J88</f>
        <v>225</v>
      </c>
      <c r="I88" s="1022">
        <v>0</v>
      </c>
      <c r="J88" s="1028">
        <v>225</v>
      </c>
      <c r="K88" s="994">
        <v>5.45</v>
      </c>
      <c r="L88" s="1025">
        <f t="shared" si="18"/>
        <v>4.9050000000000002</v>
      </c>
      <c r="M88" s="995">
        <v>10</v>
      </c>
      <c r="N88" s="1000"/>
      <c r="O88" s="1000"/>
      <c r="P88" s="1001"/>
      <c r="Q88" s="1026">
        <f t="shared" ref="Q88:Q98" si="20">(J88*K88*(M88/100))</f>
        <v>122.625</v>
      </c>
      <c r="R88" s="996">
        <v>14</v>
      </c>
      <c r="S88" s="1001">
        <f t="shared" ref="S88:S98" si="21">R88*Q88*1000</f>
        <v>1716750</v>
      </c>
      <c r="T88" s="994">
        <f t="shared" si="17"/>
        <v>1716750</v>
      </c>
    </row>
    <row r="89" spans="1:20" x14ac:dyDescent="0.25">
      <c r="A89" s="992"/>
      <c r="B89" s="993"/>
      <c r="C89" s="994" t="s">
        <v>713</v>
      </c>
      <c r="D89" s="995"/>
      <c r="E89" s="996"/>
      <c r="F89" s="1024" t="s">
        <v>892</v>
      </c>
      <c r="G89" s="996"/>
      <c r="H89" s="994">
        <f t="shared" si="19"/>
        <v>50</v>
      </c>
      <c r="I89" s="1022">
        <v>0</v>
      </c>
      <c r="J89" s="994">
        <v>50</v>
      </c>
      <c r="K89" s="994">
        <v>4</v>
      </c>
      <c r="L89" s="1025">
        <f t="shared" si="18"/>
        <v>3.6</v>
      </c>
      <c r="M89" s="995">
        <v>10</v>
      </c>
      <c r="N89" s="1000"/>
      <c r="O89" s="1000"/>
      <c r="P89" s="1001"/>
      <c r="Q89" s="1026">
        <f t="shared" si="20"/>
        <v>20</v>
      </c>
      <c r="R89" s="996">
        <v>14</v>
      </c>
      <c r="S89" s="1001">
        <f t="shared" si="21"/>
        <v>280000</v>
      </c>
      <c r="T89" s="994">
        <f t="shared" si="17"/>
        <v>280000</v>
      </c>
    </row>
    <row r="90" spans="1:20" x14ac:dyDescent="0.25">
      <c r="A90" s="992"/>
      <c r="B90" s="993"/>
      <c r="C90" s="994" t="s">
        <v>713</v>
      </c>
      <c r="D90" s="995"/>
      <c r="E90" s="996"/>
      <c r="F90" s="1024" t="s">
        <v>885</v>
      </c>
      <c r="G90" s="996"/>
      <c r="H90" s="994">
        <f t="shared" si="19"/>
        <v>256</v>
      </c>
      <c r="I90" s="1022">
        <v>0</v>
      </c>
      <c r="J90" s="1028">
        <v>256</v>
      </c>
      <c r="K90" s="994">
        <v>5.45</v>
      </c>
      <c r="L90" s="1025">
        <f t="shared" si="18"/>
        <v>4.9050000000000002</v>
      </c>
      <c r="M90" s="995">
        <v>10</v>
      </c>
      <c r="N90" s="1000"/>
      <c r="O90" s="1000"/>
      <c r="P90" s="1001"/>
      <c r="Q90" s="1026">
        <f t="shared" si="20"/>
        <v>139.52000000000001</v>
      </c>
      <c r="R90" s="996">
        <v>14</v>
      </c>
      <c r="S90" s="1001">
        <f t="shared" si="21"/>
        <v>1953280.0000000002</v>
      </c>
      <c r="T90" s="994">
        <f t="shared" si="17"/>
        <v>1953280.0000000002</v>
      </c>
    </row>
    <row r="91" spans="1:20" x14ac:dyDescent="0.25">
      <c r="A91" s="992"/>
      <c r="B91" s="993"/>
      <c r="C91" s="994" t="s">
        <v>713</v>
      </c>
      <c r="D91" s="995"/>
      <c r="E91" s="996"/>
      <c r="F91" s="1024" t="s">
        <v>886</v>
      </c>
      <c r="G91" s="996"/>
      <c r="H91" s="994">
        <f t="shared" si="19"/>
        <v>64</v>
      </c>
      <c r="I91" s="1022">
        <v>0</v>
      </c>
      <c r="J91" s="994">
        <v>64</v>
      </c>
      <c r="K91" s="994">
        <v>4</v>
      </c>
      <c r="L91" s="1025">
        <f t="shared" si="18"/>
        <v>3.6</v>
      </c>
      <c r="M91" s="995">
        <v>10</v>
      </c>
      <c r="N91" s="1000"/>
      <c r="O91" s="1000"/>
      <c r="P91" s="1001"/>
      <c r="Q91" s="1026">
        <f t="shared" si="20"/>
        <v>25.6</v>
      </c>
      <c r="R91" s="996">
        <v>14</v>
      </c>
      <c r="S91" s="1001">
        <f t="shared" si="21"/>
        <v>358400.00000000006</v>
      </c>
      <c r="T91" s="994">
        <f t="shared" si="17"/>
        <v>358400.00000000006</v>
      </c>
    </row>
    <row r="92" spans="1:20" x14ac:dyDescent="0.25">
      <c r="A92" s="992"/>
      <c r="B92" s="993"/>
      <c r="C92" s="994" t="s">
        <v>716</v>
      </c>
      <c r="D92" s="995"/>
      <c r="E92" s="996"/>
      <c r="F92" s="1024" t="s">
        <v>883</v>
      </c>
      <c r="G92" s="996"/>
      <c r="H92" s="994">
        <f t="shared" si="19"/>
        <v>5</v>
      </c>
      <c r="I92" s="1022">
        <v>0</v>
      </c>
      <c r="J92" s="994">
        <v>5</v>
      </c>
      <c r="K92" s="994">
        <v>4.8899999999999997</v>
      </c>
      <c r="L92" s="1025">
        <f t="shared" si="18"/>
        <v>4.4009999999999998</v>
      </c>
      <c r="M92" s="995">
        <v>10</v>
      </c>
      <c r="N92" s="1000"/>
      <c r="O92" s="1000"/>
      <c r="P92" s="1001"/>
      <c r="Q92" s="1026">
        <f t="shared" si="20"/>
        <v>2.4450000000000003</v>
      </c>
      <c r="R92" s="996">
        <v>14</v>
      </c>
      <c r="S92" s="1001">
        <f t="shared" si="21"/>
        <v>34230.000000000007</v>
      </c>
      <c r="T92" s="994">
        <f t="shared" si="17"/>
        <v>34230.000000000007</v>
      </c>
    </row>
    <row r="93" spans="1:20" x14ac:dyDescent="0.25">
      <c r="A93" s="992"/>
      <c r="B93" s="993"/>
      <c r="C93" s="994" t="s">
        <v>716</v>
      </c>
      <c r="D93" s="995"/>
      <c r="E93" s="996"/>
      <c r="F93" s="1024" t="s">
        <v>892</v>
      </c>
      <c r="G93" s="996"/>
      <c r="H93" s="994">
        <f t="shared" si="19"/>
        <v>45</v>
      </c>
      <c r="I93" s="1022">
        <v>0</v>
      </c>
      <c r="J93" s="994">
        <v>45</v>
      </c>
      <c r="K93" s="994">
        <v>3.74</v>
      </c>
      <c r="L93" s="1025">
        <f t="shared" si="18"/>
        <v>3.3660000000000001</v>
      </c>
      <c r="M93" s="995">
        <v>10</v>
      </c>
      <c r="N93" s="1000"/>
      <c r="O93" s="1000"/>
      <c r="P93" s="1001"/>
      <c r="Q93" s="1026">
        <f t="shared" si="20"/>
        <v>16.830000000000002</v>
      </c>
      <c r="R93" s="996">
        <v>14</v>
      </c>
      <c r="S93" s="1001">
        <f t="shared" si="21"/>
        <v>235620.00000000003</v>
      </c>
      <c r="T93" s="994">
        <f t="shared" si="17"/>
        <v>235620.00000000003</v>
      </c>
    </row>
    <row r="94" spans="1:20" x14ac:dyDescent="0.25">
      <c r="A94" s="992"/>
      <c r="B94" s="1020" t="s">
        <v>520</v>
      </c>
      <c r="C94" s="994"/>
      <c r="D94" s="995"/>
      <c r="E94" s="996"/>
      <c r="F94" s="1024"/>
      <c r="G94" s="996"/>
      <c r="H94" s="1021">
        <f>SUM(H95:H101)</f>
        <v>210.5</v>
      </c>
      <c r="I94" s="1021">
        <f>SUM(I95:I101)</f>
        <v>3</v>
      </c>
      <c r="J94" s="1021">
        <f>SUM(J95:J101)</f>
        <v>207.5</v>
      </c>
      <c r="K94" s="994"/>
      <c r="L94" s="1025">
        <f t="shared" si="18"/>
        <v>0</v>
      </c>
      <c r="M94" s="995"/>
      <c r="N94" s="1000"/>
      <c r="O94" s="1000"/>
      <c r="P94" s="1001"/>
      <c r="Q94" s="1021">
        <f>SUM(Q95:Q101)</f>
        <v>97.102500000000006</v>
      </c>
      <c r="R94" s="996">
        <v>14</v>
      </c>
      <c r="S94" s="1027">
        <f t="shared" si="21"/>
        <v>1359435.0000000002</v>
      </c>
      <c r="T94" s="1021">
        <f t="shared" si="17"/>
        <v>1359435.0000000002</v>
      </c>
    </row>
    <row r="95" spans="1:20" x14ac:dyDescent="0.25">
      <c r="A95" s="992"/>
      <c r="B95" s="993"/>
      <c r="C95" s="994" t="s">
        <v>713</v>
      </c>
      <c r="D95" s="995"/>
      <c r="E95" s="996"/>
      <c r="F95" s="1024" t="s">
        <v>875</v>
      </c>
      <c r="G95" s="996"/>
      <c r="H95" s="994">
        <f t="shared" si="19"/>
        <v>0.5</v>
      </c>
      <c r="I95" s="1022">
        <v>0.5</v>
      </c>
      <c r="J95" s="994">
        <v>0</v>
      </c>
      <c r="K95" s="994">
        <v>5.45</v>
      </c>
      <c r="L95" s="1025">
        <f t="shared" si="18"/>
        <v>0</v>
      </c>
      <c r="M95" s="995">
        <v>100</v>
      </c>
      <c r="N95" s="1000"/>
      <c r="O95" s="1000"/>
      <c r="P95" s="1001"/>
      <c r="Q95" s="1026">
        <f>(I95*K95*(M95/100))</f>
        <v>2.7250000000000001</v>
      </c>
      <c r="R95" s="996">
        <v>14</v>
      </c>
      <c r="S95" s="1001">
        <f>R95*Q95*1000</f>
        <v>38150</v>
      </c>
      <c r="T95" s="994">
        <f t="shared" si="17"/>
        <v>38150</v>
      </c>
    </row>
    <row r="96" spans="1:20" x14ac:dyDescent="0.25">
      <c r="A96" s="992"/>
      <c r="B96" s="993"/>
      <c r="C96" s="994" t="s">
        <v>713</v>
      </c>
      <c r="D96" s="995"/>
      <c r="E96" s="996"/>
      <c r="F96" s="1024" t="s">
        <v>876</v>
      </c>
      <c r="G96" s="996"/>
      <c r="H96" s="994">
        <f t="shared" si="19"/>
        <v>2.5</v>
      </c>
      <c r="I96" s="1022">
        <v>2.5</v>
      </c>
      <c r="J96" s="994">
        <v>0</v>
      </c>
      <c r="K96" s="994">
        <v>4</v>
      </c>
      <c r="L96" s="1025">
        <f t="shared" si="18"/>
        <v>0</v>
      </c>
      <c r="M96" s="995">
        <v>100</v>
      </c>
      <c r="N96" s="1000"/>
      <c r="O96" s="1000"/>
      <c r="P96" s="1001"/>
      <c r="Q96" s="1026">
        <f>(I96*K96*(M96/100))</f>
        <v>10</v>
      </c>
      <c r="R96" s="996">
        <v>14</v>
      </c>
      <c r="S96" s="1001">
        <f t="shared" si="21"/>
        <v>140000</v>
      </c>
      <c r="T96" s="994">
        <f t="shared" si="17"/>
        <v>140000</v>
      </c>
    </row>
    <row r="97" spans="1:20" x14ac:dyDescent="0.25">
      <c r="A97" s="992"/>
      <c r="B97" s="993"/>
      <c r="C97" s="994" t="s">
        <v>713</v>
      </c>
      <c r="D97" s="995"/>
      <c r="E97" s="996"/>
      <c r="F97" s="1024" t="s">
        <v>893</v>
      </c>
      <c r="G97" s="996"/>
      <c r="H97" s="994">
        <f t="shared" si="19"/>
        <v>4</v>
      </c>
      <c r="I97" s="1022">
        <v>0</v>
      </c>
      <c r="J97" s="994">
        <v>4</v>
      </c>
      <c r="K97" s="994">
        <v>5.45</v>
      </c>
      <c r="L97" s="1025">
        <f t="shared" si="18"/>
        <v>4.9050000000000002</v>
      </c>
      <c r="M97" s="995">
        <v>10</v>
      </c>
      <c r="N97" s="1000"/>
      <c r="O97" s="1000"/>
      <c r="P97" s="1001"/>
      <c r="Q97" s="1026">
        <f t="shared" si="20"/>
        <v>2.1800000000000002</v>
      </c>
      <c r="R97" s="996">
        <v>14</v>
      </c>
      <c r="S97" s="1001">
        <f t="shared" si="21"/>
        <v>30520.000000000004</v>
      </c>
      <c r="T97" s="994">
        <f t="shared" si="17"/>
        <v>30520.000000000004</v>
      </c>
    </row>
    <row r="98" spans="1:20" x14ac:dyDescent="0.25">
      <c r="A98" s="992"/>
      <c r="B98" s="993"/>
      <c r="C98" s="994" t="s">
        <v>713</v>
      </c>
      <c r="D98" s="995"/>
      <c r="E98" s="996"/>
      <c r="F98" s="1024" t="s">
        <v>894</v>
      </c>
      <c r="G98" s="996"/>
      <c r="H98" s="994">
        <f t="shared" si="19"/>
        <v>2</v>
      </c>
      <c r="I98" s="1022">
        <v>0</v>
      </c>
      <c r="J98" s="994">
        <v>2</v>
      </c>
      <c r="K98" s="994">
        <v>4</v>
      </c>
      <c r="L98" s="1025">
        <f t="shared" si="18"/>
        <v>3.6</v>
      </c>
      <c r="M98" s="995">
        <v>10</v>
      </c>
      <c r="N98" s="1000"/>
      <c r="O98" s="1000"/>
      <c r="P98" s="1001"/>
      <c r="Q98" s="1026">
        <f t="shared" si="20"/>
        <v>0.8</v>
      </c>
      <c r="R98" s="996">
        <v>14</v>
      </c>
      <c r="S98" s="1001">
        <f t="shared" si="21"/>
        <v>11200.000000000002</v>
      </c>
      <c r="T98" s="994">
        <f t="shared" si="17"/>
        <v>11200.000000000002</v>
      </c>
    </row>
    <row r="99" spans="1:20" x14ac:dyDescent="0.25">
      <c r="A99" s="992"/>
      <c r="B99" s="993"/>
      <c r="C99" s="994" t="s">
        <v>713</v>
      </c>
      <c r="D99" s="995"/>
      <c r="E99" s="996"/>
      <c r="F99" s="1024" t="s">
        <v>880</v>
      </c>
      <c r="G99" s="996"/>
      <c r="H99" s="994">
        <f>I99+J99</f>
        <v>5.5</v>
      </c>
      <c r="I99" s="1022">
        <v>0</v>
      </c>
      <c r="J99" s="994">
        <v>5.5</v>
      </c>
      <c r="K99" s="994">
        <v>5.45</v>
      </c>
      <c r="L99" s="1025">
        <f t="shared" si="18"/>
        <v>4.9050000000000002</v>
      </c>
      <c r="M99" s="995">
        <v>10</v>
      </c>
      <c r="N99" s="1000"/>
      <c r="O99" s="1000"/>
      <c r="P99" s="1001"/>
      <c r="Q99" s="1026">
        <f>(J99*K99*(M99/100))</f>
        <v>2.9975000000000005</v>
      </c>
      <c r="R99" s="996">
        <v>14</v>
      </c>
      <c r="S99" s="1001">
        <f>R99*Q99*1000</f>
        <v>41965</v>
      </c>
      <c r="T99" s="994">
        <f t="shared" si="17"/>
        <v>41965</v>
      </c>
    </row>
    <row r="100" spans="1:20" x14ac:dyDescent="0.25">
      <c r="A100" s="992"/>
      <c r="B100" s="993"/>
      <c r="C100" s="994" t="s">
        <v>713</v>
      </c>
      <c r="D100" s="995"/>
      <c r="E100" s="996"/>
      <c r="F100" s="1024" t="s">
        <v>881</v>
      </c>
      <c r="G100" s="996"/>
      <c r="H100" s="994">
        <f>I100+J100</f>
        <v>44</v>
      </c>
      <c r="I100" s="1022">
        <v>0</v>
      </c>
      <c r="J100" s="994">
        <v>44</v>
      </c>
      <c r="K100" s="994">
        <v>4</v>
      </c>
      <c r="L100" s="1025">
        <f t="shared" si="18"/>
        <v>3.6</v>
      </c>
      <c r="M100" s="995">
        <v>10</v>
      </c>
      <c r="N100" s="1000"/>
      <c r="O100" s="1000"/>
      <c r="P100" s="1001"/>
      <c r="Q100" s="1026">
        <f>(J100*K100*(M100/100))</f>
        <v>17.600000000000001</v>
      </c>
      <c r="R100" s="996">
        <v>14</v>
      </c>
      <c r="S100" s="1001">
        <f>R100*Q100*1000</f>
        <v>246400.00000000003</v>
      </c>
      <c r="T100" s="994">
        <f t="shared" si="17"/>
        <v>246400.00000000003</v>
      </c>
    </row>
    <row r="101" spans="1:20" x14ac:dyDescent="0.25">
      <c r="A101" s="992"/>
      <c r="B101" s="993"/>
      <c r="C101" s="994" t="s">
        <v>713</v>
      </c>
      <c r="D101" s="995"/>
      <c r="E101" s="996"/>
      <c r="F101" s="1024" t="s">
        <v>895</v>
      </c>
      <c r="G101" s="996"/>
      <c r="H101" s="994">
        <f>I101+J101</f>
        <v>152</v>
      </c>
      <c r="I101" s="1022">
        <v>0</v>
      </c>
      <c r="J101" s="1028">
        <v>152</v>
      </c>
      <c r="K101" s="994">
        <v>4</v>
      </c>
      <c r="L101" s="1025">
        <f t="shared" si="18"/>
        <v>3.6</v>
      </c>
      <c r="M101" s="995">
        <v>10</v>
      </c>
      <c r="N101" s="1000"/>
      <c r="O101" s="1000"/>
      <c r="P101" s="1001"/>
      <c r="Q101" s="1026">
        <f>(J101*K101*(M101/100))</f>
        <v>60.800000000000004</v>
      </c>
      <c r="R101" s="996">
        <v>14</v>
      </c>
      <c r="S101" s="1001">
        <f>R101*Q101*1000</f>
        <v>851200</v>
      </c>
      <c r="T101" s="994">
        <f t="shared" si="17"/>
        <v>851200</v>
      </c>
    </row>
    <row r="102" spans="1:20" x14ac:dyDescent="0.25">
      <c r="A102" s="992"/>
      <c r="B102" s="1020" t="s">
        <v>519</v>
      </c>
      <c r="C102" s="994"/>
      <c r="D102" s="995"/>
      <c r="E102" s="996"/>
      <c r="F102" s="1024"/>
      <c r="G102" s="996"/>
      <c r="H102" s="1021">
        <f>SUM(H103:H106)</f>
        <v>571.5</v>
      </c>
      <c r="I102" s="1022"/>
      <c r="J102" s="1021">
        <f>SUM(J103:J106)</f>
        <v>571.5</v>
      </c>
      <c r="K102" s="994"/>
      <c r="L102" s="1025">
        <f t="shared" si="18"/>
        <v>0</v>
      </c>
      <c r="M102" s="995"/>
      <c r="N102" s="1000"/>
      <c r="O102" s="1000"/>
      <c r="P102" s="1001"/>
      <c r="Q102" s="1021">
        <f>SUM(Q103:Q106)</f>
        <v>260.79000000000002</v>
      </c>
      <c r="R102" s="996">
        <v>14</v>
      </c>
      <c r="S102" s="1021">
        <f>SUM(S103:S106)</f>
        <v>3651060.0000000005</v>
      </c>
      <c r="T102" s="1021">
        <f t="shared" si="17"/>
        <v>3651060.0000000005</v>
      </c>
    </row>
    <row r="103" spans="1:20" x14ac:dyDescent="0.25">
      <c r="A103" s="992"/>
      <c r="B103" s="993"/>
      <c r="C103" s="994" t="s">
        <v>713</v>
      </c>
      <c r="D103" s="995"/>
      <c r="E103" s="996"/>
      <c r="F103" s="1024" t="s">
        <v>883</v>
      </c>
      <c r="G103" s="996"/>
      <c r="H103" s="994">
        <f>I103+J103</f>
        <v>10</v>
      </c>
      <c r="I103" s="1022">
        <v>0</v>
      </c>
      <c r="J103" s="994">
        <v>10</v>
      </c>
      <c r="K103" s="994">
        <v>5.45</v>
      </c>
      <c r="L103" s="1025">
        <f t="shared" si="18"/>
        <v>4.9050000000000002</v>
      </c>
      <c r="M103" s="995">
        <v>10</v>
      </c>
      <c r="N103" s="1000"/>
      <c r="O103" s="1000"/>
      <c r="P103" s="1001"/>
      <c r="Q103" s="1026">
        <f>(J103*K103*(M103/100))</f>
        <v>5.45</v>
      </c>
      <c r="R103" s="996">
        <v>14</v>
      </c>
      <c r="S103" s="1001">
        <f>R103*Q103*1000</f>
        <v>76300</v>
      </c>
      <c r="T103" s="994">
        <f t="shared" si="17"/>
        <v>76300</v>
      </c>
    </row>
    <row r="104" spans="1:20" x14ac:dyDescent="0.25">
      <c r="A104" s="992"/>
      <c r="B104" s="993"/>
      <c r="C104" s="994" t="s">
        <v>713</v>
      </c>
      <c r="D104" s="995"/>
      <c r="E104" s="996"/>
      <c r="F104" s="1024" t="s">
        <v>892</v>
      </c>
      <c r="G104" s="996"/>
      <c r="H104" s="994">
        <f>I104+J104</f>
        <v>104.5</v>
      </c>
      <c r="I104" s="1022">
        <v>0</v>
      </c>
      <c r="J104" s="994">
        <v>104.5</v>
      </c>
      <c r="K104" s="994">
        <v>4</v>
      </c>
      <c r="L104" s="1025">
        <f t="shared" si="18"/>
        <v>3.6</v>
      </c>
      <c r="M104" s="995">
        <v>10</v>
      </c>
      <c r="N104" s="1000"/>
      <c r="O104" s="1000"/>
      <c r="P104" s="1001"/>
      <c r="Q104" s="1026">
        <f>(J104*K104*(M104/100))</f>
        <v>41.800000000000004</v>
      </c>
      <c r="R104" s="996">
        <v>14</v>
      </c>
      <c r="S104" s="1001">
        <f>R104*Q104*1000</f>
        <v>585200</v>
      </c>
      <c r="T104" s="994">
        <f t="shared" si="17"/>
        <v>585200</v>
      </c>
    </row>
    <row r="105" spans="1:20" x14ac:dyDescent="0.25">
      <c r="A105" s="992"/>
      <c r="B105" s="993"/>
      <c r="C105" s="994" t="s">
        <v>713</v>
      </c>
      <c r="D105" s="995"/>
      <c r="E105" s="996"/>
      <c r="F105" s="1024" t="s">
        <v>885</v>
      </c>
      <c r="G105" s="996"/>
      <c r="H105" s="994">
        <f>I105+J105</f>
        <v>212</v>
      </c>
      <c r="I105" s="1022">
        <v>0</v>
      </c>
      <c r="J105" s="1028">
        <v>212</v>
      </c>
      <c r="K105" s="994">
        <v>5.45</v>
      </c>
      <c r="L105" s="1025">
        <f t="shared" si="18"/>
        <v>4.9050000000000002</v>
      </c>
      <c r="M105" s="995">
        <v>10</v>
      </c>
      <c r="N105" s="1000"/>
      <c r="O105" s="1000"/>
      <c r="P105" s="1001"/>
      <c r="Q105" s="1026">
        <f>(J105*K105*(M105/100))</f>
        <v>115.54000000000002</v>
      </c>
      <c r="R105" s="996">
        <v>14</v>
      </c>
      <c r="S105" s="1001">
        <f>R105*Q105*1000</f>
        <v>1617560.0000000005</v>
      </c>
      <c r="T105" s="994">
        <f t="shared" si="17"/>
        <v>1617560.0000000005</v>
      </c>
    </row>
    <row r="106" spans="1:20" x14ac:dyDescent="0.25">
      <c r="A106" s="992"/>
      <c r="B106" s="993"/>
      <c r="C106" s="994" t="s">
        <v>713</v>
      </c>
      <c r="D106" s="995"/>
      <c r="E106" s="996"/>
      <c r="F106" s="1024" t="s">
        <v>886</v>
      </c>
      <c r="G106" s="996"/>
      <c r="H106" s="994">
        <f>I106+J106</f>
        <v>245</v>
      </c>
      <c r="I106" s="1022">
        <v>0</v>
      </c>
      <c r="J106" s="1028">
        <v>245</v>
      </c>
      <c r="K106" s="994">
        <v>4</v>
      </c>
      <c r="L106" s="1025">
        <f t="shared" si="18"/>
        <v>3.6</v>
      </c>
      <c r="M106" s="995">
        <v>10</v>
      </c>
      <c r="N106" s="1000"/>
      <c r="O106" s="1000"/>
      <c r="P106" s="1001"/>
      <c r="Q106" s="1026">
        <f>(J106*K106*(M106/100))</f>
        <v>98</v>
      </c>
      <c r="R106" s="996">
        <v>14</v>
      </c>
      <c r="S106" s="1001">
        <f>R106*Q106*1000</f>
        <v>1372000</v>
      </c>
      <c r="T106" s="994">
        <f t="shared" si="17"/>
        <v>1372000</v>
      </c>
    </row>
    <row r="107" spans="1:20" x14ac:dyDescent="0.25">
      <c r="A107" s="992"/>
      <c r="B107" s="1020" t="s">
        <v>654</v>
      </c>
      <c r="C107" s="1021" t="s">
        <v>713</v>
      </c>
      <c r="D107" s="1030"/>
      <c r="E107" s="1031"/>
      <c r="F107" s="1024" t="s">
        <v>885</v>
      </c>
      <c r="G107" s="1031"/>
      <c r="H107" s="1021">
        <f>I107+J107</f>
        <v>105</v>
      </c>
      <c r="I107" s="1032">
        <v>0</v>
      </c>
      <c r="J107" s="1021">
        <v>105</v>
      </c>
      <c r="K107" s="1021">
        <v>5.45</v>
      </c>
      <c r="L107" s="1033">
        <f t="shared" si="18"/>
        <v>4.9050000000000002</v>
      </c>
      <c r="M107" s="1030">
        <v>10</v>
      </c>
      <c r="N107" s="1034"/>
      <c r="O107" s="1034"/>
      <c r="P107" s="1027"/>
      <c r="Q107" s="1035">
        <f>(J107*K107*(M107/100))</f>
        <v>57.225000000000001</v>
      </c>
      <c r="R107" s="1031">
        <v>14</v>
      </c>
      <c r="S107" s="1027">
        <f>R107*Q107*1000</f>
        <v>801150</v>
      </c>
      <c r="T107" s="1021">
        <f t="shared" si="17"/>
        <v>801150</v>
      </c>
    </row>
    <row r="108" spans="1:20" x14ac:dyDescent="0.25">
      <c r="A108" s="992"/>
      <c r="B108" s="993"/>
      <c r="C108" s="994"/>
      <c r="D108" s="995"/>
      <c r="E108" s="996"/>
      <c r="F108" s="1024"/>
      <c r="G108" s="996"/>
      <c r="H108" s="994"/>
      <c r="I108" s="1022"/>
      <c r="J108" s="994"/>
      <c r="K108" s="994"/>
      <c r="L108" s="1025"/>
      <c r="M108" s="995"/>
      <c r="N108" s="1000"/>
      <c r="O108" s="1000"/>
      <c r="P108" s="1001"/>
      <c r="Q108" s="1026"/>
      <c r="R108" s="996"/>
      <c r="S108" s="1001"/>
      <c r="T108" s="994"/>
    </row>
    <row r="109" spans="1:20" x14ac:dyDescent="0.25">
      <c r="A109" s="866" t="s">
        <v>522</v>
      </c>
      <c r="B109" s="1524"/>
      <c r="C109" s="1513"/>
      <c r="D109" s="496"/>
      <c r="E109" s="746"/>
      <c r="F109" s="867"/>
      <c r="G109" s="868" t="s">
        <v>815</v>
      </c>
      <c r="H109" s="867"/>
      <c r="I109" s="864"/>
      <c r="J109" s="864"/>
      <c r="K109" s="1513"/>
      <c r="L109" s="864"/>
      <c r="M109" s="1513"/>
      <c r="N109" s="495"/>
      <c r="O109" s="403"/>
      <c r="P109" s="403" t="s">
        <v>816</v>
      </c>
      <c r="Q109" s="403"/>
      <c r="R109" s="1513"/>
      <c r="S109" s="495"/>
    </row>
    <row r="110" spans="1:20" x14ac:dyDescent="0.25">
      <c r="A110" s="869"/>
      <c r="B110" s="870"/>
      <c r="C110" s="871"/>
      <c r="D110" s="872"/>
      <c r="E110" s="873"/>
      <c r="F110" s="873"/>
      <c r="G110" s="873"/>
      <c r="H110" s="873"/>
      <c r="I110" s="873"/>
      <c r="J110" s="871"/>
      <c r="K110" s="871"/>
      <c r="L110" s="1516"/>
      <c r="M110" s="871"/>
      <c r="N110" s="871"/>
      <c r="O110" s="403"/>
      <c r="P110" s="403"/>
      <c r="Q110" s="403"/>
      <c r="R110" s="1516"/>
      <c r="S110" s="871"/>
    </row>
    <row r="111" spans="1:20" x14ac:dyDescent="0.25">
      <c r="A111" s="869"/>
      <c r="B111" s="1604" t="s">
        <v>896</v>
      </c>
      <c r="C111" s="1604"/>
      <c r="D111" s="1604"/>
      <c r="E111" s="1515"/>
      <c r="F111" s="1515"/>
      <c r="G111" s="1581" t="s">
        <v>818</v>
      </c>
      <c r="H111" s="1581"/>
      <c r="I111" s="1581"/>
      <c r="J111" s="1581"/>
      <c r="K111" s="871"/>
      <c r="L111" s="1516"/>
      <c r="M111" s="871"/>
      <c r="N111" s="871"/>
      <c r="O111" s="403"/>
      <c r="P111" s="1580" t="s">
        <v>819</v>
      </c>
      <c r="Q111" s="1580"/>
      <c r="R111" s="1580"/>
      <c r="S111" s="871"/>
    </row>
    <row r="112" spans="1:20" x14ac:dyDescent="0.25">
      <c r="A112" s="718"/>
      <c r="B112" s="1598" t="s">
        <v>527</v>
      </c>
      <c r="C112" s="1598"/>
      <c r="D112" s="1598"/>
      <c r="F112" s="1518"/>
      <c r="G112" s="1598" t="s">
        <v>820</v>
      </c>
      <c r="H112" s="1598"/>
      <c r="I112" s="1598"/>
      <c r="J112" s="1598"/>
      <c r="P112" s="1598" t="s">
        <v>821</v>
      </c>
      <c r="Q112" s="1598"/>
      <c r="R112" s="1598"/>
    </row>
  </sheetData>
  <mergeCells count="38">
    <mergeCell ref="M7:R7"/>
    <mergeCell ref="A1:S1"/>
    <mergeCell ref="A3:S3"/>
    <mergeCell ref="A4:S4"/>
    <mergeCell ref="A5:S5"/>
    <mergeCell ref="A6:S6"/>
    <mergeCell ref="A12:R12"/>
    <mergeCell ref="A13:A17"/>
    <mergeCell ref="B13:B17"/>
    <mergeCell ref="C13:C17"/>
    <mergeCell ref="D13:D17"/>
    <mergeCell ref="E13:E17"/>
    <mergeCell ref="F13:F17"/>
    <mergeCell ref="G13:G17"/>
    <mergeCell ref="H13:J15"/>
    <mergeCell ref="K13:L15"/>
    <mergeCell ref="T15:T17"/>
    <mergeCell ref="H16:H17"/>
    <mergeCell ref="I16:I17"/>
    <mergeCell ref="J16:J17"/>
    <mergeCell ref="K16:K17"/>
    <mergeCell ref="L16:L17"/>
    <mergeCell ref="S16:S17"/>
    <mergeCell ref="M13:M17"/>
    <mergeCell ref="N13:S14"/>
    <mergeCell ref="N15:P15"/>
    <mergeCell ref="Q15:S15"/>
    <mergeCell ref="N16:N17"/>
    <mergeCell ref="O16:O17"/>
    <mergeCell ref="P16:P17"/>
    <mergeCell ref="Q16:Q17"/>
    <mergeCell ref="R16:R17"/>
    <mergeCell ref="B111:D111"/>
    <mergeCell ref="G111:J111"/>
    <mergeCell ref="P111:R111"/>
    <mergeCell ref="B112:D112"/>
    <mergeCell ref="G112:J112"/>
    <mergeCell ref="P112:R112"/>
  </mergeCells>
  <pageMargins left="0.74" right="0" top="0.32" bottom="0.72" header="0.28999999999999998" footer="0.3"/>
  <pageSetup paperSize="5" scale="60" orientation="landscape" errors="blank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44B0-3BB5-8646-B5DD-B7621B8445FC}">
  <sheetPr>
    <tabColor rgb="FFC00000"/>
  </sheetPr>
  <dimension ref="A1:S406"/>
  <sheetViews>
    <sheetView view="pageBreakPreview" zoomScale="80" zoomScaleNormal="70" zoomScaleSheetLayoutView="80" workbookViewId="0">
      <pane ySplit="17" topLeftCell="A48" activePane="bottomLeft" state="frozen"/>
      <selection activeCell="P74" sqref="P74"/>
      <selection pane="bottomLeft" activeCell="B18" sqref="B18:R18"/>
    </sheetView>
  </sheetViews>
  <sheetFormatPr defaultColWidth="9.125" defaultRowHeight="15.75" x14ac:dyDescent="0.25"/>
  <cols>
    <col min="1" max="1" width="5.875" style="393" customWidth="1"/>
    <col min="2" max="2" width="16" style="393" customWidth="1"/>
    <col min="3" max="3" width="10.625" style="393" customWidth="1"/>
    <col min="4" max="4" width="12" style="393" customWidth="1"/>
    <col min="5" max="5" width="13.5" style="718" customWidth="1"/>
    <col min="6" max="6" width="16.375" style="393" customWidth="1"/>
    <col min="7" max="7" width="16.5" style="393" bestFit="1" customWidth="1"/>
    <col min="8" max="8" width="12.625" style="721" bestFit="1" customWidth="1"/>
    <col min="9" max="9" width="13.5" style="393" customWidth="1"/>
    <col min="10" max="10" width="9.375" style="393" customWidth="1"/>
    <col min="11" max="11" width="11.375" style="393" customWidth="1"/>
    <col min="12" max="12" width="8.125" style="393" customWidth="1"/>
    <col min="13" max="13" width="12.5" style="393" customWidth="1"/>
    <col min="14" max="14" width="12" style="393" customWidth="1"/>
    <col min="15" max="15" width="16.625" style="393" customWidth="1"/>
    <col min="16" max="16" width="13.5" style="393" customWidth="1"/>
    <col min="17" max="17" width="15.625" style="393" customWidth="1"/>
    <col min="18" max="18" width="23.5" style="393" bestFit="1" customWidth="1"/>
    <col min="19" max="19" width="19.375" style="393" customWidth="1"/>
    <col min="20" max="20" width="11.375" style="393" bestFit="1" customWidth="1"/>
    <col min="21" max="16384" width="9.125" style="393"/>
  </cols>
  <sheetData>
    <row r="1" spans="1:19" ht="15.75" customHeight="1" x14ac:dyDescent="0.25">
      <c r="A1" s="1598" t="s">
        <v>411</v>
      </c>
      <c r="B1" s="1598"/>
      <c r="C1" s="1598"/>
      <c r="D1" s="1598"/>
      <c r="E1" s="1598"/>
      <c r="F1" s="1598"/>
      <c r="G1" s="1598"/>
      <c r="H1" s="1598"/>
      <c r="I1" s="1598"/>
      <c r="J1" s="1598"/>
      <c r="K1" s="1598"/>
      <c r="L1" s="1598"/>
      <c r="M1" s="1598"/>
      <c r="N1" s="1598"/>
      <c r="O1" s="1598"/>
      <c r="P1" s="1598"/>
      <c r="Q1" s="1598"/>
      <c r="R1" s="1598"/>
    </row>
    <row r="2" spans="1:19" x14ac:dyDescent="0.25">
      <c r="A2" s="1598" t="s">
        <v>412</v>
      </c>
      <c r="B2" s="1598"/>
      <c r="C2" s="1598"/>
      <c r="D2" s="1598"/>
      <c r="E2" s="1598"/>
      <c r="F2" s="1598"/>
      <c r="G2" s="1598"/>
      <c r="H2" s="1598"/>
      <c r="I2" s="1598"/>
      <c r="J2" s="1598"/>
      <c r="K2" s="1598"/>
      <c r="L2" s="1598"/>
      <c r="M2" s="1598"/>
      <c r="N2" s="1598"/>
      <c r="O2" s="1598"/>
      <c r="P2" s="1598"/>
      <c r="Q2" s="1598"/>
      <c r="R2" s="1598"/>
    </row>
    <row r="3" spans="1:19" x14ac:dyDescent="0.25">
      <c r="A3" s="1604" t="s">
        <v>413</v>
      </c>
      <c r="B3" s="1604"/>
      <c r="C3" s="1604"/>
      <c r="D3" s="1604"/>
      <c r="E3" s="1604"/>
      <c r="F3" s="1604"/>
      <c r="G3" s="1604"/>
      <c r="H3" s="1604"/>
      <c r="I3" s="1604"/>
      <c r="J3" s="1604"/>
      <c r="K3" s="1604"/>
      <c r="L3" s="1604"/>
      <c r="M3" s="1604"/>
      <c r="N3" s="1604"/>
      <c r="O3" s="1604"/>
      <c r="P3" s="1604"/>
      <c r="Q3" s="1604"/>
      <c r="R3" s="1604"/>
    </row>
    <row r="4" spans="1:19" x14ac:dyDescent="0.25">
      <c r="A4" s="1598" t="s">
        <v>897</v>
      </c>
      <c r="B4" s="1598"/>
      <c r="C4" s="1598"/>
      <c r="D4" s="1598"/>
      <c r="E4" s="1598"/>
      <c r="F4" s="1598"/>
      <c r="G4" s="1598"/>
      <c r="H4" s="1598"/>
      <c r="I4" s="1598"/>
      <c r="J4" s="1598"/>
      <c r="K4" s="1598"/>
      <c r="L4" s="1598"/>
      <c r="M4" s="1598"/>
      <c r="N4" s="1598"/>
      <c r="O4" s="1598"/>
      <c r="P4" s="1598"/>
      <c r="Q4" s="1598"/>
      <c r="R4" s="1598"/>
    </row>
    <row r="5" spans="1:19" x14ac:dyDescent="0.25">
      <c r="A5" s="1598" t="s">
        <v>898</v>
      </c>
      <c r="B5" s="1598"/>
      <c r="C5" s="1598"/>
      <c r="D5" s="1598"/>
      <c r="E5" s="1598"/>
      <c r="F5" s="1598"/>
      <c r="G5" s="1598"/>
      <c r="H5" s="1598"/>
      <c r="I5" s="1598"/>
      <c r="J5" s="1598"/>
      <c r="K5" s="1598"/>
      <c r="L5" s="1598"/>
      <c r="M5" s="1598"/>
      <c r="N5" s="1598"/>
      <c r="O5" s="1598"/>
      <c r="P5" s="1598"/>
      <c r="Q5" s="1598"/>
      <c r="R5" s="1598"/>
    </row>
    <row r="6" spans="1:19" x14ac:dyDescent="0.25">
      <c r="A6" s="1598" t="s">
        <v>899</v>
      </c>
      <c r="B6" s="1598"/>
      <c r="C6" s="1598"/>
      <c r="D6" s="1598"/>
      <c r="E6" s="1598"/>
      <c r="F6" s="1598"/>
      <c r="G6" s="1598"/>
      <c r="H6" s="1598"/>
      <c r="I6" s="1598"/>
      <c r="J6" s="1598"/>
      <c r="K6" s="1598"/>
      <c r="L6" s="1598"/>
      <c r="M6" s="1598"/>
      <c r="N6" s="1598"/>
      <c r="O6" s="1598"/>
      <c r="P6" s="1598"/>
      <c r="Q6" s="1598"/>
      <c r="R6" s="1598"/>
    </row>
    <row r="7" spans="1:19" x14ac:dyDescent="0.25">
      <c r="A7" s="1598" t="s">
        <v>900</v>
      </c>
      <c r="B7" s="1598"/>
      <c r="C7" s="1598"/>
      <c r="D7" s="1598"/>
      <c r="E7" s="1598"/>
      <c r="F7" s="1598"/>
      <c r="G7" s="1598"/>
      <c r="H7" s="1598"/>
      <c r="I7" s="1598"/>
      <c r="J7" s="1598"/>
      <c r="K7" s="1598"/>
      <c r="L7" s="1598"/>
      <c r="M7" s="1598"/>
      <c r="N7" s="1598"/>
      <c r="O7" s="1598"/>
      <c r="P7" s="1598"/>
      <c r="Q7" s="1598"/>
      <c r="R7" s="1598"/>
      <c r="S7" s="392"/>
    </row>
    <row r="8" spans="1:19" x14ac:dyDescent="0.25">
      <c r="A8" s="1721"/>
      <c r="B8" s="1721"/>
      <c r="C8" s="1721"/>
      <c r="D8" s="1721"/>
      <c r="E8" s="1721"/>
      <c r="F8" s="1721"/>
      <c r="G8" s="1721"/>
      <c r="H8" s="1721"/>
      <c r="I8" s="1721"/>
      <c r="J8" s="1721"/>
      <c r="K8" s="1721"/>
      <c r="L8" s="1721"/>
      <c r="M8" s="1721"/>
      <c r="N8" s="1721"/>
      <c r="O8" s="1721"/>
      <c r="P8" s="1721"/>
      <c r="Q8" s="1721"/>
      <c r="R8" s="1721"/>
    </row>
    <row r="9" spans="1:19" x14ac:dyDescent="0.25">
      <c r="A9" s="394" t="s">
        <v>417</v>
      </c>
      <c r="B9" s="395"/>
      <c r="C9" s="395"/>
      <c r="D9" s="395"/>
      <c r="E9" s="396"/>
      <c r="F9" s="395"/>
      <c r="G9" s="395"/>
      <c r="H9" s="684"/>
      <c r="I9" s="395"/>
      <c r="J9" s="395"/>
      <c r="K9" s="397"/>
      <c r="L9" s="419" t="s">
        <v>418</v>
      </c>
      <c r="M9" s="400"/>
      <c r="N9" s="400"/>
      <c r="O9" s="400"/>
      <c r="P9" s="400"/>
      <c r="Q9" s="400"/>
      <c r="R9" s="400"/>
      <c r="S9" s="400"/>
    </row>
    <row r="10" spans="1:19" x14ac:dyDescent="0.25">
      <c r="A10" s="402" t="s">
        <v>420</v>
      </c>
      <c r="B10" s="403"/>
      <c r="C10" s="403"/>
      <c r="D10" s="403"/>
      <c r="E10" s="404"/>
      <c r="F10" s="403"/>
      <c r="G10" s="403"/>
      <c r="H10" s="685"/>
      <c r="I10" s="403"/>
      <c r="J10" s="403"/>
      <c r="K10" s="409"/>
      <c r="L10" s="405" t="s">
        <v>421</v>
      </c>
      <c r="M10" s="405"/>
      <c r="N10" s="395" t="s">
        <v>422</v>
      </c>
      <c r="O10" s="395"/>
      <c r="P10" s="395"/>
      <c r="Q10" s="395"/>
      <c r="R10" s="397"/>
      <c r="S10" s="397"/>
    </row>
    <row r="11" spans="1:19" x14ac:dyDescent="0.25">
      <c r="A11" s="402"/>
      <c r="B11" s="403"/>
      <c r="C11" s="403"/>
      <c r="D11" s="403"/>
      <c r="E11" s="404"/>
      <c r="F11" s="403"/>
      <c r="G11" s="403"/>
      <c r="H11" s="685"/>
      <c r="I11" s="403"/>
      <c r="J11" s="403"/>
      <c r="K11" s="409"/>
      <c r="L11" s="1036"/>
      <c r="M11" s="1037" t="s">
        <v>423</v>
      </c>
      <c r="N11" s="403" t="s">
        <v>760</v>
      </c>
      <c r="O11" s="403"/>
      <c r="P11" s="403"/>
      <c r="Q11" s="403"/>
      <c r="R11" s="409"/>
      <c r="S11" s="409"/>
    </row>
    <row r="12" spans="1:19" x14ac:dyDescent="0.25">
      <c r="A12" s="402"/>
      <c r="B12" s="403"/>
      <c r="C12" s="403"/>
      <c r="D12" s="403"/>
      <c r="E12" s="404"/>
      <c r="F12" s="403"/>
      <c r="G12" s="403"/>
      <c r="H12" s="685"/>
      <c r="I12" s="403"/>
      <c r="J12" s="403"/>
      <c r="K12" s="409"/>
      <c r="M12" s="1037" t="s">
        <v>426</v>
      </c>
      <c r="N12" s="403" t="s">
        <v>762</v>
      </c>
      <c r="O12" s="403"/>
      <c r="P12" s="403"/>
      <c r="Q12" s="403"/>
      <c r="R12" s="409"/>
      <c r="S12" s="409"/>
    </row>
    <row r="13" spans="1:19" x14ac:dyDescent="0.25">
      <c r="A13" s="411"/>
      <c r="B13" s="412"/>
      <c r="C13" s="412"/>
      <c r="D13" s="412"/>
      <c r="E13" s="413"/>
      <c r="F13" s="412"/>
      <c r="G13" s="412"/>
      <c r="H13" s="686"/>
      <c r="I13" s="412"/>
      <c r="J13" s="412"/>
      <c r="K13" s="417"/>
      <c r="L13" s="1036" t="s">
        <v>858</v>
      </c>
      <c r="M13" s="1038" t="s">
        <v>428</v>
      </c>
      <c r="N13" s="412" t="s">
        <v>901</v>
      </c>
      <c r="O13" s="412"/>
      <c r="P13" s="412"/>
      <c r="Q13" s="412"/>
      <c r="R13" s="417"/>
      <c r="S13" s="417"/>
    </row>
    <row r="14" spans="1:19" ht="15.75" customHeight="1" x14ac:dyDescent="0.25">
      <c r="A14" s="419" t="s">
        <v>430</v>
      </c>
      <c r="B14" s="400"/>
      <c r="C14" s="400"/>
      <c r="D14" s="400"/>
      <c r="E14" s="420"/>
      <c r="F14" s="400"/>
      <c r="G14" s="400"/>
      <c r="H14" s="688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</row>
    <row r="15" spans="1:19" ht="15.75" customHeight="1" x14ac:dyDescent="0.25">
      <c r="A15" s="1710" t="s">
        <v>431</v>
      </c>
      <c r="B15" s="1714" t="s">
        <v>432</v>
      </c>
      <c r="C15" s="1710" t="s">
        <v>668</v>
      </c>
      <c r="D15" s="1710" t="s">
        <v>434</v>
      </c>
      <c r="E15" s="1723" t="s">
        <v>435</v>
      </c>
      <c r="F15" s="1710" t="s">
        <v>436</v>
      </c>
      <c r="G15" s="1585" t="s">
        <v>437</v>
      </c>
      <c r="H15" s="1600"/>
      <c r="I15" s="1601"/>
      <c r="J15" s="1588" t="s">
        <v>438</v>
      </c>
      <c r="K15" s="1590"/>
      <c r="L15" s="1710" t="s">
        <v>439</v>
      </c>
      <c r="M15" s="1588" t="s">
        <v>440</v>
      </c>
      <c r="N15" s="1589"/>
      <c r="O15" s="1589"/>
      <c r="P15" s="1589"/>
      <c r="Q15" s="1589"/>
      <c r="R15" s="1589"/>
      <c r="S15" s="1590"/>
    </row>
    <row r="16" spans="1:19" ht="14.25" customHeight="1" x14ac:dyDescent="0.25">
      <c r="A16" s="1660"/>
      <c r="B16" s="1722"/>
      <c r="C16" s="1660"/>
      <c r="D16" s="1660"/>
      <c r="E16" s="1724"/>
      <c r="F16" s="1660"/>
      <c r="G16" s="1587"/>
      <c r="H16" s="1602"/>
      <c r="I16" s="1603"/>
      <c r="J16" s="1710" t="s">
        <v>441</v>
      </c>
      <c r="K16" s="1710" t="s">
        <v>442</v>
      </c>
      <c r="L16" s="1660"/>
      <c r="M16" s="1711" t="s">
        <v>443</v>
      </c>
      <c r="N16" s="1712"/>
      <c r="O16" s="1713"/>
      <c r="P16" s="1711" t="s">
        <v>444</v>
      </c>
      <c r="Q16" s="1712"/>
      <c r="R16" s="1713"/>
      <c r="S16" s="1714" t="s">
        <v>445</v>
      </c>
    </row>
    <row r="17" spans="1:19" ht="47.25" customHeight="1" x14ac:dyDescent="0.25">
      <c r="A17" s="1661"/>
      <c r="B17" s="1715"/>
      <c r="C17" s="1661"/>
      <c r="D17" s="1661"/>
      <c r="E17" s="1675"/>
      <c r="F17" s="1661"/>
      <c r="G17" s="778" t="s">
        <v>447</v>
      </c>
      <c r="H17" s="1039" t="s">
        <v>448</v>
      </c>
      <c r="I17" s="779" t="s">
        <v>449</v>
      </c>
      <c r="J17" s="1661"/>
      <c r="K17" s="1661"/>
      <c r="L17" s="1661"/>
      <c r="M17" s="1517" t="s">
        <v>450</v>
      </c>
      <c r="N17" s="1517" t="s">
        <v>451</v>
      </c>
      <c r="O17" s="1517" t="s">
        <v>452</v>
      </c>
      <c r="P17" s="1517" t="s">
        <v>450</v>
      </c>
      <c r="Q17" s="1517" t="s">
        <v>453</v>
      </c>
      <c r="R17" s="1517" t="s">
        <v>452</v>
      </c>
      <c r="S17" s="1715"/>
    </row>
    <row r="18" spans="1:19" x14ac:dyDescent="0.25">
      <c r="B18" s="422">
        <v>1</v>
      </c>
      <c r="C18" s="422">
        <v>2</v>
      </c>
      <c r="D18" s="422">
        <v>3</v>
      </c>
      <c r="E18" s="422">
        <v>4</v>
      </c>
      <c r="F18" s="422">
        <v>5</v>
      </c>
      <c r="G18" s="422">
        <v>6</v>
      </c>
      <c r="H18" s="422">
        <v>7</v>
      </c>
      <c r="I18" s="422">
        <v>8</v>
      </c>
      <c r="J18" s="422">
        <v>9</v>
      </c>
      <c r="K18" s="422">
        <v>10</v>
      </c>
      <c r="L18" s="422">
        <v>11</v>
      </c>
      <c r="M18" s="422">
        <v>12</v>
      </c>
      <c r="N18" s="422">
        <v>13</v>
      </c>
      <c r="O18" s="422">
        <v>14</v>
      </c>
      <c r="P18" s="422">
        <v>15</v>
      </c>
      <c r="Q18" s="422">
        <v>16</v>
      </c>
      <c r="R18" s="422">
        <v>17</v>
      </c>
      <c r="S18" s="400"/>
    </row>
    <row r="19" spans="1:19" ht="16.5" customHeight="1" x14ac:dyDescent="0.25">
      <c r="A19" s="424"/>
      <c r="B19" s="425" t="s">
        <v>470</v>
      </c>
      <c r="C19" s="424"/>
      <c r="D19" s="427"/>
      <c r="E19" s="427"/>
      <c r="F19" s="427"/>
      <c r="G19" s="427">
        <f>SUM(G20+G67+G170+G119)</f>
        <v>197205.85</v>
      </c>
      <c r="H19" s="427">
        <f>SUM(H20+H67+H170+H119)</f>
        <v>16344.22</v>
      </c>
      <c r="I19" s="427">
        <f>SUM(I20+I67+I170+I119)</f>
        <v>180861.12999999998</v>
      </c>
      <c r="J19" s="427"/>
      <c r="K19" s="427"/>
      <c r="L19" s="427"/>
      <c r="M19" s="427">
        <f>SUM(M20+M67+M170+M119)</f>
        <v>3078.5268000000005</v>
      </c>
      <c r="N19" s="427"/>
      <c r="O19" s="427">
        <f>SUM(O20+O67+O170+O119)</f>
        <v>23151383.5</v>
      </c>
      <c r="P19" s="427">
        <f>SUM(P20+P67+P170+P119)</f>
        <v>142802.54020999995</v>
      </c>
      <c r="Q19" s="427"/>
      <c r="R19" s="427">
        <f>SUM(R20+R67+R170+R119)</f>
        <v>1913004312.7750001</v>
      </c>
      <c r="S19" s="427">
        <f>SUM(S20+S67+S170+S119)</f>
        <v>1936155696.2750001</v>
      </c>
    </row>
    <row r="20" spans="1:19" s="1093" customFormat="1" ht="16.5" customHeight="1" x14ac:dyDescent="0.25">
      <c r="A20" s="1089"/>
      <c r="B20" s="1090" t="s">
        <v>210</v>
      </c>
      <c r="C20" s="1090"/>
      <c r="D20" s="1091"/>
      <c r="E20" s="1091"/>
      <c r="F20" s="1090"/>
      <c r="G20" s="1092">
        <f>SUM(G21+G42)</f>
        <v>14802.420000000002</v>
      </c>
      <c r="H20" s="1092">
        <f>SUM(H21+H42)</f>
        <v>52</v>
      </c>
      <c r="I20" s="1092">
        <f>SUM(I21+I42)</f>
        <v>14749.920000000002</v>
      </c>
      <c r="J20" s="1091"/>
      <c r="K20" s="1091"/>
      <c r="L20" s="1091"/>
      <c r="M20" s="1092">
        <f>SUM(M21+M42)</f>
        <v>0</v>
      </c>
      <c r="N20" s="1092"/>
      <c r="O20" s="1092">
        <f>SUM(O21+O42)</f>
        <v>18200</v>
      </c>
      <c r="P20" s="1092">
        <f>SUM(P21+P42)</f>
        <v>7065.8059599999997</v>
      </c>
      <c r="Q20" s="1092"/>
      <c r="R20" s="1092">
        <f>SUM(R21+R42)</f>
        <v>120234451.31999999</v>
      </c>
      <c r="S20" s="1092">
        <f>SUM(S21+S42)</f>
        <v>120252651.31999999</v>
      </c>
    </row>
    <row r="21" spans="1:19" ht="16.5" customHeight="1" x14ac:dyDescent="0.25">
      <c r="A21" s="461"/>
      <c r="B21" s="464" t="s">
        <v>471</v>
      </c>
      <c r="C21" s="464"/>
      <c r="D21" s="691"/>
      <c r="E21" s="691"/>
      <c r="F21" s="464"/>
      <c r="G21" s="419">
        <f>SUM(G23:G41)</f>
        <v>7582.8000000000011</v>
      </c>
      <c r="H21" s="419">
        <f>SUM(H33:H41)</f>
        <v>0</v>
      </c>
      <c r="I21" s="419">
        <f>SUM(I23:I41)</f>
        <v>7582.3000000000011</v>
      </c>
      <c r="J21" s="691"/>
      <c r="K21" s="691"/>
      <c r="L21" s="691"/>
      <c r="M21" s="419">
        <f>SUM(M33:M41)</f>
        <v>0</v>
      </c>
      <c r="N21" s="419"/>
      <c r="O21" s="419">
        <f>SUM(O33:O41)</f>
        <v>0</v>
      </c>
      <c r="P21" s="419">
        <f>SUM(P23:P41)</f>
        <v>3512.9199000000003</v>
      </c>
      <c r="Q21" s="419"/>
      <c r="R21" s="419">
        <f>SUM(R23:R41)</f>
        <v>59835388.300000004</v>
      </c>
      <c r="S21" s="419">
        <f>SUM(S23:S41)</f>
        <v>59835388.300000004</v>
      </c>
    </row>
    <row r="22" spans="1:19" s="515" customFormat="1" ht="16.5" customHeight="1" x14ac:dyDescent="0.25">
      <c r="A22" s="747"/>
      <c r="B22" s="443" t="s">
        <v>590</v>
      </c>
      <c r="C22" s="750"/>
      <c r="D22" s="1072"/>
      <c r="E22" s="1072">
        <f>SUM(E23:E25)</f>
        <v>1881</v>
      </c>
      <c r="F22" s="1072">
        <f t="shared" ref="F22:S22" si="0">SUM(F23:F25)</f>
        <v>0</v>
      </c>
      <c r="G22" s="1072">
        <f t="shared" si="0"/>
        <v>650</v>
      </c>
      <c r="H22" s="1072">
        <f t="shared" si="0"/>
        <v>0.5</v>
      </c>
      <c r="I22" s="1072">
        <f t="shared" si="0"/>
        <v>649.5</v>
      </c>
      <c r="J22" s="1072">
        <f t="shared" si="0"/>
        <v>13.89</v>
      </c>
      <c r="K22" s="1072">
        <f t="shared" si="0"/>
        <v>8.3339999999999996</v>
      </c>
      <c r="L22" s="1072">
        <f t="shared" si="0"/>
        <v>1.2000000000000002</v>
      </c>
      <c r="M22" s="1072">
        <f t="shared" si="0"/>
        <v>0</v>
      </c>
      <c r="N22" s="1072">
        <f t="shared" si="0"/>
        <v>0</v>
      </c>
      <c r="O22" s="1072">
        <f t="shared" si="0"/>
        <v>0</v>
      </c>
      <c r="P22" s="1072">
        <f t="shared" si="0"/>
        <v>303.0335</v>
      </c>
      <c r="Q22" s="1072">
        <f t="shared" si="0"/>
        <v>51</v>
      </c>
      <c r="R22" s="1072">
        <f t="shared" si="0"/>
        <v>5151569.5</v>
      </c>
      <c r="S22" s="1072">
        <f t="shared" si="0"/>
        <v>5151569.5</v>
      </c>
    </row>
    <row r="23" spans="1:19" ht="16.5" customHeight="1" x14ac:dyDescent="0.25">
      <c r="A23" s="422"/>
      <c r="C23" s="443"/>
      <c r="D23" s="422"/>
      <c r="E23" s="422">
        <v>1881</v>
      </c>
      <c r="F23" s="443" t="s">
        <v>586</v>
      </c>
      <c r="G23" s="400">
        <f t="shared" ref="G23:G41" si="1">H23+I23</f>
        <v>499.5</v>
      </c>
      <c r="H23" s="690"/>
      <c r="I23" s="422">
        <v>499.5</v>
      </c>
      <c r="J23" s="422">
        <v>4.63</v>
      </c>
      <c r="K23" s="422">
        <f>J23-(J23*L23)</f>
        <v>4.1669999999999998</v>
      </c>
      <c r="L23" s="422">
        <v>0.1</v>
      </c>
      <c r="M23" s="400"/>
      <c r="N23" s="400"/>
      <c r="O23" s="400"/>
      <c r="P23" s="422">
        <f>I23*J23*L23</f>
        <v>231.26850000000002</v>
      </c>
      <c r="Q23" s="400">
        <v>17</v>
      </c>
      <c r="R23" s="400">
        <f t="shared" ref="R23:R41" si="2">P23*Q23*1000</f>
        <v>3931564.5000000005</v>
      </c>
      <c r="S23" s="400">
        <f t="shared" ref="S23:S41" si="3">R23</f>
        <v>3931564.5000000005</v>
      </c>
    </row>
    <row r="24" spans="1:19" ht="16.5" customHeight="1" x14ac:dyDescent="0.25">
      <c r="A24" s="422"/>
      <c r="B24" s="443"/>
      <c r="C24" s="443"/>
      <c r="D24" s="422"/>
      <c r="E24" s="422"/>
      <c r="F24" s="443" t="s">
        <v>586</v>
      </c>
      <c r="G24" s="400">
        <f t="shared" si="1"/>
        <v>0.5</v>
      </c>
      <c r="H24" s="690">
        <v>0.5</v>
      </c>
      <c r="I24" s="422"/>
      <c r="J24" s="422">
        <v>4.63</v>
      </c>
      <c r="K24" s="422"/>
      <c r="L24" s="422">
        <v>1</v>
      </c>
      <c r="M24" s="400"/>
      <c r="N24" s="400"/>
      <c r="O24" s="400"/>
      <c r="P24" s="422">
        <f>H24*J24*L24</f>
        <v>2.3149999999999999</v>
      </c>
      <c r="Q24" s="400">
        <v>17</v>
      </c>
      <c r="R24" s="400">
        <f t="shared" si="2"/>
        <v>39355</v>
      </c>
      <c r="S24" s="400">
        <f t="shared" si="3"/>
        <v>39355</v>
      </c>
    </row>
    <row r="25" spans="1:19" ht="16.5" customHeight="1" x14ac:dyDescent="0.25">
      <c r="A25" s="422"/>
      <c r="B25" s="443"/>
      <c r="C25" s="443"/>
      <c r="D25" s="422"/>
      <c r="E25" s="422"/>
      <c r="F25" s="443" t="s">
        <v>474</v>
      </c>
      <c r="G25" s="400">
        <f t="shared" si="1"/>
        <v>150</v>
      </c>
      <c r="H25" s="690"/>
      <c r="I25" s="422">
        <v>150</v>
      </c>
      <c r="J25" s="422">
        <v>4.63</v>
      </c>
      <c r="K25" s="422">
        <f t="shared" ref="K25:K41" si="4">J25-(J25*L25)</f>
        <v>4.1669999999999998</v>
      </c>
      <c r="L25" s="422">
        <v>0.1</v>
      </c>
      <c r="M25" s="400"/>
      <c r="N25" s="400"/>
      <c r="O25" s="400"/>
      <c r="P25" s="422">
        <f t="shared" ref="P25:P41" si="5">I25*J25*L25</f>
        <v>69.45</v>
      </c>
      <c r="Q25" s="400">
        <v>17</v>
      </c>
      <c r="R25" s="400">
        <f t="shared" si="2"/>
        <v>1180650</v>
      </c>
      <c r="S25" s="400">
        <f t="shared" si="3"/>
        <v>1180650</v>
      </c>
    </row>
    <row r="26" spans="1:19" ht="16.5" customHeight="1" x14ac:dyDescent="0.25">
      <c r="A26" s="422"/>
      <c r="B26" s="443" t="s">
        <v>595</v>
      </c>
      <c r="C26" s="443"/>
      <c r="D26" s="422"/>
      <c r="E26" s="422">
        <v>1872</v>
      </c>
      <c r="F26" s="443" t="s">
        <v>474</v>
      </c>
      <c r="G26" s="400">
        <f t="shared" si="1"/>
        <v>733</v>
      </c>
      <c r="H26" s="690"/>
      <c r="I26" s="422">
        <v>733</v>
      </c>
      <c r="J26" s="422">
        <v>4.63</v>
      </c>
      <c r="K26" s="422">
        <f t="shared" si="4"/>
        <v>4.1669999999999998</v>
      </c>
      <c r="L26" s="422">
        <v>0.1</v>
      </c>
      <c r="M26" s="400"/>
      <c r="N26" s="400"/>
      <c r="O26" s="400"/>
      <c r="P26" s="422">
        <f t="shared" si="5"/>
        <v>339.37900000000002</v>
      </c>
      <c r="Q26" s="400">
        <v>17</v>
      </c>
      <c r="R26" s="400">
        <f t="shared" si="2"/>
        <v>5769443</v>
      </c>
      <c r="S26" s="400">
        <f t="shared" si="3"/>
        <v>5769443</v>
      </c>
    </row>
    <row r="27" spans="1:19" s="515" customFormat="1" ht="16.5" customHeight="1" x14ac:dyDescent="0.25">
      <c r="A27" s="751"/>
      <c r="B27" s="443" t="s">
        <v>596</v>
      </c>
      <c r="C27" s="748"/>
      <c r="D27" s="751"/>
      <c r="E27" s="751">
        <f>SUM(E28:E29)</f>
        <v>0</v>
      </c>
      <c r="F27" s="751">
        <f t="shared" ref="F27:S27" si="6">SUM(F28:F29)</f>
        <v>0</v>
      </c>
      <c r="G27" s="751">
        <f t="shared" si="6"/>
        <v>185</v>
      </c>
      <c r="H27" s="751">
        <f t="shared" si="6"/>
        <v>0</v>
      </c>
      <c r="I27" s="751">
        <f t="shared" si="6"/>
        <v>185</v>
      </c>
      <c r="J27" s="751">
        <f t="shared" si="6"/>
        <v>9.26</v>
      </c>
      <c r="K27" s="751">
        <f t="shared" si="6"/>
        <v>8.3339999999999996</v>
      </c>
      <c r="L27" s="751">
        <f t="shared" si="6"/>
        <v>0.2</v>
      </c>
      <c r="M27" s="751">
        <f t="shared" si="6"/>
        <v>0</v>
      </c>
      <c r="N27" s="751">
        <f t="shared" si="6"/>
        <v>0</v>
      </c>
      <c r="O27" s="751">
        <f t="shared" si="6"/>
        <v>0</v>
      </c>
      <c r="P27" s="751">
        <f t="shared" si="6"/>
        <v>85.655000000000001</v>
      </c>
      <c r="Q27" s="751">
        <f t="shared" si="6"/>
        <v>35</v>
      </c>
      <c r="R27" s="751">
        <f t="shared" si="6"/>
        <v>1514010</v>
      </c>
      <c r="S27" s="751">
        <f t="shared" si="6"/>
        <v>1514010</v>
      </c>
    </row>
    <row r="28" spans="1:19" ht="16.5" customHeight="1" x14ac:dyDescent="0.25">
      <c r="A28" s="422"/>
      <c r="C28" s="443"/>
      <c r="D28" s="422"/>
      <c r="E28" s="422"/>
      <c r="F28" s="443" t="s">
        <v>586</v>
      </c>
      <c r="G28" s="400">
        <f t="shared" si="1"/>
        <v>60</v>
      </c>
      <c r="H28" s="690"/>
      <c r="I28" s="422">
        <v>60</v>
      </c>
      <c r="J28" s="422">
        <v>4.63</v>
      </c>
      <c r="K28" s="422">
        <f t="shared" si="4"/>
        <v>4.1669999999999998</v>
      </c>
      <c r="L28" s="422">
        <v>0.1</v>
      </c>
      <c r="M28" s="400"/>
      <c r="N28" s="400"/>
      <c r="O28" s="400"/>
      <c r="P28" s="422">
        <f t="shared" si="5"/>
        <v>27.78</v>
      </c>
      <c r="Q28" s="400">
        <v>17</v>
      </c>
      <c r="R28" s="400">
        <f t="shared" si="2"/>
        <v>472260</v>
      </c>
      <c r="S28" s="400">
        <f t="shared" si="3"/>
        <v>472260</v>
      </c>
    </row>
    <row r="29" spans="1:19" ht="16.5" customHeight="1" x14ac:dyDescent="0.25">
      <c r="A29" s="422"/>
      <c r="B29" s="443"/>
      <c r="C29" s="443"/>
      <c r="D29" s="422"/>
      <c r="E29" s="422"/>
      <c r="F29" s="443" t="s">
        <v>474</v>
      </c>
      <c r="G29" s="400">
        <f t="shared" si="1"/>
        <v>125</v>
      </c>
      <c r="H29" s="690"/>
      <c r="I29" s="422">
        <v>125</v>
      </c>
      <c r="J29" s="422">
        <v>4.63</v>
      </c>
      <c r="K29" s="422">
        <f t="shared" si="4"/>
        <v>4.1669999999999998</v>
      </c>
      <c r="L29" s="422">
        <v>0.1</v>
      </c>
      <c r="M29" s="400"/>
      <c r="N29" s="400"/>
      <c r="O29" s="400"/>
      <c r="P29" s="422">
        <f t="shared" si="5"/>
        <v>57.875</v>
      </c>
      <c r="Q29" s="400">
        <v>18</v>
      </c>
      <c r="R29" s="400">
        <f t="shared" si="2"/>
        <v>1041750</v>
      </c>
      <c r="S29" s="400">
        <f t="shared" si="3"/>
        <v>1041750</v>
      </c>
    </row>
    <row r="30" spans="1:19" ht="16.5" customHeight="1" x14ac:dyDescent="0.25">
      <c r="A30" s="422"/>
      <c r="B30" s="443" t="s">
        <v>597</v>
      </c>
      <c r="C30" s="443"/>
      <c r="D30" s="422"/>
      <c r="E30" s="422">
        <v>600</v>
      </c>
      <c r="F30" s="443" t="s">
        <v>586</v>
      </c>
      <c r="G30" s="400">
        <f t="shared" si="1"/>
        <v>563</v>
      </c>
      <c r="H30" s="690"/>
      <c r="I30" s="422">
        <v>563</v>
      </c>
      <c r="J30" s="422">
        <v>4.63</v>
      </c>
      <c r="K30" s="422">
        <f t="shared" si="4"/>
        <v>4.1669999999999998</v>
      </c>
      <c r="L30" s="422">
        <v>0.1</v>
      </c>
      <c r="M30" s="400"/>
      <c r="N30" s="400"/>
      <c r="O30" s="400"/>
      <c r="P30" s="422">
        <f t="shared" si="5"/>
        <v>260.66900000000004</v>
      </c>
      <c r="Q30" s="400">
        <v>17</v>
      </c>
      <c r="R30" s="400">
        <f t="shared" si="2"/>
        <v>4431373.0000000009</v>
      </c>
      <c r="S30" s="400">
        <f t="shared" si="3"/>
        <v>4431373.0000000009</v>
      </c>
    </row>
    <row r="31" spans="1:19" ht="16.5" customHeight="1" x14ac:dyDescent="0.25">
      <c r="A31" s="422"/>
      <c r="B31" s="443" t="s">
        <v>700</v>
      </c>
      <c r="C31" s="443"/>
      <c r="D31" s="422"/>
      <c r="E31" s="422">
        <v>1688</v>
      </c>
      <c r="F31" s="443" t="s">
        <v>474</v>
      </c>
      <c r="G31" s="400">
        <f t="shared" si="1"/>
        <v>725</v>
      </c>
      <c r="H31" s="690"/>
      <c r="I31" s="422">
        <v>725</v>
      </c>
      <c r="J31" s="422">
        <v>4.63</v>
      </c>
      <c r="K31" s="422">
        <f t="shared" si="4"/>
        <v>4.1669999999999998</v>
      </c>
      <c r="L31" s="422">
        <v>0.1</v>
      </c>
      <c r="M31" s="400"/>
      <c r="N31" s="400"/>
      <c r="O31" s="400"/>
      <c r="P31" s="422">
        <f t="shared" si="5"/>
        <v>335.67500000000001</v>
      </c>
      <c r="Q31" s="400">
        <v>17</v>
      </c>
      <c r="R31" s="400">
        <f t="shared" si="2"/>
        <v>5706475</v>
      </c>
      <c r="S31" s="400">
        <f t="shared" si="3"/>
        <v>5706475</v>
      </c>
    </row>
    <row r="32" spans="1:19" s="515" customFormat="1" ht="16.5" customHeight="1" x14ac:dyDescent="0.25">
      <c r="A32" s="751"/>
      <c r="B32" s="443" t="s">
        <v>592</v>
      </c>
      <c r="C32" s="748"/>
      <c r="D32" s="751"/>
      <c r="E32" s="751">
        <f>SUM(E33:E34)</f>
        <v>1061</v>
      </c>
      <c r="F32" s="751">
        <f t="shared" ref="F32:S32" si="7">SUM(F33:F34)</f>
        <v>0</v>
      </c>
      <c r="G32" s="751">
        <f t="shared" si="7"/>
        <v>485.3</v>
      </c>
      <c r="H32" s="751">
        <f t="shared" si="7"/>
        <v>0</v>
      </c>
      <c r="I32" s="751">
        <f t="shared" si="7"/>
        <v>485.3</v>
      </c>
      <c r="J32" s="751">
        <f t="shared" si="7"/>
        <v>9.26</v>
      </c>
      <c r="K32" s="751">
        <f t="shared" si="7"/>
        <v>8.3339999999999996</v>
      </c>
      <c r="L32" s="751">
        <f t="shared" si="7"/>
        <v>0.2</v>
      </c>
      <c r="M32" s="751">
        <f t="shared" si="7"/>
        <v>0</v>
      </c>
      <c r="N32" s="751">
        <f t="shared" si="7"/>
        <v>0</v>
      </c>
      <c r="O32" s="751">
        <f t="shared" si="7"/>
        <v>0</v>
      </c>
      <c r="P32" s="751">
        <f t="shared" si="7"/>
        <v>224.69390000000001</v>
      </c>
      <c r="Q32" s="751">
        <f t="shared" si="7"/>
        <v>34</v>
      </c>
      <c r="R32" s="751">
        <f t="shared" si="7"/>
        <v>3819796.3</v>
      </c>
      <c r="S32" s="751">
        <f t="shared" si="7"/>
        <v>3819796.3</v>
      </c>
    </row>
    <row r="33" spans="1:19" ht="16.5" customHeight="1" x14ac:dyDescent="0.25">
      <c r="A33" s="422"/>
      <c r="C33" s="443"/>
      <c r="D33" s="422"/>
      <c r="E33" s="422">
        <v>1061</v>
      </c>
      <c r="F33" s="443" t="s">
        <v>474</v>
      </c>
      <c r="G33" s="400">
        <f t="shared" si="1"/>
        <v>92.3</v>
      </c>
      <c r="H33" s="690"/>
      <c r="I33" s="422">
        <v>92.3</v>
      </c>
      <c r="J33" s="422">
        <v>4.63</v>
      </c>
      <c r="K33" s="422">
        <f t="shared" si="4"/>
        <v>4.1669999999999998</v>
      </c>
      <c r="L33" s="422">
        <v>0.1</v>
      </c>
      <c r="M33" s="400"/>
      <c r="N33" s="400"/>
      <c r="O33" s="400"/>
      <c r="P33" s="422">
        <f t="shared" si="5"/>
        <v>42.734900000000003</v>
      </c>
      <c r="Q33" s="400">
        <v>17</v>
      </c>
      <c r="R33" s="400">
        <f t="shared" si="2"/>
        <v>726493.3</v>
      </c>
      <c r="S33" s="400">
        <f t="shared" si="3"/>
        <v>726493.3</v>
      </c>
    </row>
    <row r="34" spans="1:19" ht="16.5" customHeight="1" x14ac:dyDescent="0.25">
      <c r="A34" s="422"/>
      <c r="B34" s="443"/>
      <c r="C34" s="443"/>
      <c r="D34" s="422"/>
      <c r="E34" s="422"/>
      <c r="F34" s="443" t="s">
        <v>586</v>
      </c>
      <c r="G34" s="400">
        <f t="shared" si="1"/>
        <v>393</v>
      </c>
      <c r="H34" s="690"/>
      <c r="I34" s="422">
        <v>393</v>
      </c>
      <c r="J34" s="422">
        <v>4.63</v>
      </c>
      <c r="K34" s="422">
        <f t="shared" si="4"/>
        <v>4.1669999999999998</v>
      </c>
      <c r="L34" s="422">
        <v>0.1</v>
      </c>
      <c r="M34" s="400"/>
      <c r="N34" s="400"/>
      <c r="O34" s="400"/>
      <c r="P34" s="422">
        <f t="shared" si="5"/>
        <v>181.959</v>
      </c>
      <c r="Q34" s="400">
        <v>17</v>
      </c>
      <c r="R34" s="400">
        <f t="shared" si="2"/>
        <v>3093303</v>
      </c>
      <c r="S34" s="400">
        <f t="shared" si="3"/>
        <v>3093303</v>
      </c>
    </row>
    <row r="35" spans="1:19" ht="16.5" customHeight="1" x14ac:dyDescent="0.25">
      <c r="A35" s="422"/>
      <c r="B35" s="443" t="s">
        <v>472</v>
      </c>
      <c r="C35" s="443"/>
      <c r="D35" s="422"/>
      <c r="E35" s="422">
        <v>1916</v>
      </c>
      <c r="F35" s="443" t="s">
        <v>474</v>
      </c>
      <c r="G35" s="400">
        <f t="shared" si="1"/>
        <v>1150</v>
      </c>
      <c r="H35" s="690"/>
      <c r="I35" s="422">
        <v>1150</v>
      </c>
      <c r="J35" s="422">
        <v>4.63</v>
      </c>
      <c r="K35" s="422">
        <f>J35-(J35*L35)</f>
        <v>4.1669999999999998</v>
      </c>
      <c r="L35" s="422">
        <v>0.1</v>
      </c>
      <c r="M35" s="400"/>
      <c r="N35" s="400"/>
      <c r="O35" s="400"/>
      <c r="P35" s="422">
        <f>I35*J35*L35</f>
        <v>532.45000000000005</v>
      </c>
      <c r="Q35" s="400">
        <v>17</v>
      </c>
      <c r="R35" s="400">
        <f>P35*Q35*1000</f>
        <v>9051650.0000000019</v>
      </c>
      <c r="S35" s="400">
        <f>R35</f>
        <v>9051650.0000000019</v>
      </c>
    </row>
    <row r="36" spans="1:19" s="515" customFormat="1" ht="16.5" customHeight="1" x14ac:dyDescent="0.25">
      <c r="A36" s="751"/>
      <c r="B36" s="443" t="s">
        <v>593</v>
      </c>
      <c r="C36" s="748"/>
      <c r="D36" s="751"/>
      <c r="E36" s="751">
        <f>SUM(E37:E38)</f>
        <v>1916</v>
      </c>
      <c r="F36" s="751">
        <f t="shared" ref="F36:S36" si="8">SUM(F37:F38)</f>
        <v>0</v>
      </c>
      <c r="G36" s="751">
        <f t="shared" si="8"/>
        <v>300</v>
      </c>
      <c r="H36" s="751">
        <f t="shared" si="8"/>
        <v>0</v>
      </c>
      <c r="I36" s="751">
        <f t="shared" si="8"/>
        <v>300</v>
      </c>
      <c r="J36" s="751">
        <f t="shared" si="8"/>
        <v>9.26</v>
      </c>
      <c r="K36" s="751">
        <f t="shared" si="8"/>
        <v>8.3339999999999996</v>
      </c>
      <c r="L36" s="751">
        <f t="shared" si="8"/>
        <v>0.2</v>
      </c>
      <c r="M36" s="751">
        <f t="shared" si="8"/>
        <v>0</v>
      </c>
      <c r="N36" s="751">
        <f t="shared" si="8"/>
        <v>0</v>
      </c>
      <c r="O36" s="751">
        <f t="shared" si="8"/>
        <v>0</v>
      </c>
      <c r="P36" s="751">
        <f t="shared" si="8"/>
        <v>138.9</v>
      </c>
      <c r="Q36" s="751">
        <f t="shared" si="8"/>
        <v>34</v>
      </c>
      <c r="R36" s="751">
        <f t="shared" si="8"/>
        <v>2361300</v>
      </c>
      <c r="S36" s="751">
        <f t="shared" si="8"/>
        <v>2361300</v>
      </c>
    </row>
    <row r="37" spans="1:19" ht="16.5" customHeight="1" x14ac:dyDescent="0.25">
      <c r="A37" s="422"/>
      <c r="C37" s="443"/>
      <c r="D37" s="422"/>
      <c r="E37" s="422">
        <v>1916</v>
      </c>
      <c r="F37" s="443" t="s">
        <v>474</v>
      </c>
      <c r="G37" s="400">
        <f t="shared" si="1"/>
        <v>241</v>
      </c>
      <c r="H37" s="1040"/>
      <c r="I37" s="422">
        <v>241</v>
      </c>
      <c r="J37" s="422">
        <v>4.63</v>
      </c>
      <c r="K37" s="422">
        <f>J37-(J37*L37)</f>
        <v>4.1669999999999998</v>
      </c>
      <c r="L37" s="422">
        <v>0.1</v>
      </c>
      <c r="M37" s="400"/>
      <c r="N37" s="400"/>
      <c r="O37" s="400"/>
      <c r="P37" s="422">
        <f t="shared" ref="P37:P38" si="9">I37*J37*L37</f>
        <v>111.583</v>
      </c>
      <c r="Q37" s="400">
        <v>17</v>
      </c>
      <c r="R37" s="400">
        <f>P37*Q37*1000</f>
        <v>1896911</v>
      </c>
      <c r="S37" s="400">
        <f>R37</f>
        <v>1896911</v>
      </c>
    </row>
    <row r="38" spans="1:19" ht="16.5" customHeight="1" x14ac:dyDescent="0.25">
      <c r="A38" s="422"/>
      <c r="B38" s="443"/>
      <c r="C38" s="443"/>
      <c r="D38" s="422"/>
      <c r="E38" s="422"/>
      <c r="F38" s="443" t="s">
        <v>586</v>
      </c>
      <c r="G38" s="400">
        <f t="shared" si="1"/>
        <v>59</v>
      </c>
      <c r="H38" s="690"/>
      <c r="I38" s="422">
        <v>59</v>
      </c>
      <c r="J38" s="422">
        <v>4.63</v>
      </c>
      <c r="K38" s="422">
        <f>J38-(J38*L38)</f>
        <v>4.1669999999999998</v>
      </c>
      <c r="L38" s="422">
        <v>0.1</v>
      </c>
      <c r="M38" s="400"/>
      <c r="N38" s="400"/>
      <c r="O38" s="400"/>
      <c r="P38" s="422">
        <f t="shared" si="9"/>
        <v>27.317000000000004</v>
      </c>
      <c r="Q38" s="400">
        <v>17</v>
      </c>
      <c r="R38" s="400">
        <f>P38*Q38*1000</f>
        <v>464389.00000000006</v>
      </c>
      <c r="S38" s="400">
        <f>R38</f>
        <v>464389.00000000006</v>
      </c>
    </row>
    <row r="39" spans="1:19" s="515" customFormat="1" ht="16.5" customHeight="1" x14ac:dyDescent="0.25">
      <c r="A39" s="751"/>
      <c r="B39" s="443" t="s">
        <v>598</v>
      </c>
      <c r="C39" s="748"/>
      <c r="D39" s="751"/>
      <c r="E39" s="751">
        <f>SUM(E40:E41)</f>
        <v>0</v>
      </c>
      <c r="F39" s="751">
        <f t="shared" ref="F39:S39" si="10">SUM(F40:F41)</f>
        <v>0</v>
      </c>
      <c r="G39" s="751">
        <f t="shared" si="10"/>
        <v>910.6</v>
      </c>
      <c r="H39" s="751">
        <f t="shared" si="10"/>
        <v>0</v>
      </c>
      <c r="I39" s="751">
        <f t="shared" si="10"/>
        <v>910.6</v>
      </c>
      <c r="J39" s="751">
        <f t="shared" si="10"/>
        <v>9.26</v>
      </c>
      <c r="K39" s="751">
        <f t="shared" si="10"/>
        <v>8.3339999999999996</v>
      </c>
      <c r="L39" s="751">
        <f t="shared" si="10"/>
        <v>0.2</v>
      </c>
      <c r="M39" s="751">
        <f t="shared" si="10"/>
        <v>0</v>
      </c>
      <c r="N39" s="751">
        <f t="shared" si="10"/>
        <v>0</v>
      </c>
      <c r="O39" s="751">
        <f t="shared" si="10"/>
        <v>0</v>
      </c>
      <c r="P39" s="751">
        <f t="shared" si="10"/>
        <v>421.60780000000005</v>
      </c>
      <c r="Q39" s="751">
        <f t="shared" si="10"/>
        <v>34</v>
      </c>
      <c r="R39" s="751">
        <f t="shared" si="10"/>
        <v>7167332.6000000015</v>
      </c>
      <c r="S39" s="751">
        <f t="shared" si="10"/>
        <v>7167332.6000000015</v>
      </c>
    </row>
    <row r="40" spans="1:19" ht="16.5" customHeight="1" x14ac:dyDescent="0.25">
      <c r="A40" s="422"/>
      <c r="C40" s="443"/>
      <c r="D40" s="422"/>
      <c r="E40" s="422"/>
      <c r="F40" s="443" t="s">
        <v>586</v>
      </c>
      <c r="G40" s="400">
        <f t="shared" si="1"/>
        <v>110</v>
      </c>
      <c r="H40" s="690"/>
      <c r="I40" s="422">
        <v>110</v>
      </c>
      <c r="J40" s="422">
        <v>4.63</v>
      </c>
      <c r="K40" s="422">
        <f t="shared" si="4"/>
        <v>4.1669999999999998</v>
      </c>
      <c r="L40" s="422">
        <v>0.1</v>
      </c>
      <c r="M40" s="400"/>
      <c r="N40" s="400"/>
      <c r="O40" s="400"/>
      <c r="P40" s="422">
        <f t="shared" si="5"/>
        <v>50.930000000000007</v>
      </c>
      <c r="Q40" s="400">
        <v>17</v>
      </c>
      <c r="R40" s="400">
        <f t="shared" si="2"/>
        <v>865810.00000000012</v>
      </c>
      <c r="S40" s="400">
        <f t="shared" si="3"/>
        <v>865810.00000000012</v>
      </c>
    </row>
    <row r="41" spans="1:19" ht="16.5" customHeight="1" x14ac:dyDescent="0.25">
      <c r="A41" s="422"/>
      <c r="B41" s="443"/>
      <c r="C41" s="443"/>
      <c r="D41" s="422"/>
      <c r="E41" s="422"/>
      <c r="F41" s="443" t="s">
        <v>474</v>
      </c>
      <c r="G41" s="400">
        <f t="shared" si="1"/>
        <v>800.6</v>
      </c>
      <c r="H41" s="690"/>
      <c r="I41" s="422">
        <v>800.6</v>
      </c>
      <c r="J41" s="422">
        <v>4.63</v>
      </c>
      <c r="K41" s="422">
        <f t="shared" si="4"/>
        <v>4.1669999999999998</v>
      </c>
      <c r="L41" s="422">
        <v>0.1</v>
      </c>
      <c r="M41" s="400"/>
      <c r="N41" s="400"/>
      <c r="O41" s="400"/>
      <c r="P41" s="422">
        <f t="shared" si="5"/>
        <v>370.67780000000005</v>
      </c>
      <c r="Q41" s="400">
        <v>17</v>
      </c>
      <c r="R41" s="400">
        <f t="shared" si="2"/>
        <v>6301522.6000000015</v>
      </c>
      <c r="S41" s="400">
        <f t="shared" si="3"/>
        <v>6301522.6000000015</v>
      </c>
    </row>
    <row r="42" spans="1:19" ht="16.5" customHeight="1" x14ac:dyDescent="0.25">
      <c r="A42" s="422"/>
      <c r="B42" s="464" t="s">
        <v>475</v>
      </c>
      <c r="C42" s="464"/>
      <c r="D42" s="691"/>
      <c r="E42" s="691"/>
      <c r="F42" s="464"/>
      <c r="G42" s="419">
        <f>SUM(G43:G66)</f>
        <v>7219.62</v>
      </c>
      <c r="H42" s="419">
        <f>SUM(H43:H66)</f>
        <v>52</v>
      </c>
      <c r="I42" s="419">
        <f>SUM(I43:I66)</f>
        <v>7167.62</v>
      </c>
      <c r="J42" s="691"/>
      <c r="K42" s="691"/>
      <c r="L42" s="691"/>
      <c r="M42" s="419">
        <f>SUM(M43:M66)</f>
        <v>0</v>
      </c>
      <c r="N42" s="419"/>
      <c r="O42" s="419">
        <f>SUM(O43:O66)</f>
        <v>18200</v>
      </c>
      <c r="P42" s="419">
        <f>SUM(P43:P66)</f>
        <v>3552.8860599999998</v>
      </c>
      <c r="Q42" s="419"/>
      <c r="R42" s="419">
        <f>SUM(R43:R66)</f>
        <v>60399063.019999996</v>
      </c>
      <c r="S42" s="419">
        <f>SUM(S43:S66)</f>
        <v>60417263.019999996</v>
      </c>
    </row>
    <row r="43" spans="1:19" ht="16.5" customHeight="1" x14ac:dyDescent="0.25">
      <c r="A43" s="422"/>
      <c r="B43" s="443" t="s">
        <v>599</v>
      </c>
      <c r="C43" s="443"/>
      <c r="D43" s="422"/>
      <c r="E43" s="422">
        <v>1487</v>
      </c>
      <c r="F43" s="443" t="s">
        <v>586</v>
      </c>
      <c r="G43" s="400">
        <f t="shared" ref="G43:G66" si="11">H43+I43</f>
        <v>894.3</v>
      </c>
      <c r="H43" s="1041"/>
      <c r="I43" s="422">
        <v>894.3</v>
      </c>
      <c r="J43" s="422">
        <v>4.63</v>
      </c>
      <c r="K43" s="422">
        <f t="shared" ref="K43:K66" si="12">J43-(J43*L43)</f>
        <v>4.1669999999999998</v>
      </c>
      <c r="L43" s="422">
        <v>0.1</v>
      </c>
      <c r="M43" s="400"/>
      <c r="N43" s="400"/>
      <c r="O43" s="400"/>
      <c r="P43" s="422">
        <f>I43*J43*L43</f>
        <v>414.06089999999995</v>
      </c>
      <c r="Q43" s="400">
        <v>17</v>
      </c>
      <c r="R43" s="400">
        <f>P43*Q43*1000</f>
        <v>7039035.2999999998</v>
      </c>
      <c r="S43" s="400">
        <f>R43</f>
        <v>7039035.2999999998</v>
      </c>
    </row>
    <row r="44" spans="1:19" ht="16.5" customHeight="1" x14ac:dyDescent="0.25">
      <c r="A44" s="422"/>
      <c r="B44" s="443" t="s">
        <v>608</v>
      </c>
      <c r="C44" s="443"/>
      <c r="D44" s="422"/>
      <c r="E44" s="422"/>
      <c r="F44" s="443" t="s">
        <v>474</v>
      </c>
      <c r="G44" s="400">
        <f>H44+I44</f>
        <v>275</v>
      </c>
      <c r="H44" s="1041"/>
      <c r="I44" s="422">
        <v>275</v>
      </c>
      <c r="J44" s="422">
        <v>4.63</v>
      </c>
      <c r="K44" s="422">
        <f>J44-(J44*L44)</f>
        <v>4.1669999999999998</v>
      </c>
      <c r="L44" s="422">
        <v>0.1</v>
      </c>
      <c r="M44" s="400"/>
      <c r="N44" s="400"/>
      <c r="O44" s="400"/>
      <c r="P44" s="422">
        <f>I44*J44*L44</f>
        <v>127.325</v>
      </c>
      <c r="Q44" s="400">
        <v>17</v>
      </c>
      <c r="R44" s="400">
        <f>P44*Q44*1000</f>
        <v>2164525</v>
      </c>
      <c r="S44" s="400">
        <f>R44</f>
        <v>2164525</v>
      </c>
    </row>
    <row r="45" spans="1:19" s="515" customFormat="1" ht="16.5" customHeight="1" x14ac:dyDescent="0.25">
      <c r="A45" s="751"/>
      <c r="B45" s="443" t="s">
        <v>605</v>
      </c>
      <c r="C45" s="748"/>
      <c r="D45" s="751"/>
      <c r="E45" s="751">
        <f>SUM(E46:E47)</f>
        <v>746</v>
      </c>
      <c r="F45" s="751">
        <f t="shared" ref="F45:S45" si="13">SUM(F46:F47)</f>
        <v>0</v>
      </c>
      <c r="G45" s="751">
        <f t="shared" si="13"/>
        <v>588</v>
      </c>
      <c r="H45" s="751">
        <f t="shared" si="13"/>
        <v>0</v>
      </c>
      <c r="I45" s="751">
        <f t="shared" si="13"/>
        <v>588</v>
      </c>
      <c r="J45" s="751">
        <f t="shared" si="13"/>
        <v>9.26</v>
      </c>
      <c r="K45" s="751">
        <f t="shared" si="13"/>
        <v>8.3339999999999996</v>
      </c>
      <c r="L45" s="751">
        <f t="shared" si="13"/>
        <v>0.2</v>
      </c>
      <c r="M45" s="751">
        <f t="shared" si="13"/>
        <v>0</v>
      </c>
      <c r="N45" s="751">
        <f t="shared" si="13"/>
        <v>0</v>
      </c>
      <c r="O45" s="751">
        <f t="shared" si="13"/>
        <v>0</v>
      </c>
      <c r="P45" s="751">
        <f t="shared" si="13"/>
        <v>272.24399999999997</v>
      </c>
      <c r="Q45" s="751">
        <f t="shared" si="13"/>
        <v>34</v>
      </c>
      <c r="R45" s="751">
        <f t="shared" si="13"/>
        <v>4628147.9999999991</v>
      </c>
      <c r="S45" s="751">
        <f t="shared" si="13"/>
        <v>4628147.9999999991</v>
      </c>
    </row>
    <row r="46" spans="1:19" ht="16.5" customHeight="1" x14ac:dyDescent="0.25">
      <c r="A46" s="422"/>
      <c r="C46" s="443"/>
      <c r="D46" s="422"/>
      <c r="E46" s="422">
        <v>746</v>
      </c>
      <c r="F46" s="443" t="s">
        <v>474</v>
      </c>
      <c r="G46" s="400">
        <f t="shared" si="11"/>
        <v>448</v>
      </c>
      <c r="H46" s="1041"/>
      <c r="I46" s="422">
        <v>448</v>
      </c>
      <c r="J46" s="422">
        <v>4.63</v>
      </c>
      <c r="K46" s="422">
        <f t="shared" si="12"/>
        <v>4.1669999999999998</v>
      </c>
      <c r="L46" s="422">
        <v>0.1</v>
      </c>
      <c r="M46" s="400"/>
      <c r="N46" s="400"/>
      <c r="O46" s="400"/>
      <c r="P46" s="422">
        <f>I46*J46*L46</f>
        <v>207.42399999999998</v>
      </c>
      <c r="Q46" s="400">
        <v>17</v>
      </c>
      <c r="R46" s="400">
        <f>P46*Q46*1000</f>
        <v>3526207.9999999995</v>
      </c>
      <c r="S46" s="400">
        <f>R46</f>
        <v>3526207.9999999995</v>
      </c>
    </row>
    <row r="47" spans="1:19" ht="16.5" customHeight="1" x14ac:dyDescent="0.25">
      <c r="A47" s="422"/>
      <c r="B47" s="443"/>
      <c r="C47" s="443"/>
      <c r="D47" s="422"/>
      <c r="E47" s="422"/>
      <c r="F47" s="443" t="s">
        <v>586</v>
      </c>
      <c r="G47" s="400">
        <f t="shared" si="11"/>
        <v>140</v>
      </c>
      <c r="H47" s="1041"/>
      <c r="I47" s="422">
        <v>140</v>
      </c>
      <c r="J47" s="422">
        <v>4.63</v>
      </c>
      <c r="K47" s="422">
        <f t="shared" si="12"/>
        <v>4.1669999999999998</v>
      </c>
      <c r="L47" s="422">
        <v>0.1</v>
      </c>
      <c r="M47" s="400"/>
      <c r="N47" s="400"/>
      <c r="O47" s="400"/>
      <c r="P47" s="422">
        <f t="shared" ref="P47:P56" si="14">I47*J47*L47</f>
        <v>64.819999999999993</v>
      </c>
      <c r="Q47" s="400">
        <v>17</v>
      </c>
      <c r="R47" s="400">
        <f t="shared" ref="R47:R55" si="15">P47*Q47*1000</f>
        <v>1101939.9999999998</v>
      </c>
      <c r="S47" s="400">
        <f t="shared" ref="S47:S55" si="16">R47</f>
        <v>1101939.9999999998</v>
      </c>
    </row>
    <row r="48" spans="1:19" s="515" customFormat="1" ht="16.5" customHeight="1" x14ac:dyDescent="0.25">
      <c r="A48" s="751"/>
      <c r="B48" s="443" t="s">
        <v>603</v>
      </c>
      <c r="C48" s="748"/>
      <c r="D48" s="751"/>
      <c r="E48" s="751">
        <f>SUM(E49:E50)</f>
        <v>1722</v>
      </c>
      <c r="F48" s="751">
        <f t="shared" ref="F48" si="17">SUM(F49:F50)</f>
        <v>0</v>
      </c>
      <c r="G48" s="751">
        <f t="shared" ref="G48" si="18">SUM(G49:G50)</f>
        <v>109.5</v>
      </c>
      <c r="H48" s="751">
        <f t="shared" ref="H48" si="19">SUM(H49:H50)</f>
        <v>0</v>
      </c>
      <c r="I48" s="751">
        <f t="shared" ref="I48" si="20">SUM(I49:I50)</f>
        <v>109.5</v>
      </c>
      <c r="J48" s="751">
        <f t="shared" ref="J48" si="21">SUM(J49:J50)</f>
        <v>9.26</v>
      </c>
      <c r="K48" s="751">
        <f t="shared" ref="K48" si="22">SUM(K49:K50)</f>
        <v>8.3339999999999996</v>
      </c>
      <c r="L48" s="751">
        <f t="shared" ref="L48" si="23">SUM(L49:L50)</f>
        <v>0.2</v>
      </c>
      <c r="M48" s="751">
        <f t="shared" ref="M48" si="24">SUM(M49:M50)</f>
        <v>0</v>
      </c>
      <c r="N48" s="751">
        <f t="shared" ref="N48" si="25">SUM(N49:N50)</f>
        <v>0</v>
      </c>
      <c r="O48" s="751">
        <f t="shared" ref="O48" si="26">SUM(O49:O50)</f>
        <v>0</v>
      </c>
      <c r="P48" s="751">
        <f t="shared" ref="P48" si="27">SUM(P49:P50)</f>
        <v>50.698500000000003</v>
      </c>
      <c r="Q48" s="751">
        <f t="shared" ref="Q48" si="28">SUM(Q49:Q50)</f>
        <v>34</v>
      </c>
      <c r="R48" s="751">
        <f t="shared" ref="R48" si="29">SUM(R49:R50)</f>
        <v>861874.5</v>
      </c>
      <c r="S48" s="751">
        <f t="shared" ref="S48" si="30">SUM(S49:S50)</f>
        <v>861874.5</v>
      </c>
    </row>
    <row r="49" spans="1:19" ht="16.5" customHeight="1" x14ac:dyDescent="0.25">
      <c r="A49" s="422"/>
      <c r="C49" s="443"/>
      <c r="D49" s="422"/>
      <c r="E49" s="422">
        <v>1722</v>
      </c>
      <c r="F49" s="443" t="s">
        <v>474</v>
      </c>
      <c r="G49" s="400">
        <f t="shared" si="11"/>
        <v>86.5</v>
      </c>
      <c r="H49" s="1041"/>
      <c r="I49" s="422">
        <v>86.5</v>
      </c>
      <c r="J49" s="422">
        <v>4.63</v>
      </c>
      <c r="K49" s="422">
        <f t="shared" si="12"/>
        <v>4.1669999999999998</v>
      </c>
      <c r="L49" s="422">
        <v>0.1</v>
      </c>
      <c r="M49" s="400"/>
      <c r="N49" s="400"/>
      <c r="O49" s="400"/>
      <c r="P49" s="422">
        <f t="shared" si="14"/>
        <v>40.049500000000002</v>
      </c>
      <c r="Q49" s="400">
        <v>17</v>
      </c>
      <c r="R49" s="400">
        <f t="shared" si="15"/>
        <v>680841.5</v>
      </c>
      <c r="S49" s="400">
        <f t="shared" si="16"/>
        <v>680841.5</v>
      </c>
    </row>
    <row r="50" spans="1:19" ht="16.5" customHeight="1" x14ac:dyDescent="0.25">
      <c r="A50" s="422"/>
      <c r="B50" s="443"/>
      <c r="C50" s="443"/>
      <c r="D50" s="422"/>
      <c r="E50" s="422"/>
      <c r="F50" s="443" t="s">
        <v>586</v>
      </c>
      <c r="G50" s="400">
        <f t="shared" si="11"/>
        <v>23</v>
      </c>
      <c r="H50" s="1041"/>
      <c r="I50" s="422">
        <v>23</v>
      </c>
      <c r="J50" s="422">
        <v>4.63</v>
      </c>
      <c r="K50" s="422">
        <f t="shared" si="12"/>
        <v>4.1669999999999998</v>
      </c>
      <c r="L50" s="422">
        <v>0.1</v>
      </c>
      <c r="M50" s="400"/>
      <c r="N50" s="400"/>
      <c r="O50" s="400"/>
      <c r="P50" s="422">
        <f t="shared" si="14"/>
        <v>10.649000000000001</v>
      </c>
      <c r="Q50" s="400">
        <v>17</v>
      </c>
      <c r="R50" s="400">
        <f t="shared" si="15"/>
        <v>181033.00000000003</v>
      </c>
      <c r="S50" s="400">
        <f t="shared" si="16"/>
        <v>181033.00000000003</v>
      </c>
    </row>
    <row r="51" spans="1:19" s="515" customFormat="1" ht="16.5" customHeight="1" x14ac:dyDescent="0.25">
      <c r="A51" s="751"/>
      <c r="B51" s="443" t="s">
        <v>570</v>
      </c>
      <c r="C51" s="748"/>
      <c r="D51" s="751"/>
      <c r="E51" s="751">
        <f>SUM(E52:E53)</f>
        <v>951</v>
      </c>
      <c r="F51" s="751">
        <f t="shared" ref="F51" si="31">SUM(F52:F53)</f>
        <v>0</v>
      </c>
      <c r="G51" s="751">
        <f t="shared" ref="G51" si="32">SUM(G52:G53)</f>
        <v>127</v>
      </c>
      <c r="H51" s="751">
        <f t="shared" ref="H51" si="33">SUM(H52:H53)</f>
        <v>26</v>
      </c>
      <c r="I51" s="751">
        <f t="shared" ref="I51" si="34">SUM(I52:I53)</f>
        <v>101</v>
      </c>
      <c r="J51" s="751">
        <f t="shared" ref="J51" si="35">SUM(J52:J53)</f>
        <v>9.26</v>
      </c>
      <c r="K51" s="751">
        <f t="shared" ref="K51" si="36">SUM(K52:K53)</f>
        <v>4.1669999999999998</v>
      </c>
      <c r="L51" s="751">
        <f t="shared" ref="L51" si="37">SUM(L52:L53)</f>
        <v>1.1000000000000001</v>
      </c>
      <c r="M51" s="751">
        <f t="shared" ref="M51" si="38">SUM(M52:M53)</f>
        <v>0</v>
      </c>
      <c r="N51" s="751">
        <f t="shared" ref="N51" si="39">SUM(N52:N53)</f>
        <v>0</v>
      </c>
      <c r="O51" s="751">
        <f t="shared" ref="O51" si="40">SUM(O52:O53)</f>
        <v>0</v>
      </c>
      <c r="P51" s="751">
        <f t="shared" ref="P51" si="41">SUM(P52:P53)</f>
        <v>167.143</v>
      </c>
      <c r="Q51" s="751">
        <f t="shared" ref="Q51" si="42">SUM(Q52:Q53)</f>
        <v>34</v>
      </c>
      <c r="R51" s="751">
        <f t="shared" ref="R51" si="43">SUM(R52:R53)</f>
        <v>2841431</v>
      </c>
      <c r="S51" s="751">
        <f t="shared" ref="S51" si="44">SUM(S52:S53)</f>
        <v>2841431</v>
      </c>
    </row>
    <row r="52" spans="1:19" ht="16.5" customHeight="1" x14ac:dyDescent="0.25">
      <c r="A52" s="422"/>
      <c r="C52" s="443"/>
      <c r="D52" s="422"/>
      <c r="E52" s="422">
        <v>951</v>
      </c>
      <c r="F52" s="443" t="s">
        <v>474</v>
      </c>
      <c r="G52" s="400">
        <f t="shared" si="11"/>
        <v>26</v>
      </c>
      <c r="H52" s="1041">
        <v>26</v>
      </c>
      <c r="I52" s="422">
        <v>0</v>
      </c>
      <c r="J52" s="422">
        <v>4.63</v>
      </c>
      <c r="K52" s="422">
        <f t="shared" si="12"/>
        <v>0</v>
      </c>
      <c r="L52" s="422">
        <v>1</v>
      </c>
      <c r="M52" s="400"/>
      <c r="N52" s="400"/>
      <c r="O52" s="400"/>
      <c r="P52" s="422">
        <f>H52*J52*L52</f>
        <v>120.38</v>
      </c>
      <c r="Q52" s="400">
        <v>17</v>
      </c>
      <c r="R52" s="400">
        <f t="shared" si="15"/>
        <v>2046460</v>
      </c>
      <c r="S52" s="400">
        <f t="shared" si="16"/>
        <v>2046460</v>
      </c>
    </row>
    <row r="53" spans="1:19" ht="16.5" customHeight="1" x14ac:dyDescent="0.25">
      <c r="A53" s="422"/>
      <c r="B53" s="443"/>
      <c r="C53" s="443"/>
      <c r="D53" s="422"/>
      <c r="E53" s="422"/>
      <c r="F53" s="443" t="s">
        <v>474</v>
      </c>
      <c r="G53" s="400">
        <f t="shared" si="11"/>
        <v>101</v>
      </c>
      <c r="H53" s="1041"/>
      <c r="I53" s="422">
        <v>101</v>
      </c>
      <c r="J53" s="422">
        <v>4.63</v>
      </c>
      <c r="K53" s="422">
        <f t="shared" si="12"/>
        <v>4.1669999999999998</v>
      </c>
      <c r="L53" s="422">
        <v>0.1</v>
      </c>
      <c r="M53" s="400"/>
      <c r="N53" s="400"/>
      <c r="O53" s="400"/>
      <c r="P53" s="422">
        <f t="shared" si="14"/>
        <v>46.763000000000005</v>
      </c>
      <c r="Q53" s="400">
        <v>17</v>
      </c>
      <c r="R53" s="400">
        <f t="shared" si="15"/>
        <v>794971.00000000012</v>
      </c>
      <c r="S53" s="400">
        <f t="shared" si="16"/>
        <v>794971.00000000012</v>
      </c>
    </row>
    <row r="54" spans="1:19" s="515" customFormat="1" ht="16.5" customHeight="1" x14ac:dyDescent="0.25">
      <c r="A54" s="751"/>
      <c r="B54" s="443" t="s">
        <v>602</v>
      </c>
      <c r="C54" s="748"/>
      <c r="D54" s="751"/>
      <c r="E54" s="751">
        <f>SUM(E55:E56)</f>
        <v>1151</v>
      </c>
      <c r="F54" s="751">
        <f t="shared" ref="F54" si="45">SUM(F55:F56)</f>
        <v>0</v>
      </c>
      <c r="G54" s="751">
        <f t="shared" ref="G54" si="46">SUM(G55:G56)</f>
        <v>401</v>
      </c>
      <c r="H54" s="751">
        <f t="shared" ref="H54" si="47">SUM(H55:H56)</f>
        <v>0</v>
      </c>
      <c r="I54" s="751">
        <f t="shared" ref="I54" si="48">SUM(I55:I56)</f>
        <v>401</v>
      </c>
      <c r="J54" s="751">
        <f t="shared" ref="J54" si="49">SUM(J55:J56)</f>
        <v>9.26</v>
      </c>
      <c r="K54" s="751">
        <f t="shared" ref="K54" si="50">SUM(K55:K56)</f>
        <v>8.3339999999999996</v>
      </c>
      <c r="L54" s="751">
        <f t="shared" ref="L54" si="51">SUM(L55:L56)</f>
        <v>0.2</v>
      </c>
      <c r="M54" s="751">
        <f t="shared" ref="M54" si="52">SUM(M55:M56)</f>
        <v>0</v>
      </c>
      <c r="N54" s="751">
        <f t="shared" ref="N54" si="53">SUM(N55:N56)</f>
        <v>0</v>
      </c>
      <c r="O54" s="751">
        <f t="shared" ref="O54" si="54">SUM(O55:O56)</f>
        <v>0</v>
      </c>
      <c r="P54" s="751">
        <f t="shared" ref="P54" si="55">SUM(P55:P56)</f>
        <v>185.66299999999998</v>
      </c>
      <c r="Q54" s="751">
        <f t="shared" ref="Q54" si="56">SUM(Q55:Q56)</f>
        <v>34</v>
      </c>
      <c r="R54" s="751">
        <f t="shared" ref="R54" si="57">SUM(R55:R56)</f>
        <v>3156270.9999999995</v>
      </c>
      <c r="S54" s="751">
        <f t="shared" ref="S54" si="58">SUM(S55:S56)</f>
        <v>3156270.9999999995</v>
      </c>
    </row>
    <row r="55" spans="1:19" ht="16.5" customHeight="1" x14ac:dyDescent="0.25">
      <c r="A55" s="422"/>
      <c r="C55" s="443"/>
      <c r="D55" s="422"/>
      <c r="E55" s="422">
        <v>1151</v>
      </c>
      <c r="F55" s="443" t="s">
        <v>586</v>
      </c>
      <c r="G55" s="400">
        <f t="shared" si="11"/>
        <v>98</v>
      </c>
      <c r="H55" s="1041"/>
      <c r="I55" s="422">
        <v>98</v>
      </c>
      <c r="J55" s="422">
        <v>4.63</v>
      </c>
      <c r="K55" s="422">
        <f t="shared" si="12"/>
        <v>4.1669999999999998</v>
      </c>
      <c r="L55" s="422">
        <v>0.1</v>
      </c>
      <c r="M55" s="400"/>
      <c r="N55" s="400"/>
      <c r="O55" s="400"/>
      <c r="P55" s="422">
        <f t="shared" si="14"/>
        <v>45.374000000000002</v>
      </c>
      <c r="Q55" s="400">
        <v>17</v>
      </c>
      <c r="R55" s="400">
        <f t="shared" si="15"/>
        <v>771358.00000000012</v>
      </c>
      <c r="S55" s="400">
        <f t="shared" si="16"/>
        <v>771358.00000000012</v>
      </c>
    </row>
    <row r="56" spans="1:19" ht="16.5" customHeight="1" x14ac:dyDescent="0.25">
      <c r="A56" s="422"/>
      <c r="B56" s="443"/>
      <c r="C56" s="443"/>
      <c r="D56" s="422"/>
      <c r="E56" s="422"/>
      <c r="F56" s="443" t="s">
        <v>474</v>
      </c>
      <c r="G56" s="400">
        <f t="shared" si="11"/>
        <v>303</v>
      </c>
      <c r="H56" s="1041"/>
      <c r="I56" s="422">
        <v>303</v>
      </c>
      <c r="J56" s="422">
        <v>4.63</v>
      </c>
      <c r="K56" s="422">
        <f t="shared" si="12"/>
        <v>4.1669999999999998</v>
      </c>
      <c r="L56" s="422">
        <v>0.1</v>
      </c>
      <c r="M56" s="400"/>
      <c r="N56" s="400"/>
      <c r="O56" s="400"/>
      <c r="P56" s="422">
        <f t="shared" si="14"/>
        <v>140.28899999999999</v>
      </c>
      <c r="Q56" s="400">
        <v>17</v>
      </c>
      <c r="R56" s="400">
        <f>P56*Q56*1000</f>
        <v>2384912.9999999995</v>
      </c>
      <c r="S56" s="400">
        <f>R56</f>
        <v>2384912.9999999995</v>
      </c>
    </row>
    <row r="57" spans="1:19" ht="16.5" customHeight="1" x14ac:dyDescent="0.25">
      <c r="A57" s="422"/>
      <c r="B57" s="443" t="s">
        <v>601</v>
      </c>
      <c r="C57" s="443"/>
      <c r="D57" s="422"/>
      <c r="E57" s="422">
        <v>2190</v>
      </c>
      <c r="F57" s="443" t="s">
        <v>474</v>
      </c>
      <c r="G57" s="400">
        <f>H57+I57</f>
        <v>1314</v>
      </c>
      <c r="H57" s="1041"/>
      <c r="I57" s="422">
        <v>1314</v>
      </c>
      <c r="J57" s="422">
        <v>4.63</v>
      </c>
      <c r="K57" s="422">
        <f>J57-(J57*L57)</f>
        <v>4.1669999999999998</v>
      </c>
      <c r="L57" s="422">
        <v>0.1</v>
      </c>
      <c r="M57" s="400"/>
      <c r="N57" s="400"/>
      <c r="O57" s="400"/>
      <c r="P57" s="422">
        <f>I57*J57*L57</f>
        <v>608.38199999999995</v>
      </c>
      <c r="Q57" s="400">
        <v>17</v>
      </c>
      <c r="R57" s="400">
        <f>P57*Q57*1000</f>
        <v>10342493.999999998</v>
      </c>
      <c r="S57" s="400">
        <f>R57</f>
        <v>10342493.999999998</v>
      </c>
    </row>
    <row r="58" spans="1:19" s="515" customFormat="1" ht="16.5" customHeight="1" x14ac:dyDescent="0.25">
      <c r="A58" s="751"/>
      <c r="B58" s="443" t="s">
        <v>477</v>
      </c>
      <c r="C58" s="748"/>
      <c r="D58" s="751"/>
      <c r="E58" s="751">
        <f>SUM(E59:E61)</f>
        <v>764</v>
      </c>
      <c r="F58" s="751">
        <f t="shared" ref="F58:S58" si="59">SUM(F59:F61)</f>
        <v>0</v>
      </c>
      <c r="G58" s="751">
        <f t="shared" si="59"/>
        <v>279.90999999999997</v>
      </c>
      <c r="H58" s="751">
        <f t="shared" si="59"/>
        <v>0</v>
      </c>
      <c r="I58" s="751">
        <f t="shared" si="59"/>
        <v>279.90999999999997</v>
      </c>
      <c r="J58" s="751">
        <f t="shared" si="59"/>
        <v>13.89</v>
      </c>
      <c r="K58" s="751">
        <f t="shared" si="59"/>
        <v>12.500999999999999</v>
      </c>
      <c r="L58" s="751">
        <f t="shared" si="59"/>
        <v>0.30000000000000004</v>
      </c>
      <c r="M58" s="751">
        <f t="shared" si="59"/>
        <v>0</v>
      </c>
      <c r="N58" s="751">
        <f t="shared" si="59"/>
        <v>13000</v>
      </c>
      <c r="O58" s="751">
        <f t="shared" si="59"/>
        <v>9100</v>
      </c>
      <c r="P58" s="751">
        <f t="shared" si="59"/>
        <v>126.35733</v>
      </c>
      <c r="Q58" s="751">
        <f t="shared" si="59"/>
        <v>34</v>
      </c>
      <c r="R58" s="751">
        <f t="shared" si="59"/>
        <v>2148074.61</v>
      </c>
      <c r="S58" s="751">
        <f t="shared" si="59"/>
        <v>2157174.61</v>
      </c>
    </row>
    <row r="59" spans="1:19" ht="16.5" customHeight="1" x14ac:dyDescent="0.25">
      <c r="A59" s="422"/>
      <c r="C59" s="443"/>
      <c r="D59" s="422"/>
      <c r="E59" s="422">
        <v>764</v>
      </c>
      <c r="F59" s="443" t="s">
        <v>474</v>
      </c>
      <c r="G59" s="400">
        <f t="shared" si="11"/>
        <v>209.66</v>
      </c>
      <c r="H59" s="1041"/>
      <c r="I59" s="422">
        <v>209.66</v>
      </c>
      <c r="J59" s="422">
        <v>4.63</v>
      </c>
      <c r="K59" s="422">
        <f t="shared" si="12"/>
        <v>4.1669999999999998</v>
      </c>
      <c r="L59" s="422">
        <v>0.1</v>
      </c>
      <c r="M59" s="400"/>
      <c r="N59" s="400"/>
      <c r="O59" s="400"/>
      <c r="P59" s="422">
        <f>I59*J59*L59</f>
        <v>97.072580000000002</v>
      </c>
      <c r="Q59" s="400">
        <v>17</v>
      </c>
      <c r="R59" s="400">
        <f>P59*Q59*1000</f>
        <v>1650233.86</v>
      </c>
      <c r="S59" s="400">
        <f>R59</f>
        <v>1650233.86</v>
      </c>
    </row>
    <row r="60" spans="1:19" ht="16.5" customHeight="1" x14ac:dyDescent="0.25">
      <c r="A60" s="422"/>
      <c r="B60" s="443"/>
      <c r="C60" s="443"/>
      <c r="D60" s="422"/>
      <c r="E60" s="422"/>
      <c r="F60" s="443" t="s">
        <v>586</v>
      </c>
      <c r="G60" s="705">
        <f t="shared" si="11"/>
        <v>63.25</v>
      </c>
      <c r="H60" s="1041"/>
      <c r="I60" s="422">
        <v>63.25</v>
      </c>
      <c r="J60" s="422">
        <v>4.63</v>
      </c>
      <c r="K60" s="422">
        <f t="shared" si="12"/>
        <v>4.1669999999999998</v>
      </c>
      <c r="L60" s="422">
        <v>0.1</v>
      </c>
      <c r="M60" s="400"/>
      <c r="N60" s="400"/>
      <c r="O60" s="400"/>
      <c r="P60" s="422">
        <f>I60*J60*L60</f>
        <v>29.284749999999999</v>
      </c>
      <c r="Q60" s="400">
        <v>17</v>
      </c>
      <c r="R60" s="400">
        <f>P60*Q60*1000</f>
        <v>497840.74999999994</v>
      </c>
      <c r="S60" s="400">
        <f>R60</f>
        <v>497840.74999999994</v>
      </c>
    </row>
    <row r="61" spans="1:19" ht="16.5" customHeight="1" x14ac:dyDescent="0.25">
      <c r="A61" s="422"/>
      <c r="B61" s="443"/>
      <c r="C61" s="443"/>
      <c r="D61" s="422"/>
      <c r="E61" s="422"/>
      <c r="F61" s="443" t="s">
        <v>902</v>
      </c>
      <c r="G61" s="705">
        <f t="shared" si="11"/>
        <v>7</v>
      </c>
      <c r="H61" s="1041"/>
      <c r="I61" s="422">
        <v>7</v>
      </c>
      <c r="J61" s="422">
        <v>4.63</v>
      </c>
      <c r="K61" s="422">
        <f t="shared" si="12"/>
        <v>4.1669999999999998</v>
      </c>
      <c r="L61" s="422">
        <v>0.1</v>
      </c>
      <c r="M61" s="400"/>
      <c r="N61" s="400">
        <v>13000</v>
      </c>
      <c r="O61" s="400">
        <f>N61*L61*I61</f>
        <v>9100</v>
      </c>
      <c r="P61" s="422"/>
      <c r="Q61" s="400"/>
      <c r="R61" s="400"/>
      <c r="S61" s="400">
        <f>O61</f>
        <v>9100</v>
      </c>
    </row>
    <row r="62" spans="1:19" ht="16.5" customHeight="1" x14ac:dyDescent="0.25">
      <c r="A62" s="422"/>
      <c r="B62" s="443" t="s">
        <v>259</v>
      </c>
      <c r="C62" s="443"/>
      <c r="D62" s="422"/>
      <c r="E62" s="422"/>
      <c r="F62" s="443" t="s">
        <v>474</v>
      </c>
      <c r="G62" s="400">
        <f>H62+I62</f>
        <v>490</v>
      </c>
      <c r="H62" s="1041"/>
      <c r="I62" s="422">
        <v>490</v>
      </c>
      <c r="J62" s="422">
        <v>4.63</v>
      </c>
      <c r="K62" s="422">
        <f>J62-(J62*L62)</f>
        <v>4.1669999999999998</v>
      </c>
      <c r="L62" s="422">
        <v>0.1</v>
      </c>
      <c r="M62" s="400"/>
      <c r="N62" s="400"/>
      <c r="O62" s="400"/>
      <c r="P62" s="422">
        <f>I62*J62*L62</f>
        <v>226.87</v>
      </c>
      <c r="Q62" s="400">
        <v>17</v>
      </c>
      <c r="R62" s="400">
        <f>P62*Q62*1000</f>
        <v>3856790</v>
      </c>
      <c r="S62" s="400">
        <f>R62</f>
        <v>3856790</v>
      </c>
    </row>
    <row r="63" spans="1:19" ht="16.5" customHeight="1" x14ac:dyDescent="0.25">
      <c r="A63" s="422"/>
      <c r="B63" s="443" t="s">
        <v>607</v>
      </c>
      <c r="C63" s="443"/>
      <c r="D63" s="422"/>
      <c r="E63" s="422">
        <v>2070</v>
      </c>
      <c r="F63" s="443" t="s">
        <v>474</v>
      </c>
      <c r="G63" s="400">
        <f t="shared" si="11"/>
        <v>625</v>
      </c>
      <c r="H63" s="1041"/>
      <c r="I63" s="422">
        <v>625</v>
      </c>
      <c r="J63" s="422">
        <v>4.63</v>
      </c>
      <c r="K63" s="422">
        <f t="shared" si="12"/>
        <v>4.1669999999999998</v>
      </c>
      <c r="L63" s="422">
        <v>0.1</v>
      </c>
      <c r="M63" s="400"/>
      <c r="N63" s="400"/>
      <c r="O63" s="400"/>
      <c r="P63" s="422">
        <f t="shared" ref="P63:P66" si="60">I63*J63*L63</f>
        <v>289.375</v>
      </c>
      <c r="Q63" s="400">
        <v>17</v>
      </c>
      <c r="R63" s="400">
        <f t="shared" ref="R63:R66" si="61">P63*Q63*1000</f>
        <v>4919375</v>
      </c>
      <c r="S63" s="400">
        <f t="shared" ref="S63:S66" si="62">R63</f>
        <v>4919375</v>
      </c>
    </row>
    <row r="64" spans="1:19" s="515" customFormat="1" ht="16.5" customHeight="1" x14ac:dyDescent="0.25">
      <c r="A64" s="751"/>
      <c r="B64" s="443" t="s">
        <v>604</v>
      </c>
      <c r="C64" s="748"/>
      <c r="D64" s="751"/>
      <c r="E64" s="751">
        <f>SUM(E65:E66)</f>
        <v>1130</v>
      </c>
      <c r="F64" s="751">
        <f t="shared" ref="F64" si="63">SUM(F65:F66)</f>
        <v>0</v>
      </c>
      <c r="G64" s="751">
        <f t="shared" ref="G64" si="64">SUM(G65:G66)</f>
        <v>305.25</v>
      </c>
      <c r="H64" s="751">
        <f t="shared" ref="H64" si="65">SUM(H65:H66)</f>
        <v>0</v>
      </c>
      <c r="I64" s="751">
        <f t="shared" ref="I64" si="66">SUM(I65:I66)</f>
        <v>305.25</v>
      </c>
      <c r="J64" s="751">
        <f t="shared" ref="J64" si="67">SUM(J65:J66)</f>
        <v>9.26</v>
      </c>
      <c r="K64" s="751">
        <f t="shared" ref="K64" si="68">SUM(K65:K66)</f>
        <v>8.3339999999999996</v>
      </c>
      <c r="L64" s="751">
        <f t="shared" ref="L64" si="69">SUM(L65:L66)</f>
        <v>0.2</v>
      </c>
      <c r="M64" s="751">
        <f t="shared" ref="M64" si="70">SUM(M65:M66)</f>
        <v>0</v>
      </c>
      <c r="N64" s="751">
        <f t="shared" ref="N64" si="71">SUM(N65:N66)</f>
        <v>0</v>
      </c>
      <c r="O64" s="751">
        <f t="shared" ref="O64" si="72">SUM(O65:O66)</f>
        <v>0</v>
      </c>
      <c r="P64" s="751">
        <f t="shared" ref="P64" si="73">SUM(P65:P66)</f>
        <v>141.33074999999999</v>
      </c>
      <c r="Q64" s="751">
        <f t="shared" ref="Q64" si="74">SUM(Q65:Q66)</f>
        <v>34</v>
      </c>
      <c r="R64" s="751">
        <f t="shared" ref="R64" si="75">SUM(R65:R66)</f>
        <v>2402622.75</v>
      </c>
      <c r="S64" s="751">
        <f t="shared" ref="S64" si="76">SUM(S65:S66)</f>
        <v>2402622.75</v>
      </c>
    </row>
    <row r="65" spans="1:19" ht="16.5" customHeight="1" x14ac:dyDescent="0.25">
      <c r="A65" s="422"/>
      <c r="C65" s="443"/>
      <c r="D65" s="422"/>
      <c r="E65" s="422">
        <v>1130</v>
      </c>
      <c r="F65" s="443" t="s">
        <v>474</v>
      </c>
      <c r="G65" s="400">
        <f t="shared" si="11"/>
        <v>227</v>
      </c>
      <c r="H65" s="1041"/>
      <c r="I65" s="422">
        <v>227</v>
      </c>
      <c r="J65" s="422">
        <v>4.63</v>
      </c>
      <c r="K65" s="422">
        <f t="shared" si="12"/>
        <v>4.1669999999999998</v>
      </c>
      <c r="L65" s="422">
        <v>0.1</v>
      </c>
      <c r="M65" s="400"/>
      <c r="N65" s="400"/>
      <c r="O65" s="400"/>
      <c r="P65" s="422">
        <f t="shared" si="60"/>
        <v>105.101</v>
      </c>
      <c r="Q65" s="400">
        <v>17</v>
      </c>
      <c r="R65" s="400">
        <f t="shared" si="61"/>
        <v>1786717</v>
      </c>
      <c r="S65" s="400">
        <f t="shared" si="62"/>
        <v>1786717</v>
      </c>
    </row>
    <row r="66" spans="1:19" ht="16.5" customHeight="1" x14ac:dyDescent="0.25">
      <c r="A66" s="422"/>
      <c r="B66" s="443"/>
      <c r="C66" s="443"/>
      <c r="D66" s="422"/>
      <c r="E66" s="422"/>
      <c r="F66" s="443" t="s">
        <v>586</v>
      </c>
      <c r="G66" s="400">
        <f t="shared" si="11"/>
        <v>78.25</v>
      </c>
      <c r="H66" s="1041"/>
      <c r="I66" s="422">
        <v>78.25</v>
      </c>
      <c r="J66" s="422">
        <v>4.63</v>
      </c>
      <c r="K66" s="422">
        <f t="shared" si="12"/>
        <v>4.1669999999999998</v>
      </c>
      <c r="L66" s="422">
        <v>0.1</v>
      </c>
      <c r="M66" s="400"/>
      <c r="N66" s="400"/>
      <c r="O66" s="400"/>
      <c r="P66" s="422">
        <f t="shared" si="60"/>
        <v>36.229750000000003</v>
      </c>
      <c r="Q66" s="400">
        <v>17</v>
      </c>
      <c r="R66" s="400">
        <f t="shared" si="61"/>
        <v>615905.75</v>
      </c>
      <c r="S66" s="400">
        <f t="shared" si="62"/>
        <v>615905.75</v>
      </c>
    </row>
    <row r="67" spans="1:19" s="1093" customFormat="1" ht="16.5" customHeight="1" x14ac:dyDescent="0.25">
      <c r="A67" s="1089"/>
      <c r="B67" s="1090" t="s">
        <v>36</v>
      </c>
      <c r="C67" s="1090"/>
      <c r="D67" s="1091"/>
      <c r="E67" s="1091"/>
      <c r="F67" s="1090"/>
      <c r="G67" s="1092">
        <f>SUM(G68+G94)</f>
        <v>6795.4</v>
      </c>
      <c r="H67" s="1092">
        <f>SUM(H68+H94)</f>
        <v>4.2</v>
      </c>
      <c r="I67" s="1092">
        <f>SUM(I68+I94)</f>
        <v>6791.2</v>
      </c>
      <c r="J67" s="1091"/>
      <c r="K67" s="1091"/>
      <c r="L67" s="1091"/>
      <c r="M67" s="1092">
        <f>SUM(M68+M94)</f>
        <v>0</v>
      </c>
      <c r="N67" s="1092"/>
      <c r="O67" s="1092">
        <f>SUM(O68+O94)</f>
        <v>0</v>
      </c>
      <c r="P67" s="1092">
        <f>SUM(P68+P94)</f>
        <v>4260.0741900000012</v>
      </c>
      <c r="Q67" s="1092"/>
      <c r="R67" s="1092">
        <f>SUM(R68+R94)</f>
        <v>70291224.13500002</v>
      </c>
      <c r="S67" s="1092">
        <f>SUM(S68+S94)</f>
        <v>70291224.13500002</v>
      </c>
    </row>
    <row r="68" spans="1:19" ht="16.5" customHeight="1" x14ac:dyDescent="0.25">
      <c r="A68" s="461"/>
      <c r="B68" s="464" t="s">
        <v>471</v>
      </c>
      <c r="C68" s="464"/>
      <c r="D68" s="691"/>
      <c r="E68" s="691"/>
      <c r="F68" s="464"/>
      <c r="G68" s="419">
        <f>SUM(G70:G92)</f>
        <v>2703.76</v>
      </c>
      <c r="H68" s="419">
        <f>SUM(H70:H92)</f>
        <v>0.2</v>
      </c>
      <c r="I68" s="419">
        <f>SUM(I70:I92)</f>
        <v>2703.56</v>
      </c>
      <c r="J68" s="691"/>
      <c r="K68" s="691"/>
      <c r="L68" s="691"/>
      <c r="M68" s="419">
        <f>SUM(M70:M92)</f>
        <v>0</v>
      </c>
      <c r="N68" s="419"/>
      <c r="O68" s="419">
        <f>SUM(O70:O92)</f>
        <v>0</v>
      </c>
      <c r="P68" s="419">
        <f>SUM(P70:P92)</f>
        <v>1807.8251100000002</v>
      </c>
      <c r="Q68" s="419"/>
      <c r="R68" s="419">
        <f>SUM(R70:R92)</f>
        <v>29829114.315000005</v>
      </c>
      <c r="S68" s="419">
        <f>SUM(S70:S92)</f>
        <v>29829114.315000005</v>
      </c>
    </row>
    <row r="69" spans="1:19" s="515" customFormat="1" ht="16.5" customHeight="1" x14ac:dyDescent="0.25">
      <c r="A69" s="747"/>
      <c r="B69" s="443" t="s">
        <v>720</v>
      </c>
      <c r="C69" s="750"/>
      <c r="D69" s="1072"/>
      <c r="E69" s="751">
        <f>SUM(E70:E74)</f>
        <v>0</v>
      </c>
      <c r="F69" s="751">
        <f t="shared" ref="F69:S69" si="77">SUM(F70:F74)</f>
        <v>0</v>
      </c>
      <c r="G69" s="751">
        <f t="shared" si="77"/>
        <v>544.79999999999995</v>
      </c>
      <c r="H69" s="751">
        <f t="shared" si="77"/>
        <v>0.2</v>
      </c>
      <c r="I69" s="751">
        <f t="shared" si="77"/>
        <v>544.6</v>
      </c>
      <c r="J69" s="751">
        <f t="shared" si="77"/>
        <v>24.3</v>
      </c>
      <c r="K69" s="751">
        <f t="shared" si="77"/>
        <v>17.253</v>
      </c>
      <c r="L69" s="751">
        <f t="shared" si="77"/>
        <v>1.4500000000000002</v>
      </c>
      <c r="M69" s="751">
        <f t="shared" si="77"/>
        <v>0</v>
      </c>
      <c r="N69" s="751">
        <f t="shared" si="77"/>
        <v>0</v>
      </c>
      <c r="O69" s="751">
        <f t="shared" si="77"/>
        <v>0</v>
      </c>
      <c r="P69" s="751">
        <f t="shared" si="77"/>
        <v>222.55155000000002</v>
      </c>
      <c r="Q69" s="751">
        <f t="shared" si="77"/>
        <v>82.5</v>
      </c>
      <c r="R69" s="751">
        <f t="shared" si="77"/>
        <v>3672100.5750000002</v>
      </c>
      <c r="S69" s="751">
        <f t="shared" si="77"/>
        <v>3672100.5750000002</v>
      </c>
    </row>
    <row r="70" spans="1:19" ht="16.5" customHeight="1" x14ac:dyDescent="0.25">
      <c r="A70" s="422"/>
      <c r="C70" s="443"/>
      <c r="D70" s="422"/>
      <c r="E70" s="422"/>
      <c r="F70" s="443" t="s">
        <v>487</v>
      </c>
      <c r="G70" s="400">
        <f t="shared" ref="G70:G92" si="78">H70+I70</f>
        <v>54.55</v>
      </c>
      <c r="H70" s="690"/>
      <c r="I70" s="422">
        <v>54.55</v>
      </c>
      <c r="J70" s="422">
        <v>4.8600000000000003</v>
      </c>
      <c r="K70" s="422">
        <f t="shared" ref="K70:K92" si="79">J70-(J70*L70)</f>
        <v>4.3740000000000006</v>
      </c>
      <c r="L70" s="422">
        <v>0.1</v>
      </c>
      <c r="M70" s="400"/>
      <c r="N70" s="400"/>
      <c r="O70" s="400"/>
      <c r="P70" s="422">
        <f t="shared" ref="P70:P92" si="80">I70*J70*L70</f>
        <v>26.511300000000002</v>
      </c>
      <c r="Q70" s="400">
        <v>16.5</v>
      </c>
      <c r="R70" s="400">
        <f t="shared" ref="R70:R92" si="81">P70*Q70*1000</f>
        <v>437436.45</v>
      </c>
      <c r="S70" s="400">
        <f t="shared" ref="S70:S92" si="82">R70</f>
        <v>437436.45</v>
      </c>
    </row>
    <row r="71" spans="1:19" ht="16.5" customHeight="1" x14ac:dyDescent="0.25">
      <c r="A71" s="422"/>
      <c r="B71" s="443"/>
      <c r="C71" s="443"/>
      <c r="D71" s="422"/>
      <c r="E71" s="422"/>
      <c r="F71" s="443" t="s">
        <v>504</v>
      </c>
      <c r="G71" s="400">
        <f t="shared" si="78"/>
        <v>85.85</v>
      </c>
      <c r="H71" s="690"/>
      <c r="I71" s="422">
        <v>85.85</v>
      </c>
      <c r="J71" s="422">
        <v>4.8600000000000003</v>
      </c>
      <c r="K71" s="422">
        <f t="shared" si="79"/>
        <v>3.8880000000000003</v>
      </c>
      <c r="L71" s="422">
        <v>0.2</v>
      </c>
      <c r="M71" s="400"/>
      <c r="N71" s="400"/>
      <c r="O71" s="400"/>
      <c r="P71" s="422">
        <f t="shared" si="80"/>
        <v>83.446200000000005</v>
      </c>
      <c r="Q71" s="400">
        <v>16.5</v>
      </c>
      <c r="R71" s="400">
        <f t="shared" si="81"/>
        <v>1376862.3</v>
      </c>
      <c r="S71" s="400">
        <f t="shared" si="82"/>
        <v>1376862.3</v>
      </c>
    </row>
    <row r="72" spans="1:19" ht="16.5" customHeight="1" x14ac:dyDescent="0.25">
      <c r="A72" s="422"/>
      <c r="B72" s="443"/>
      <c r="C72" s="443"/>
      <c r="D72" s="422"/>
      <c r="E72" s="422"/>
      <c r="F72" s="443" t="s">
        <v>504</v>
      </c>
      <c r="G72" s="400">
        <f t="shared" si="78"/>
        <v>0.2</v>
      </c>
      <c r="H72" s="690">
        <v>0.2</v>
      </c>
      <c r="I72" s="422"/>
      <c r="J72" s="422">
        <v>4.8600000000000003</v>
      </c>
      <c r="K72" s="422">
        <f>J72-(J72*L72)</f>
        <v>0</v>
      </c>
      <c r="L72" s="422">
        <v>1</v>
      </c>
      <c r="M72" s="400"/>
      <c r="N72" s="400"/>
      <c r="O72" s="400"/>
      <c r="P72" s="422">
        <f>H72*J72*L72</f>
        <v>0.97200000000000009</v>
      </c>
      <c r="Q72" s="400">
        <v>16.5</v>
      </c>
      <c r="R72" s="400">
        <f>P72*Q72*1000</f>
        <v>16038</v>
      </c>
      <c r="S72" s="400">
        <f>R72</f>
        <v>16038</v>
      </c>
    </row>
    <row r="73" spans="1:19" ht="16.5" customHeight="1" x14ac:dyDescent="0.25">
      <c r="A73" s="422"/>
      <c r="B73" s="443"/>
      <c r="C73" s="443"/>
      <c r="D73" s="422"/>
      <c r="E73" s="422"/>
      <c r="F73" s="443" t="s">
        <v>741</v>
      </c>
      <c r="G73" s="400">
        <f t="shared" si="78"/>
        <v>55.15</v>
      </c>
      <c r="H73" s="690"/>
      <c r="I73" s="422">
        <v>55.15</v>
      </c>
      <c r="J73" s="422">
        <v>4.8600000000000003</v>
      </c>
      <c r="K73" s="422">
        <f t="shared" si="79"/>
        <v>4.3740000000000006</v>
      </c>
      <c r="L73" s="422">
        <v>0.1</v>
      </c>
      <c r="M73" s="400"/>
      <c r="N73" s="400"/>
      <c r="O73" s="400"/>
      <c r="P73" s="422">
        <f t="shared" si="80"/>
        <v>26.802900000000001</v>
      </c>
      <c r="Q73" s="400">
        <v>16.5</v>
      </c>
      <c r="R73" s="400">
        <f t="shared" si="81"/>
        <v>442247.85000000003</v>
      </c>
      <c r="S73" s="400">
        <f t="shared" si="82"/>
        <v>442247.85000000003</v>
      </c>
    </row>
    <row r="74" spans="1:19" ht="16.5" customHeight="1" x14ac:dyDescent="0.25">
      <c r="A74" s="422"/>
      <c r="B74" s="443"/>
      <c r="C74" s="443"/>
      <c r="D74" s="422"/>
      <c r="E74" s="422"/>
      <c r="F74" s="443" t="s">
        <v>501</v>
      </c>
      <c r="G74" s="400">
        <f t="shared" si="78"/>
        <v>349.05</v>
      </c>
      <c r="H74" s="690"/>
      <c r="I74" s="422">
        <v>349.05</v>
      </c>
      <c r="J74" s="422">
        <v>4.8600000000000003</v>
      </c>
      <c r="K74" s="422">
        <f t="shared" si="79"/>
        <v>4.617</v>
      </c>
      <c r="L74" s="422">
        <v>0.05</v>
      </c>
      <c r="M74" s="400"/>
      <c r="N74" s="400"/>
      <c r="O74" s="400"/>
      <c r="P74" s="422">
        <f t="shared" si="80"/>
        <v>84.819150000000022</v>
      </c>
      <c r="Q74" s="400">
        <v>16.5</v>
      </c>
      <c r="R74" s="400">
        <f t="shared" si="81"/>
        <v>1399515.9750000003</v>
      </c>
      <c r="S74" s="400">
        <f t="shared" si="82"/>
        <v>1399515.9750000003</v>
      </c>
    </row>
    <row r="75" spans="1:19" s="515" customFormat="1" ht="16.5" customHeight="1" x14ac:dyDescent="0.25">
      <c r="A75" s="751"/>
      <c r="B75" s="443" t="s">
        <v>827</v>
      </c>
      <c r="C75" s="748"/>
      <c r="D75" s="751"/>
      <c r="E75" s="751">
        <f>SUM(E76:E78)</f>
        <v>0</v>
      </c>
      <c r="F75" s="751">
        <f t="shared" ref="F75:S75" si="83">SUM(F76:F78)</f>
        <v>0</v>
      </c>
      <c r="G75" s="751">
        <f t="shared" si="83"/>
        <v>288</v>
      </c>
      <c r="H75" s="751">
        <f t="shared" si="83"/>
        <v>0</v>
      </c>
      <c r="I75" s="751">
        <f t="shared" si="83"/>
        <v>288</v>
      </c>
      <c r="J75" s="751">
        <f t="shared" si="83"/>
        <v>14.580000000000002</v>
      </c>
      <c r="K75" s="751">
        <f t="shared" si="83"/>
        <v>12.879000000000001</v>
      </c>
      <c r="L75" s="751">
        <f t="shared" si="83"/>
        <v>0.35000000000000003</v>
      </c>
      <c r="M75" s="751">
        <f t="shared" si="83"/>
        <v>0</v>
      </c>
      <c r="N75" s="751">
        <f t="shared" si="83"/>
        <v>0</v>
      </c>
      <c r="O75" s="751">
        <f t="shared" si="83"/>
        <v>0</v>
      </c>
      <c r="P75" s="751">
        <f t="shared" si="83"/>
        <v>208.25100000000003</v>
      </c>
      <c r="Q75" s="751">
        <f t="shared" si="83"/>
        <v>49.5</v>
      </c>
      <c r="R75" s="751">
        <f t="shared" si="83"/>
        <v>3436141.5000000005</v>
      </c>
      <c r="S75" s="751">
        <f t="shared" si="83"/>
        <v>3436141.5000000005</v>
      </c>
    </row>
    <row r="76" spans="1:19" ht="16.5" customHeight="1" x14ac:dyDescent="0.25">
      <c r="A76" s="422"/>
      <c r="C76" s="443"/>
      <c r="D76" s="422"/>
      <c r="E76" s="422"/>
      <c r="F76" s="443" t="s">
        <v>504</v>
      </c>
      <c r="G76" s="400">
        <f t="shared" si="78"/>
        <v>163</v>
      </c>
      <c r="H76" s="690"/>
      <c r="I76" s="422">
        <v>163</v>
      </c>
      <c r="J76" s="422">
        <v>4.8600000000000003</v>
      </c>
      <c r="K76" s="422">
        <f t="shared" si="79"/>
        <v>3.8880000000000003</v>
      </c>
      <c r="L76" s="422">
        <v>0.2</v>
      </c>
      <c r="M76" s="400"/>
      <c r="N76" s="400"/>
      <c r="O76" s="400"/>
      <c r="P76" s="422">
        <f t="shared" si="80"/>
        <v>158.43600000000004</v>
      </c>
      <c r="Q76" s="400">
        <v>16.5</v>
      </c>
      <c r="R76" s="400">
        <f t="shared" si="81"/>
        <v>2614194.0000000005</v>
      </c>
      <c r="S76" s="400">
        <f t="shared" si="82"/>
        <v>2614194.0000000005</v>
      </c>
    </row>
    <row r="77" spans="1:19" ht="16.5" customHeight="1" x14ac:dyDescent="0.25">
      <c r="A77" s="422"/>
      <c r="B77" s="443"/>
      <c r="C77" s="443"/>
      <c r="D77" s="422"/>
      <c r="E77" s="422"/>
      <c r="F77" s="443" t="s">
        <v>741</v>
      </c>
      <c r="G77" s="400">
        <f t="shared" si="78"/>
        <v>80</v>
      </c>
      <c r="H77" s="690"/>
      <c r="I77" s="422">
        <v>80</v>
      </c>
      <c r="J77" s="422">
        <v>4.8600000000000003</v>
      </c>
      <c r="K77" s="422">
        <f t="shared" si="79"/>
        <v>4.3740000000000006</v>
      </c>
      <c r="L77" s="422">
        <v>0.1</v>
      </c>
      <c r="M77" s="400"/>
      <c r="N77" s="400"/>
      <c r="O77" s="400"/>
      <c r="P77" s="422">
        <f t="shared" si="80"/>
        <v>38.880000000000003</v>
      </c>
      <c r="Q77" s="400">
        <v>16.5</v>
      </c>
      <c r="R77" s="400">
        <f t="shared" si="81"/>
        <v>641520.00000000012</v>
      </c>
      <c r="S77" s="400">
        <f t="shared" si="82"/>
        <v>641520.00000000012</v>
      </c>
    </row>
    <row r="78" spans="1:19" ht="16.5" customHeight="1" x14ac:dyDescent="0.25">
      <c r="A78" s="422"/>
      <c r="B78" s="443"/>
      <c r="C78" s="443"/>
      <c r="D78" s="422"/>
      <c r="E78" s="422"/>
      <c r="F78" s="443" t="s">
        <v>501</v>
      </c>
      <c r="G78" s="400">
        <f t="shared" si="78"/>
        <v>45</v>
      </c>
      <c r="H78" s="690"/>
      <c r="I78" s="422">
        <v>45</v>
      </c>
      <c r="J78" s="422">
        <v>4.8600000000000003</v>
      </c>
      <c r="K78" s="422">
        <f t="shared" si="79"/>
        <v>4.617</v>
      </c>
      <c r="L78" s="422">
        <v>0.05</v>
      </c>
      <c r="M78" s="400"/>
      <c r="N78" s="400"/>
      <c r="O78" s="400"/>
      <c r="P78" s="422">
        <f t="shared" si="80"/>
        <v>10.935000000000002</v>
      </c>
      <c r="Q78" s="400">
        <v>16.5</v>
      </c>
      <c r="R78" s="400">
        <f t="shared" si="81"/>
        <v>180427.50000000003</v>
      </c>
      <c r="S78" s="400">
        <f t="shared" si="82"/>
        <v>180427.50000000003</v>
      </c>
    </row>
    <row r="79" spans="1:19" s="515" customFormat="1" ht="16.5" customHeight="1" x14ac:dyDescent="0.25">
      <c r="A79" s="751"/>
      <c r="B79" s="443" t="s">
        <v>727</v>
      </c>
      <c r="C79" s="748"/>
      <c r="D79" s="751"/>
      <c r="E79" s="751">
        <f>SUM(E80:E82)</f>
        <v>0</v>
      </c>
      <c r="F79" s="751">
        <f t="shared" ref="F79" si="84">SUM(F80:F82)</f>
        <v>0</v>
      </c>
      <c r="G79" s="751">
        <f t="shared" ref="G79" si="85">SUM(G80:G82)</f>
        <v>143</v>
      </c>
      <c r="H79" s="751">
        <f t="shared" ref="H79" si="86">SUM(H80:H82)</f>
        <v>0</v>
      </c>
      <c r="I79" s="751">
        <f t="shared" ref="I79" si="87">SUM(I80:I82)</f>
        <v>143</v>
      </c>
      <c r="J79" s="751">
        <f t="shared" ref="J79" si="88">SUM(J80:J82)</f>
        <v>13.52</v>
      </c>
      <c r="K79" s="751">
        <f t="shared" ref="K79" si="89">SUM(K80:K82)</f>
        <v>12.115</v>
      </c>
      <c r="L79" s="751">
        <f t="shared" ref="L79" si="90">SUM(L80:L82)</f>
        <v>0.3</v>
      </c>
      <c r="M79" s="751">
        <f t="shared" ref="M79" si="91">SUM(M80:M82)</f>
        <v>0</v>
      </c>
      <c r="N79" s="751">
        <f t="shared" ref="N79" si="92">SUM(N80:N82)</f>
        <v>0</v>
      </c>
      <c r="O79" s="751">
        <f t="shared" ref="O79" si="93">SUM(O80:O82)</f>
        <v>0</v>
      </c>
      <c r="P79" s="751">
        <f t="shared" ref="P79" si="94">SUM(P80:P82)</f>
        <v>49.674000000000007</v>
      </c>
      <c r="Q79" s="751">
        <f t="shared" ref="Q79" si="95">SUM(Q80:Q82)</f>
        <v>49.5</v>
      </c>
      <c r="R79" s="751">
        <f t="shared" ref="R79" si="96">SUM(R80:R82)</f>
        <v>819621</v>
      </c>
      <c r="S79" s="751">
        <f t="shared" ref="S79" si="97">SUM(S80:S82)</f>
        <v>819621</v>
      </c>
    </row>
    <row r="80" spans="1:19" ht="16.5" customHeight="1" x14ac:dyDescent="0.25">
      <c r="A80" s="422"/>
      <c r="C80" s="443"/>
      <c r="D80" s="422"/>
      <c r="E80" s="422"/>
      <c r="F80" s="443" t="s">
        <v>504</v>
      </c>
      <c r="G80" s="400">
        <f t="shared" si="78"/>
        <v>22</v>
      </c>
      <c r="H80" s="690"/>
      <c r="I80" s="422">
        <v>22</v>
      </c>
      <c r="J80" s="422">
        <v>4.8600000000000003</v>
      </c>
      <c r="K80" s="422">
        <f t="shared" si="79"/>
        <v>3.8880000000000003</v>
      </c>
      <c r="L80" s="422">
        <v>0.2</v>
      </c>
      <c r="M80" s="400"/>
      <c r="N80" s="400"/>
      <c r="O80" s="400"/>
      <c r="P80" s="422">
        <f t="shared" si="80"/>
        <v>21.384</v>
      </c>
      <c r="Q80" s="400">
        <v>16.5</v>
      </c>
      <c r="R80" s="400">
        <f t="shared" si="81"/>
        <v>352836</v>
      </c>
      <c r="S80" s="400">
        <f t="shared" si="82"/>
        <v>352836</v>
      </c>
    </row>
    <row r="81" spans="1:19" ht="16.5" customHeight="1" x14ac:dyDescent="0.25">
      <c r="A81" s="422"/>
      <c r="B81" s="443"/>
      <c r="C81" s="443" t="s">
        <v>713</v>
      </c>
      <c r="D81" s="422"/>
      <c r="E81" s="422"/>
      <c r="F81" s="443" t="s">
        <v>501</v>
      </c>
      <c r="G81" s="400">
        <f t="shared" si="78"/>
        <v>100</v>
      </c>
      <c r="H81" s="690"/>
      <c r="I81" s="422">
        <v>100</v>
      </c>
      <c r="J81" s="422">
        <v>4.8600000000000003</v>
      </c>
      <c r="K81" s="422">
        <f t="shared" si="79"/>
        <v>4.617</v>
      </c>
      <c r="L81" s="422">
        <v>0.05</v>
      </c>
      <c r="M81" s="400"/>
      <c r="N81" s="400"/>
      <c r="O81" s="400"/>
      <c r="P81" s="422">
        <f t="shared" si="80"/>
        <v>24.300000000000004</v>
      </c>
      <c r="Q81" s="400">
        <v>16.5</v>
      </c>
      <c r="R81" s="400">
        <f t="shared" si="81"/>
        <v>400950.00000000006</v>
      </c>
      <c r="S81" s="400">
        <f t="shared" si="82"/>
        <v>400950.00000000006</v>
      </c>
    </row>
    <row r="82" spans="1:19" ht="16.5" customHeight="1" x14ac:dyDescent="0.25">
      <c r="A82" s="422"/>
      <c r="B82" s="443"/>
      <c r="C82" s="443" t="s">
        <v>716</v>
      </c>
      <c r="D82" s="422"/>
      <c r="E82" s="422"/>
      <c r="F82" s="443" t="s">
        <v>501</v>
      </c>
      <c r="G82" s="400">
        <f t="shared" si="78"/>
        <v>21</v>
      </c>
      <c r="H82" s="690"/>
      <c r="I82" s="422">
        <v>21</v>
      </c>
      <c r="J82" s="422">
        <v>3.8</v>
      </c>
      <c r="K82" s="422">
        <f t="shared" si="79"/>
        <v>3.61</v>
      </c>
      <c r="L82" s="422">
        <v>0.05</v>
      </c>
      <c r="M82" s="400"/>
      <c r="N82" s="400"/>
      <c r="O82" s="400"/>
      <c r="P82" s="422">
        <f t="shared" si="80"/>
        <v>3.99</v>
      </c>
      <c r="Q82" s="400">
        <v>16.5</v>
      </c>
      <c r="R82" s="400">
        <f t="shared" si="81"/>
        <v>65835.000000000015</v>
      </c>
      <c r="S82" s="400">
        <f t="shared" si="82"/>
        <v>65835.000000000015</v>
      </c>
    </row>
    <row r="83" spans="1:19" s="515" customFormat="1" ht="16.5" customHeight="1" x14ac:dyDescent="0.25">
      <c r="A83" s="751"/>
      <c r="B83" s="443" t="s">
        <v>718</v>
      </c>
      <c r="C83" s="748"/>
      <c r="D83" s="751"/>
      <c r="E83" s="751">
        <f>SUM(E84:E85)</f>
        <v>0</v>
      </c>
      <c r="F83" s="751">
        <f t="shared" ref="F83" si="98">SUM(F84:F85)</f>
        <v>0</v>
      </c>
      <c r="G83" s="751">
        <f t="shared" ref="G83" si="99">SUM(G84:G85)</f>
        <v>165</v>
      </c>
      <c r="H83" s="751">
        <f t="shared" ref="H83" si="100">SUM(H84:H85)</f>
        <v>0</v>
      </c>
      <c r="I83" s="751">
        <f t="shared" ref="I83" si="101">SUM(I84:I85)</f>
        <v>165</v>
      </c>
      <c r="J83" s="751">
        <f t="shared" ref="J83" si="102">SUM(J84:J85)</f>
        <v>9.7200000000000006</v>
      </c>
      <c r="K83" s="751">
        <f t="shared" ref="K83" si="103">SUM(K84:K85)</f>
        <v>8.5050000000000008</v>
      </c>
      <c r="L83" s="751">
        <f t="shared" ref="L83" si="104">SUM(L84:L85)</f>
        <v>0.25</v>
      </c>
      <c r="M83" s="751">
        <f t="shared" ref="M83" si="105">SUM(M84:M85)</f>
        <v>0</v>
      </c>
      <c r="N83" s="751">
        <f t="shared" ref="N83" si="106">SUM(N84:N85)</f>
        <v>0</v>
      </c>
      <c r="O83" s="751">
        <f t="shared" ref="O83" si="107">SUM(O84:O85)</f>
        <v>0</v>
      </c>
      <c r="P83" s="751">
        <f t="shared" ref="P83" si="108">SUM(P84:P85)</f>
        <v>128.30400000000003</v>
      </c>
      <c r="Q83" s="751">
        <f t="shared" ref="Q83" si="109">SUM(Q84:Q85)</f>
        <v>33</v>
      </c>
      <c r="R83" s="751">
        <f t="shared" ref="R83" si="110">SUM(R84:R85)</f>
        <v>2117016.0000000005</v>
      </c>
      <c r="S83" s="751">
        <f t="shared" ref="S83" si="111">SUM(S84:S85)</f>
        <v>2117016.0000000005</v>
      </c>
    </row>
    <row r="84" spans="1:19" ht="16.5" customHeight="1" x14ac:dyDescent="0.25">
      <c r="A84" s="422"/>
      <c r="C84" s="443"/>
      <c r="D84" s="422"/>
      <c r="E84" s="422"/>
      <c r="F84" s="443" t="s">
        <v>504</v>
      </c>
      <c r="G84" s="400">
        <f t="shared" si="78"/>
        <v>121</v>
      </c>
      <c r="H84" s="690"/>
      <c r="I84" s="422">
        <v>121</v>
      </c>
      <c r="J84" s="422">
        <v>4.8600000000000003</v>
      </c>
      <c r="K84" s="422">
        <f>J84-(J84*L84)</f>
        <v>3.8880000000000003</v>
      </c>
      <c r="L84" s="422">
        <v>0.2</v>
      </c>
      <c r="M84" s="400"/>
      <c r="N84" s="400"/>
      <c r="O84" s="400"/>
      <c r="P84" s="422">
        <f>I84*J84*L84</f>
        <v>117.61200000000002</v>
      </c>
      <c r="Q84" s="400">
        <v>16.5</v>
      </c>
      <c r="R84" s="400">
        <f t="shared" si="81"/>
        <v>1940598.0000000005</v>
      </c>
      <c r="S84" s="400">
        <f t="shared" si="82"/>
        <v>1940598.0000000005</v>
      </c>
    </row>
    <row r="85" spans="1:19" ht="16.5" customHeight="1" x14ac:dyDescent="0.25">
      <c r="A85" s="422"/>
      <c r="B85" s="443"/>
      <c r="C85" s="443"/>
      <c r="D85" s="422"/>
      <c r="E85" s="422"/>
      <c r="F85" s="443" t="s">
        <v>501</v>
      </c>
      <c r="G85" s="400">
        <f t="shared" si="78"/>
        <v>44</v>
      </c>
      <c r="H85" s="690"/>
      <c r="I85" s="422">
        <v>44</v>
      </c>
      <c r="J85" s="422">
        <v>4.8600000000000003</v>
      </c>
      <c r="K85" s="422">
        <f>J85-(J85*L85)</f>
        <v>4.617</v>
      </c>
      <c r="L85" s="422">
        <v>0.05</v>
      </c>
      <c r="M85" s="400"/>
      <c r="N85" s="400"/>
      <c r="O85" s="400"/>
      <c r="P85" s="422">
        <f>I85*J85*L85</f>
        <v>10.692</v>
      </c>
      <c r="Q85" s="400">
        <v>16.5</v>
      </c>
      <c r="R85" s="400">
        <f>P85*Q85*1000</f>
        <v>176418</v>
      </c>
      <c r="S85" s="400">
        <f>R85</f>
        <v>176418</v>
      </c>
    </row>
    <row r="86" spans="1:19" s="515" customFormat="1" ht="16.5" customHeight="1" x14ac:dyDescent="0.25">
      <c r="A86" s="751"/>
      <c r="B86" s="443" t="s">
        <v>719</v>
      </c>
      <c r="C86" s="748"/>
      <c r="D86" s="751"/>
      <c r="E86" s="751">
        <f>SUM(E87:E88)</f>
        <v>0</v>
      </c>
      <c r="F86" s="751">
        <f t="shared" ref="F86" si="112">SUM(F87:F88)</f>
        <v>0</v>
      </c>
      <c r="G86" s="751">
        <f t="shared" ref="G86" si="113">SUM(G87:G88)</f>
        <v>289</v>
      </c>
      <c r="H86" s="751">
        <f t="shared" ref="H86" si="114">SUM(H87:H88)</f>
        <v>0</v>
      </c>
      <c r="I86" s="751">
        <f t="shared" ref="I86" si="115">SUM(I87:I88)</f>
        <v>289</v>
      </c>
      <c r="J86" s="751">
        <f t="shared" ref="J86" si="116">SUM(J87:J88)</f>
        <v>9.7200000000000006</v>
      </c>
      <c r="K86" s="751">
        <f t="shared" ref="K86" si="117">SUM(K87:K88)</f>
        <v>8.2620000000000005</v>
      </c>
      <c r="L86" s="751">
        <f t="shared" ref="L86" si="118">SUM(L87:L88)</f>
        <v>0.30000000000000004</v>
      </c>
      <c r="M86" s="751">
        <f t="shared" ref="M86" si="119">SUM(M87:M88)</f>
        <v>0</v>
      </c>
      <c r="N86" s="751">
        <f t="shared" ref="N86" si="120">SUM(N87:N88)</f>
        <v>0</v>
      </c>
      <c r="O86" s="751">
        <f t="shared" ref="O86" si="121">SUM(O87:O88)</f>
        <v>0</v>
      </c>
      <c r="P86" s="751">
        <f t="shared" ref="P86" si="122">SUM(P87:P88)</f>
        <v>256.608</v>
      </c>
      <c r="Q86" s="751">
        <f t="shared" ref="Q86" si="123">SUM(Q87:Q88)</f>
        <v>33</v>
      </c>
      <c r="R86" s="751">
        <f t="shared" ref="R86" si="124">SUM(R87:R88)</f>
        <v>4234032</v>
      </c>
      <c r="S86" s="751">
        <f t="shared" ref="S86" si="125">SUM(S87:S88)</f>
        <v>4234032</v>
      </c>
    </row>
    <row r="87" spans="1:19" ht="16.5" customHeight="1" x14ac:dyDescent="0.25">
      <c r="A87" s="422"/>
      <c r="C87" s="443"/>
      <c r="D87" s="422"/>
      <c r="E87" s="422"/>
      <c r="F87" s="443" t="s">
        <v>504</v>
      </c>
      <c r="G87" s="400">
        <f t="shared" si="78"/>
        <v>239</v>
      </c>
      <c r="H87" s="690"/>
      <c r="I87" s="422">
        <v>239</v>
      </c>
      <c r="J87" s="422">
        <v>4.8600000000000003</v>
      </c>
      <c r="K87" s="422">
        <f t="shared" si="79"/>
        <v>3.8880000000000003</v>
      </c>
      <c r="L87" s="422">
        <v>0.2</v>
      </c>
      <c r="M87" s="400"/>
      <c r="N87" s="400"/>
      <c r="O87" s="400"/>
      <c r="P87" s="422">
        <f t="shared" si="80"/>
        <v>232.30799999999999</v>
      </c>
      <c r="Q87" s="400">
        <v>16.5</v>
      </c>
      <c r="R87" s="400">
        <f t="shared" si="81"/>
        <v>3833082</v>
      </c>
      <c r="S87" s="400">
        <f t="shared" si="82"/>
        <v>3833082</v>
      </c>
    </row>
    <row r="88" spans="1:19" ht="16.5" customHeight="1" x14ac:dyDescent="0.25">
      <c r="A88" s="422"/>
      <c r="B88" s="443"/>
      <c r="C88" s="443"/>
      <c r="D88" s="422"/>
      <c r="E88" s="422"/>
      <c r="F88" s="443" t="s">
        <v>741</v>
      </c>
      <c r="G88" s="400">
        <f t="shared" si="78"/>
        <v>50</v>
      </c>
      <c r="H88" s="690"/>
      <c r="I88" s="422">
        <v>50</v>
      </c>
      <c r="J88" s="422">
        <v>4.8600000000000003</v>
      </c>
      <c r="K88" s="422">
        <f t="shared" si="79"/>
        <v>4.3740000000000006</v>
      </c>
      <c r="L88" s="422">
        <v>0.1</v>
      </c>
      <c r="M88" s="400"/>
      <c r="N88" s="400"/>
      <c r="O88" s="400"/>
      <c r="P88" s="422">
        <f t="shared" si="80"/>
        <v>24.300000000000004</v>
      </c>
      <c r="Q88" s="400">
        <v>16.5</v>
      </c>
      <c r="R88" s="400">
        <f t="shared" si="81"/>
        <v>400950.00000000006</v>
      </c>
      <c r="S88" s="400">
        <f t="shared" si="82"/>
        <v>400950.00000000006</v>
      </c>
    </row>
    <row r="89" spans="1:19" s="515" customFormat="1" ht="16.5" customHeight="1" x14ac:dyDescent="0.25">
      <c r="A89" s="751"/>
      <c r="B89" s="443" t="s">
        <v>570</v>
      </c>
      <c r="C89" s="748"/>
      <c r="D89" s="751"/>
      <c r="E89" s="751">
        <f>SUM(E90:E91)</f>
        <v>0</v>
      </c>
      <c r="F89" s="751">
        <f t="shared" ref="F89" si="126">SUM(F90:F91)</f>
        <v>0</v>
      </c>
      <c r="G89" s="751">
        <f t="shared" ref="G89" si="127">SUM(G90:G91)</f>
        <v>186.98</v>
      </c>
      <c r="H89" s="751">
        <f t="shared" ref="H89" si="128">SUM(H90:H91)</f>
        <v>0</v>
      </c>
      <c r="I89" s="751">
        <f t="shared" ref="I89" si="129">SUM(I90:I91)</f>
        <v>186.98</v>
      </c>
      <c r="J89" s="751">
        <f t="shared" ref="J89" si="130">SUM(J90:J91)</f>
        <v>9.7200000000000006</v>
      </c>
      <c r="K89" s="751">
        <f t="shared" ref="K89" si="131">SUM(K90:K91)</f>
        <v>8.5050000000000008</v>
      </c>
      <c r="L89" s="751">
        <f t="shared" ref="L89" si="132">SUM(L90:L91)</f>
        <v>0.25</v>
      </c>
      <c r="M89" s="751">
        <f t="shared" ref="M89" si="133">SUM(M90:M91)</f>
        <v>0</v>
      </c>
      <c r="N89" s="751">
        <f t="shared" ref="N89" si="134">SUM(N90:N91)</f>
        <v>0</v>
      </c>
      <c r="O89" s="751">
        <f t="shared" ref="O89" si="135">SUM(O90:O91)</f>
        <v>0</v>
      </c>
      <c r="P89" s="751">
        <f t="shared" ref="P89" si="136">SUM(P90:P91)</f>
        <v>146.15478000000002</v>
      </c>
      <c r="Q89" s="751">
        <f t="shared" ref="Q89" si="137">SUM(Q90:Q91)</f>
        <v>33</v>
      </c>
      <c r="R89" s="751">
        <f t="shared" ref="R89" si="138">SUM(R90:R91)</f>
        <v>2411553.87</v>
      </c>
      <c r="S89" s="751">
        <f t="shared" ref="S89" si="139">SUM(S90:S91)</f>
        <v>2411553.87</v>
      </c>
    </row>
    <row r="90" spans="1:19" ht="16.5" customHeight="1" x14ac:dyDescent="0.25">
      <c r="A90" s="422"/>
      <c r="C90" s="443"/>
      <c r="D90" s="422"/>
      <c r="E90" s="422"/>
      <c r="F90" s="443" t="s">
        <v>504</v>
      </c>
      <c r="G90" s="400">
        <f t="shared" si="78"/>
        <v>138.16</v>
      </c>
      <c r="H90" s="690"/>
      <c r="I90" s="422">
        <v>138.16</v>
      </c>
      <c r="J90" s="422">
        <v>4.8600000000000003</v>
      </c>
      <c r="K90" s="422">
        <f t="shared" si="79"/>
        <v>3.8880000000000003</v>
      </c>
      <c r="L90" s="422">
        <v>0.2</v>
      </c>
      <c r="M90" s="400"/>
      <c r="N90" s="400"/>
      <c r="O90" s="400"/>
      <c r="P90" s="422">
        <f t="shared" si="80"/>
        <v>134.29152000000002</v>
      </c>
      <c r="Q90" s="400">
        <v>16.5</v>
      </c>
      <c r="R90" s="400">
        <f t="shared" si="81"/>
        <v>2215810.08</v>
      </c>
      <c r="S90" s="400">
        <f t="shared" si="82"/>
        <v>2215810.08</v>
      </c>
    </row>
    <row r="91" spans="1:19" ht="16.5" customHeight="1" x14ac:dyDescent="0.25">
      <c r="A91" s="422"/>
      <c r="B91" s="443"/>
      <c r="C91" s="443"/>
      <c r="D91" s="422"/>
      <c r="E91" s="422"/>
      <c r="F91" s="443" t="s">
        <v>501</v>
      </c>
      <c r="G91" s="400">
        <f t="shared" si="78"/>
        <v>48.82</v>
      </c>
      <c r="H91" s="690"/>
      <c r="I91" s="422">
        <v>48.82</v>
      </c>
      <c r="J91" s="422">
        <v>4.8600000000000003</v>
      </c>
      <c r="K91" s="422">
        <f t="shared" si="79"/>
        <v>4.617</v>
      </c>
      <c r="L91" s="422">
        <v>0.05</v>
      </c>
      <c r="M91" s="400"/>
      <c r="N91" s="400"/>
      <c r="O91" s="400"/>
      <c r="P91" s="422">
        <f t="shared" si="80"/>
        <v>11.863260000000002</v>
      </c>
      <c r="Q91" s="400">
        <v>16.5</v>
      </c>
      <c r="R91" s="400">
        <f t="shared" si="81"/>
        <v>195743.79000000004</v>
      </c>
      <c r="S91" s="400">
        <f t="shared" si="82"/>
        <v>195743.79000000004</v>
      </c>
    </row>
    <row r="92" spans="1:19" ht="16.5" customHeight="1" x14ac:dyDescent="0.25">
      <c r="A92" s="422"/>
      <c r="B92" s="443" t="s">
        <v>712</v>
      </c>
      <c r="C92" s="443"/>
      <c r="D92" s="422"/>
      <c r="E92" s="422"/>
      <c r="F92" s="443" t="s">
        <v>741</v>
      </c>
      <c r="G92" s="400">
        <f t="shared" si="78"/>
        <v>15</v>
      </c>
      <c r="H92" s="690"/>
      <c r="I92" s="422">
        <v>15</v>
      </c>
      <c r="J92" s="422">
        <v>4.8600000000000003</v>
      </c>
      <c r="K92" s="422">
        <f t="shared" si="79"/>
        <v>4.3740000000000006</v>
      </c>
      <c r="L92" s="422">
        <v>0.1</v>
      </c>
      <c r="M92" s="400"/>
      <c r="N92" s="400"/>
      <c r="O92" s="400"/>
      <c r="P92" s="422">
        <f t="shared" si="80"/>
        <v>7.2900000000000009</v>
      </c>
      <c r="Q92" s="400">
        <v>16.5</v>
      </c>
      <c r="R92" s="400">
        <f t="shared" si="81"/>
        <v>120285.00000000001</v>
      </c>
      <c r="S92" s="400">
        <f t="shared" si="82"/>
        <v>120285.00000000001</v>
      </c>
    </row>
    <row r="93" spans="1:19" ht="16.5" customHeight="1" x14ac:dyDescent="0.25">
      <c r="A93" s="422"/>
      <c r="B93" s="443"/>
      <c r="C93" s="443"/>
      <c r="D93" s="422"/>
      <c r="E93" s="422"/>
      <c r="F93" s="443"/>
      <c r="G93" s="400"/>
      <c r="H93" s="690"/>
      <c r="I93" s="422"/>
      <c r="J93" s="422"/>
      <c r="K93" s="422"/>
      <c r="L93" s="422"/>
      <c r="M93" s="400"/>
      <c r="N93" s="400"/>
      <c r="O93" s="400"/>
      <c r="P93" s="422"/>
      <c r="Q93" s="400"/>
      <c r="R93" s="400"/>
      <c r="S93" s="400"/>
    </row>
    <row r="94" spans="1:19" ht="16.5" customHeight="1" x14ac:dyDescent="0.25">
      <c r="A94" s="461"/>
      <c r="B94" s="464" t="s">
        <v>475</v>
      </c>
      <c r="C94" s="464"/>
      <c r="D94" s="691"/>
      <c r="E94" s="691"/>
      <c r="F94" s="464"/>
      <c r="G94" s="419">
        <f>SUM(G96:G117)</f>
        <v>4091.64</v>
      </c>
      <c r="H94" s="419">
        <f>SUM(H96:H117)</f>
        <v>4</v>
      </c>
      <c r="I94" s="419">
        <f>SUM(I96:I117)</f>
        <v>4087.64</v>
      </c>
      <c r="J94" s="691"/>
      <c r="K94" s="691"/>
      <c r="L94" s="691"/>
      <c r="M94" s="419">
        <f>SUM(M96:M117)</f>
        <v>0</v>
      </c>
      <c r="N94" s="419"/>
      <c r="O94" s="419">
        <f>SUM(O96:O117)</f>
        <v>0</v>
      </c>
      <c r="P94" s="419">
        <f>SUM(P96:P117)</f>
        <v>2452.2490800000005</v>
      </c>
      <c r="Q94" s="419"/>
      <c r="R94" s="419">
        <f>SUM(R96:R117)</f>
        <v>40462109.820000008</v>
      </c>
      <c r="S94" s="419">
        <f>SUM(S96:S117)</f>
        <v>40462109.820000008</v>
      </c>
    </row>
    <row r="95" spans="1:19" s="515" customFormat="1" ht="16.5" customHeight="1" x14ac:dyDescent="0.25">
      <c r="A95" s="747"/>
      <c r="B95" s="443" t="s">
        <v>829</v>
      </c>
      <c r="C95" s="750"/>
      <c r="D95" s="1072"/>
      <c r="E95" s="751">
        <f>SUM(E96:E97)</f>
        <v>0</v>
      </c>
      <c r="F95" s="751">
        <f t="shared" ref="F95" si="140">SUM(F96:F97)</f>
        <v>0</v>
      </c>
      <c r="G95" s="751">
        <f t="shared" ref="G95" si="141">SUM(G96:G97)</f>
        <v>580</v>
      </c>
      <c r="H95" s="751">
        <f t="shared" ref="H95" si="142">SUM(H96:H97)</f>
        <v>0</v>
      </c>
      <c r="I95" s="751">
        <f t="shared" ref="I95" si="143">SUM(I96:I97)</f>
        <v>580</v>
      </c>
      <c r="J95" s="751">
        <f t="shared" ref="J95" si="144">SUM(J96:J97)</f>
        <v>9.7200000000000006</v>
      </c>
      <c r="K95" s="751">
        <f t="shared" ref="K95" si="145">SUM(K96:K97)</f>
        <v>8.9909999999999997</v>
      </c>
      <c r="L95" s="751">
        <f t="shared" ref="L95" si="146">SUM(L96:L97)</f>
        <v>0.15000000000000002</v>
      </c>
      <c r="M95" s="751">
        <f t="shared" ref="M95" si="147">SUM(M96:M97)</f>
        <v>0</v>
      </c>
      <c r="N95" s="751">
        <f t="shared" ref="N95" si="148">SUM(N96:N97)</f>
        <v>0</v>
      </c>
      <c r="O95" s="751">
        <f t="shared" ref="O95" si="149">SUM(O96:O97)</f>
        <v>0</v>
      </c>
      <c r="P95" s="751">
        <f t="shared" ref="P95" si="150">SUM(P96:P97)</f>
        <v>159.16500000000002</v>
      </c>
      <c r="Q95" s="751">
        <f t="shared" ref="Q95" si="151">SUM(Q96:Q97)</f>
        <v>33</v>
      </c>
      <c r="R95" s="751">
        <f t="shared" ref="R95" si="152">SUM(R96:R97)</f>
        <v>2626222.5000000005</v>
      </c>
      <c r="S95" s="751">
        <f t="shared" ref="S95" si="153">SUM(S96:S97)</f>
        <v>2626222.5000000005</v>
      </c>
    </row>
    <row r="96" spans="1:19" ht="16.5" customHeight="1" x14ac:dyDescent="0.25">
      <c r="A96" s="422"/>
      <c r="C96" s="443"/>
      <c r="D96" s="422"/>
      <c r="E96" s="422"/>
      <c r="F96" s="443" t="s">
        <v>487</v>
      </c>
      <c r="G96" s="400">
        <f t="shared" ref="G96:G117" si="154">H96+I96</f>
        <v>75</v>
      </c>
      <c r="H96" s="690"/>
      <c r="I96" s="422">
        <v>75</v>
      </c>
      <c r="J96" s="422">
        <v>4.8600000000000003</v>
      </c>
      <c r="K96" s="422">
        <f t="shared" ref="K96:K117" si="155">J96-(J96*L96)</f>
        <v>4.3740000000000006</v>
      </c>
      <c r="L96" s="422">
        <v>0.1</v>
      </c>
      <c r="M96" s="400"/>
      <c r="N96" s="400"/>
      <c r="O96" s="400"/>
      <c r="P96" s="422">
        <f t="shared" ref="P96:P117" si="156">I96*J96*L96</f>
        <v>36.450000000000003</v>
      </c>
      <c r="Q96" s="400">
        <v>16.5</v>
      </c>
      <c r="R96" s="400">
        <f t="shared" ref="R96:R117" si="157">P96*Q96*1000</f>
        <v>601425.00000000012</v>
      </c>
      <c r="S96" s="400">
        <f t="shared" ref="S96:S117" si="158">R96</f>
        <v>601425.00000000012</v>
      </c>
    </row>
    <row r="97" spans="1:19" ht="16.5" customHeight="1" x14ac:dyDescent="0.25">
      <c r="A97" s="422"/>
      <c r="B97" s="443"/>
      <c r="C97" s="443"/>
      <c r="D97" s="422"/>
      <c r="E97" s="422"/>
      <c r="F97" s="443" t="s">
        <v>501</v>
      </c>
      <c r="G97" s="400">
        <f t="shared" si="154"/>
        <v>505</v>
      </c>
      <c r="H97" s="690"/>
      <c r="I97" s="422">
        <v>505</v>
      </c>
      <c r="J97" s="422">
        <v>4.8600000000000003</v>
      </c>
      <c r="K97" s="422">
        <f t="shared" si="155"/>
        <v>4.617</v>
      </c>
      <c r="L97" s="422">
        <v>0.05</v>
      </c>
      <c r="M97" s="400"/>
      <c r="N97" s="400"/>
      <c r="O97" s="400"/>
      <c r="P97" s="422">
        <f t="shared" si="156"/>
        <v>122.71500000000002</v>
      </c>
      <c r="Q97" s="400">
        <v>16.5</v>
      </c>
      <c r="R97" s="400">
        <f t="shared" si="157"/>
        <v>2024797.5000000005</v>
      </c>
      <c r="S97" s="400">
        <f t="shared" si="158"/>
        <v>2024797.5000000005</v>
      </c>
    </row>
    <row r="98" spans="1:19" s="515" customFormat="1" ht="16.5" customHeight="1" x14ac:dyDescent="0.25">
      <c r="A98" s="751"/>
      <c r="B98" s="443" t="s">
        <v>729</v>
      </c>
      <c r="C98" s="748"/>
      <c r="D98" s="751"/>
      <c r="E98" s="751">
        <f>SUM(E99:E101)</f>
        <v>0</v>
      </c>
      <c r="F98" s="751">
        <f t="shared" ref="F98:S98" si="159">SUM(F99:F101)</f>
        <v>0</v>
      </c>
      <c r="G98" s="751">
        <f t="shared" si="159"/>
        <v>824</v>
      </c>
      <c r="H98" s="751">
        <f t="shared" si="159"/>
        <v>0</v>
      </c>
      <c r="I98" s="751">
        <f t="shared" si="159"/>
        <v>824</v>
      </c>
      <c r="J98" s="751">
        <f t="shared" si="159"/>
        <v>14.580000000000002</v>
      </c>
      <c r="K98" s="751">
        <f t="shared" si="159"/>
        <v>12.879000000000001</v>
      </c>
      <c r="L98" s="751">
        <f t="shared" si="159"/>
        <v>0.35000000000000003</v>
      </c>
      <c r="M98" s="751">
        <f t="shared" si="159"/>
        <v>0</v>
      </c>
      <c r="N98" s="751">
        <f t="shared" si="159"/>
        <v>0</v>
      </c>
      <c r="O98" s="751">
        <f t="shared" si="159"/>
        <v>0</v>
      </c>
      <c r="P98" s="751">
        <f t="shared" si="159"/>
        <v>543.10500000000013</v>
      </c>
      <c r="Q98" s="751">
        <f t="shared" si="159"/>
        <v>49.5</v>
      </c>
      <c r="R98" s="751">
        <f t="shared" si="159"/>
        <v>8961232.5000000019</v>
      </c>
      <c r="S98" s="751">
        <f t="shared" si="159"/>
        <v>8961232.5000000019</v>
      </c>
    </row>
    <row r="99" spans="1:19" ht="16.5" customHeight="1" x14ac:dyDescent="0.25">
      <c r="A99" s="422"/>
      <c r="C99" s="443"/>
      <c r="D99" s="422"/>
      <c r="E99" s="422"/>
      <c r="F99" s="443" t="s">
        <v>487</v>
      </c>
      <c r="G99" s="400">
        <f t="shared" si="154"/>
        <v>100</v>
      </c>
      <c r="H99" s="690"/>
      <c r="I99" s="422">
        <v>100</v>
      </c>
      <c r="J99" s="422">
        <v>4.8600000000000003</v>
      </c>
      <c r="K99" s="422">
        <f t="shared" si="155"/>
        <v>4.3740000000000006</v>
      </c>
      <c r="L99" s="422">
        <v>0.1</v>
      </c>
      <c r="M99" s="400"/>
      <c r="N99" s="400"/>
      <c r="O99" s="400"/>
      <c r="P99" s="422">
        <f t="shared" si="156"/>
        <v>48.600000000000009</v>
      </c>
      <c r="Q99" s="400">
        <v>16.5</v>
      </c>
      <c r="R99" s="400">
        <f t="shared" si="157"/>
        <v>801900.00000000012</v>
      </c>
      <c r="S99" s="400">
        <f t="shared" si="158"/>
        <v>801900.00000000012</v>
      </c>
    </row>
    <row r="100" spans="1:19" ht="16.5" customHeight="1" x14ac:dyDescent="0.25">
      <c r="A100" s="422"/>
      <c r="B100" s="443"/>
      <c r="C100" s="443"/>
      <c r="D100" s="422"/>
      <c r="E100" s="422"/>
      <c r="F100" s="443" t="s">
        <v>504</v>
      </c>
      <c r="G100" s="400">
        <f t="shared" si="154"/>
        <v>437</v>
      </c>
      <c r="H100" s="690"/>
      <c r="I100" s="422">
        <v>437</v>
      </c>
      <c r="J100" s="422">
        <v>4.8600000000000003</v>
      </c>
      <c r="K100" s="422">
        <f t="shared" si="155"/>
        <v>3.8880000000000003</v>
      </c>
      <c r="L100" s="422">
        <v>0.2</v>
      </c>
      <c r="M100" s="400"/>
      <c r="N100" s="400"/>
      <c r="O100" s="400"/>
      <c r="P100" s="422">
        <f t="shared" si="156"/>
        <v>424.76400000000007</v>
      </c>
      <c r="Q100" s="400">
        <v>16.5</v>
      </c>
      <c r="R100" s="400">
        <f t="shared" si="157"/>
        <v>7008606.0000000009</v>
      </c>
      <c r="S100" s="400">
        <f t="shared" si="158"/>
        <v>7008606.0000000009</v>
      </c>
    </row>
    <row r="101" spans="1:19" ht="16.5" customHeight="1" x14ac:dyDescent="0.25">
      <c r="A101" s="422"/>
      <c r="B101" s="443"/>
      <c r="C101" s="443"/>
      <c r="D101" s="422"/>
      <c r="E101" s="422"/>
      <c r="F101" s="443" t="s">
        <v>501</v>
      </c>
      <c r="G101" s="400">
        <f t="shared" si="154"/>
        <v>287</v>
      </c>
      <c r="H101" s="690"/>
      <c r="I101" s="422">
        <v>287</v>
      </c>
      <c r="J101" s="422">
        <v>4.8600000000000003</v>
      </c>
      <c r="K101" s="422">
        <f t="shared" si="155"/>
        <v>4.617</v>
      </c>
      <c r="L101" s="422">
        <v>0.05</v>
      </c>
      <c r="M101" s="400"/>
      <c r="N101" s="400"/>
      <c r="O101" s="400"/>
      <c r="P101" s="422">
        <f t="shared" si="156"/>
        <v>69.741000000000014</v>
      </c>
      <c r="Q101" s="400">
        <v>16.5</v>
      </c>
      <c r="R101" s="400">
        <f t="shared" si="157"/>
        <v>1150726.5000000002</v>
      </c>
      <c r="S101" s="400">
        <f t="shared" si="158"/>
        <v>1150726.5000000002</v>
      </c>
    </row>
    <row r="102" spans="1:19" s="515" customFormat="1" ht="16.5" customHeight="1" x14ac:dyDescent="0.25">
      <c r="A102" s="751"/>
      <c r="B102" s="443" t="s">
        <v>734</v>
      </c>
      <c r="C102" s="748"/>
      <c r="D102" s="751"/>
      <c r="E102" s="751">
        <f>SUM(E103:E106)</f>
        <v>0</v>
      </c>
      <c r="F102" s="751">
        <f t="shared" ref="F102:S102" si="160">SUM(F103:F106)</f>
        <v>0</v>
      </c>
      <c r="G102" s="751">
        <f t="shared" si="160"/>
        <v>342</v>
      </c>
      <c r="H102" s="751">
        <f t="shared" si="160"/>
        <v>2</v>
      </c>
      <c r="I102" s="751">
        <f t="shared" si="160"/>
        <v>340</v>
      </c>
      <c r="J102" s="751">
        <f t="shared" si="160"/>
        <v>19.440000000000001</v>
      </c>
      <c r="K102" s="751">
        <f t="shared" si="160"/>
        <v>13.365000000000002</v>
      </c>
      <c r="L102" s="751">
        <f t="shared" si="160"/>
        <v>1.25</v>
      </c>
      <c r="M102" s="751">
        <f t="shared" si="160"/>
        <v>0</v>
      </c>
      <c r="N102" s="751">
        <f t="shared" si="160"/>
        <v>0</v>
      </c>
      <c r="O102" s="751">
        <f t="shared" si="160"/>
        <v>0</v>
      </c>
      <c r="P102" s="751">
        <f t="shared" si="160"/>
        <v>148.23000000000002</v>
      </c>
      <c r="Q102" s="751">
        <f t="shared" si="160"/>
        <v>66</v>
      </c>
      <c r="R102" s="751">
        <f t="shared" si="160"/>
        <v>2445795.0000000005</v>
      </c>
      <c r="S102" s="751">
        <f t="shared" si="160"/>
        <v>2445795.0000000005</v>
      </c>
    </row>
    <row r="103" spans="1:19" ht="16.5" customHeight="1" x14ac:dyDescent="0.25">
      <c r="A103" s="422"/>
      <c r="C103" s="443"/>
      <c r="D103" s="422"/>
      <c r="E103" s="422"/>
      <c r="F103" s="443" t="s">
        <v>487</v>
      </c>
      <c r="G103" s="400">
        <f t="shared" si="154"/>
        <v>120</v>
      </c>
      <c r="H103" s="690"/>
      <c r="I103" s="422">
        <v>120</v>
      </c>
      <c r="J103" s="422">
        <v>4.8600000000000003</v>
      </c>
      <c r="K103" s="422">
        <f t="shared" si="155"/>
        <v>4.3740000000000006</v>
      </c>
      <c r="L103" s="422">
        <v>0.1</v>
      </c>
      <c r="M103" s="400"/>
      <c r="N103" s="400"/>
      <c r="O103" s="400"/>
      <c r="P103" s="422">
        <f t="shared" si="156"/>
        <v>58.320000000000007</v>
      </c>
      <c r="Q103" s="400">
        <v>16.5</v>
      </c>
      <c r="R103" s="400">
        <f t="shared" si="157"/>
        <v>962280.00000000012</v>
      </c>
      <c r="S103" s="400">
        <f t="shared" si="158"/>
        <v>962280.00000000012</v>
      </c>
    </row>
    <row r="104" spans="1:19" ht="16.5" customHeight="1" x14ac:dyDescent="0.25">
      <c r="A104" s="422"/>
      <c r="B104" s="443"/>
      <c r="C104" s="443"/>
      <c r="D104" s="422"/>
      <c r="E104" s="422"/>
      <c r="F104" s="443" t="s">
        <v>741</v>
      </c>
      <c r="G104" s="400">
        <f t="shared" si="154"/>
        <v>110</v>
      </c>
      <c r="H104" s="690"/>
      <c r="I104" s="422">
        <v>110</v>
      </c>
      <c r="J104" s="422">
        <v>4.8600000000000003</v>
      </c>
      <c r="K104" s="422">
        <f t="shared" si="155"/>
        <v>4.3740000000000006</v>
      </c>
      <c r="L104" s="422">
        <v>0.1</v>
      </c>
      <c r="M104" s="400"/>
      <c r="N104" s="400"/>
      <c r="O104" s="400"/>
      <c r="P104" s="422">
        <f t="shared" si="156"/>
        <v>53.460000000000008</v>
      </c>
      <c r="Q104" s="400">
        <v>16.5</v>
      </c>
      <c r="R104" s="400">
        <f t="shared" si="157"/>
        <v>882090.00000000012</v>
      </c>
      <c r="S104" s="400">
        <f t="shared" si="158"/>
        <v>882090.00000000012</v>
      </c>
    </row>
    <row r="105" spans="1:19" ht="16.5" customHeight="1" x14ac:dyDescent="0.25">
      <c r="A105" s="422"/>
      <c r="B105" s="443"/>
      <c r="C105" s="443"/>
      <c r="D105" s="422"/>
      <c r="E105" s="422"/>
      <c r="F105" s="443" t="s">
        <v>501</v>
      </c>
      <c r="G105" s="400">
        <f t="shared" si="154"/>
        <v>110</v>
      </c>
      <c r="H105" s="690"/>
      <c r="I105" s="422">
        <v>110</v>
      </c>
      <c r="J105" s="422">
        <v>4.8600000000000003</v>
      </c>
      <c r="K105" s="422">
        <f t="shared" si="155"/>
        <v>4.617</v>
      </c>
      <c r="L105" s="422">
        <v>0.05</v>
      </c>
      <c r="M105" s="400"/>
      <c r="N105" s="400"/>
      <c r="O105" s="400"/>
      <c r="P105" s="422">
        <f t="shared" si="156"/>
        <v>26.730000000000004</v>
      </c>
      <c r="Q105" s="400">
        <v>16.5</v>
      </c>
      <c r="R105" s="400">
        <f t="shared" si="157"/>
        <v>441045.00000000006</v>
      </c>
      <c r="S105" s="400">
        <f t="shared" si="158"/>
        <v>441045.00000000006</v>
      </c>
    </row>
    <row r="106" spans="1:19" ht="16.5" customHeight="1" x14ac:dyDescent="0.25">
      <c r="A106" s="422"/>
      <c r="B106" s="443"/>
      <c r="C106" s="443"/>
      <c r="D106" s="422"/>
      <c r="E106" s="422"/>
      <c r="F106" s="443" t="s">
        <v>501</v>
      </c>
      <c r="G106" s="400">
        <f t="shared" si="154"/>
        <v>2</v>
      </c>
      <c r="H106" s="690">
        <v>2</v>
      </c>
      <c r="I106" s="422"/>
      <c r="J106" s="422">
        <v>4.8600000000000003</v>
      </c>
      <c r="K106" s="422">
        <f t="shared" si="155"/>
        <v>0</v>
      </c>
      <c r="L106" s="422">
        <v>1</v>
      </c>
      <c r="M106" s="400"/>
      <c r="N106" s="400"/>
      <c r="O106" s="400"/>
      <c r="P106" s="422">
        <f>H106*J106*L106</f>
        <v>9.7200000000000006</v>
      </c>
      <c r="Q106" s="400">
        <v>16.5</v>
      </c>
      <c r="R106" s="400">
        <f t="shared" si="157"/>
        <v>160380.00000000003</v>
      </c>
      <c r="S106" s="400">
        <f t="shared" si="158"/>
        <v>160380.00000000003</v>
      </c>
    </row>
    <row r="107" spans="1:19" ht="16.5" customHeight="1" x14ac:dyDescent="0.25">
      <c r="A107" s="422"/>
      <c r="B107" s="443" t="s">
        <v>737</v>
      </c>
      <c r="C107" s="443"/>
      <c r="D107" s="422"/>
      <c r="E107" s="422"/>
      <c r="F107" s="443" t="s">
        <v>501</v>
      </c>
      <c r="G107" s="400">
        <f t="shared" si="154"/>
        <v>200</v>
      </c>
      <c r="H107" s="690"/>
      <c r="I107" s="422">
        <v>200</v>
      </c>
      <c r="J107" s="422">
        <v>4.8600000000000003</v>
      </c>
      <c r="K107" s="422">
        <f t="shared" si="155"/>
        <v>4.617</v>
      </c>
      <c r="L107" s="422">
        <v>0.05</v>
      </c>
      <c r="M107" s="400"/>
      <c r="N107" s="400"/>
      <c r="O107" s="400"/>
      <c r="P107" s="422">
        <f t="shared" si="156"/>
        <v>48.600000000000009</v>
      </c>
      <c r="Q107" s="400">
        <v>16.5</v>
      </c>
      <c r="R107" s="400">
        <f t="shared" si="157"/>
        <v>801900.00000000012</v>
      </c>
      <c r="S107" s="400">
        <f t="shared" si="158"/>
        <v>801900.00000000012</v>
      </c>
    </row>
    <row r="108" spans="1:19" s="515" customFormat="1" ht="16.5" customHeight="1" x14ac:dyDescent="0.25">
      <c r="A108" s="751"/>
      <c r="B108" s="443" t="s">
        <v>732</v>
      </c>
      <c r="C108" s="748"/>
      <c r="D108" s="751"/>
      <c r="E108" s="751">
        <f>SUM(E109:E111)</f>
        <v>0</v>
      </c>
      <c r="F108" s="751">
        <f t="shared" ref="F108" si="161">SUM(F109:F111)</f>
        <v>0</v>
      </c>
      <c r="G108" s="751">
        <f t="shared" ref="G108" si="162">SUM(G109:G111)</f>
        <v>364</v>
      </c>
      <c r="H108" s="751">
        <f t="shared" ref="H108" si="163">SUM(H109:H111)</f>
        <v>0</v>
      </c>
      <c r="I108" s="751">
        <f t="shared" ref="I108" si="164">SUM(I109:I111)</f>
        <v>364</v>
      </c>
      <c r="J108" s="751">
        <f t="shared" ref="J108" si="165">SUM(J109:J111)</f>
        <v>14.580000000000002</v>
      </c>
      <c r="K108" s="751">
        <f t="shared" ref="K108" si="166">SUM(K109:K111)</f>
        <v>12.879000000000001</v>
      </c>
      <c r="L108" s="751">
        <f t="shared" ref="L108" si="167">SUM(L109:L111)</f>
        <v>0.35000000000000003</v>
      </c>
      <c r="M108" s="751">
        <f t="shared" ref="M108" si="168">SUM(M109:M111)</f>
        <v>0</v>
      </c>
      <c r="N108" s="751">
        <f t="shared" ref="N108" si="169">SUM(N109:N111)</f>
        <v>0</v>
      </c>
      <c r="O108" s="751">
        <f t="shared" ref="O108" si="170">SUM(O109:O111)</f>
        <v>0</v>
      </c>
      <c r="P108" s="751">
        <f t="shared" ref="P108" si="171">SUM(P109:P111)</f>
        <v>311.04000000000008</v>
      </c>
      <c r="Q108" s="751">
        <f t="shared" ref="Q108" si="172">SUM(Q109:Q111)</f>
        <v>49.5</v>
      </c>
      <c r="R108" s="751">
        <f t="shared" ref="R108" si="173">SUM(R109:R111)</f>
        <v>5132160.0000000009</v>
      </c>
      <c r="S108" s="751">
        <f t="shared" ref="S108" si="174">SUM(S109:S111)</f>
        <v>5132160.0000000009</v>
      </c>
    </row>
    <row r="109" spans="1:19" ht="16.5" customHeight="1" x14ac:dyDescent="0.25">
      <c r="A109" s="422"/>
      <c r="C109" s="443"/>
      <c r="D109" s="422"/>
      <c r="E109" s="422"/>
      <c r="F109" s="443" t="s">
        <v>504</v>
      </c>
      <c r="G109" s="400">
        <f t="shared" si="154"/>
        <v>291</v>
      </c>
      <c r="H109" s="690"/>
      <c r="I109" s="422">
        <v>291</v>
      </c>
      <c r="J109" s="422">
        <v>4.8600000000000003</v>
      </c>
      <c r="K109" s="422">
        <f t="shared" si="155"/>
        <v>3.8880000000000003</v>
      </c>
      <c r="L109" s="422">
        <v>0.2</v>
      </c>
      <c r="M109" s="400"/>
      <c r="N109" s="400"/>
      <c r="O109" s="400"/>
      <c r="P109" s="422">
        <f t="shared" si="156"/>
        <v>282.85200000000003</v>
      </c>
      <c r="Q109" s="400">
        <v>16.5</v>
      </c>
      <c r="R109" s="400">
        <f t="shared" si="157"/>
        <v>4667058.0000000009</v>
      </c>
      <c r="S109" s="400">
        <f t="shared" si="158"/>
        <v>4667058.0000000009</v>
      </c>
    </row>
    <row r="110" spans="1:19" ht="16.5" customHeight="1" x14ac:dyDescent="0.25">
      <c r="A110" s="422"/>
      <c r="B110" s="443"/>
      <c r="C110" s="443"/>
      <c r="D110" s="422"/>
      <c r="E110" s="422"/>
      <c r="F110" s="443" t="s">
        <v>741</v>
      </c>
      <c r="G110" s="400">
        <f t="shared" si="154"/>
        <v>43</v>
      </c>
      <c r="H110" s="690"/>
      <c r="I110" s="422">
        <v>43</v>
      </c>
      <c r="J110" s="422">
        <v>4.8600000000000003</v>
      </c>
      <c r="K110" s="422">
        <f t="shared" si="155"/>
        <v>4.3740000000000006</v>
      </c>
      <c r="L110" s="422">
        <v>0.1</v>
      </c>
      <c r="M110" s="400"/>
      <c r="N110" s="400"/>
      <c r="O110" s="400"/>
      <c r="P110" s="422">
        <f t="shared" si="156"/>
        <v>20.898000000000003</v>
      </c>
      <c r="Q110" s="400">
        <v>16.5</v>
      </c>
      <c r="R110" s="400">
        <f t="shared" si="157"/>
        <v>344817.00000000006</v>
      </c>
      <c r="S110" s="400">
        <f t="shared" si="158"/>
        <v>344817.00000000006</v>
      </c>
    </row>
    <row r="111" spans="1:19" ht="16.5" customHeight="1" x14ac:dyDescent="0.25">
      <c r="A111" s="422"/>
      <c r="B111" s="443"/>
      <c r="C111" s="443"/>
      <c r="D111" s="422"/>
      <c r="E111" s="422"/>
      <c r="F111" s="443" t="s">
        <v>501</v>
      </c>
      <c r="G111" s="400">
        <f t="shared" si="154"/>
        <v>30</v>
      </c>
      <c r="H111" s="690"/>
      <c r="I111" s="422">
        <v>30</v>
      </c>
      <c r="J111" s="422">
        <v>4.8600000000000003</v>
      </c>
      <c r="K111" s="422">
        <f t="shared" si="155"/>
        <v>4.617</v>
      </c>
      <c r="L111" s="422">
        <v>0.05</v>
      </c>
      <c r="M111" s="400"/>
      <c r="N111" s="400"/>
      <c r="O111" s="400"/>
      <c r="P111" s="422">
        <f t="shared" si="156"/>
        <v>7.2900000000000009</v>
      </c>
      <c r="Q111" s="400">
        <v>16.5</v>
      </c>
      <c r="R111" s="400">
        <f t="shared" si="157"/>
        <v>120285.00000000001</v>
      </c>
      <c r="S111" s="400">
        <f t="shared" si="158"/>
        <v>120285.00000000001</v>
      </c>
    </row>
    <row r="112" spans="1:19" ht="16.5" customHeight="1" x14ac:dyDescent="0.25">
      <c r="A112" s="422"/>
      <c r="B112" s="443" t="s">
        <v>738</v>
      </c>
      <c r="C112" s="443"/>
      <c r="D112" s="422"/>
      <c r="E112" s="422"/>
      <c r="F112" s="443" t="s">
        <v>741</v>
      </c>
      <c r="G112" s="400">
        <f t="shared" si="154"/>
        <v>10</v>
      </c>
      <c r="H112" s="690"/>
      <c r="I112" s="422">
        <v>10</v>
      </c>
      <c r="J112" s="422">
        <v>4.8600000000000003</v>
      </c>
      <c r="K112" s="422">
        <f t="shared" si="155"/>
        <v>4.3740000000000006</v>
      </c>
      <c r="L112" s="422">
        <v>0.1</v>
      </c>
      <c r="M112" s="400"/>
      <c r="N112" s="400"/>
      <c r="O112" s="400"/>
      <c r="P112" s="422">
        <f t="shared" si="156"/>
        <v>4.8600000000000003</v>
      </c>
      <c r="Q112" s="400">
        <v>16.5</v>
      </c>
      <c r="R112" s="400">
        <f t="shared" si="157"/>
        <v>80190.000000000015</v>
      </c>
      <c r="S112" s="400">
        <f t="shared" si="158"/>
        <v>80190.000000000015</v>
      </c>
    </row>
    <row r="113" spans="1:19" ht="16.5" customHeight="1" x14ac:dyDescent="0.25">
      <c r="A113" s="422"/>
      <c r="B113" s="443" t="s">
        <v>728</v>
      </c>
      <c r="C113" s="443"/>
      <c r="D113" s="422"/>
      <c r="E113" s="422"/>
      <c r="F113" s="443" t="s">
        <v>504</v>
      </c>
      <c r="G113" s="400">
        <f t="shared" si="154"/>
        <v>37.5</v>
      </c>
      <c r="H113" s="690"/>
      <c r="I113" s="422">
        <v>37.5</v>
      </c>
      <c r="J113" s="422">
        <v>4.8600000000000003</v>
      </c>
      <c r="K113" s="422">
        <f t="shared" si="155"/>
        <v>3.8880000000000003</v>
      </c>
      <c r="L113" s="422">
        <v>0.2</v>
      </c>
      <c r="M113" s="400"/>
      <c r="N113" s="400"/>
      <c r="O113" s="400"/>
      <c r="P113" s="422">
        <f t="shared" si="156"/>
        <v>36.450000000000003</v>
      </c>
      <c r="Q113" s="400">
        <v>16.5</v>
      </c>
      <c r="R113" s="400">
        <f t="shared" si="157"/>
        <v>601425.00000000012</v>
      </c>
      <c r="S113" s="400">
        <f t="shared" si="158"/>
        <v>601425.00000000012</v>
      </c>
    </row>
    <row r="114" spans="1:19" ht="16.5" customHeight="1" x14ac:dyDescent="0.25">
      <c r="A114" s="422"/>
      <c r="B114" s="443" t="s">
        <v>733</v>
      </c>
      <c r="C114" s="443"/>
      <c r="D114" s="422"/>
      <c r="E114" s="422"/>
      <c r="F114" s="443" t="s">
        <v>504</v>
      </c>
      <c r="G114" s="400">
        <f t="shared" si="154"/>
        <v>27</v>
      </c>
      <c r="H114" s="690"/>
      <c r="I114" s="422">
        <v>27</v>
      </c>
      <c r="J114" s="422">
        <v>4.8600000000000003</v>
      </c>
      <c r="K114" s="422">
        <f t="shared" si="155"/>
        <v>3.8880000000000003</v>
      </c>
      <c r="L114" s="422">
        <v>0.2</v>
      </c>
      <c r="M114" s="400"/>
      <c r="N114" s="400"/>
      <c r="O114" s="400"/>
      <c r="P114" s="422">
        <f t="shared" si="156"/>
        <v>26.244</v>
      </c>
      <c r="Q114" s="400">
        <v>16.5</v>
      </c>
      <c r="R114" s="400">
        <f t="shared" si="157"/>
        <v>433026</v>
      </c>
      <c r="S114" s="400">
        <f t="shared" si="158"/>
        <v>433026</v>
      </c>
    </row>
    <row r="115" spans="1:19" ht="16.5" customHeight="1" x14ac:dyDescent="0.25">
      <c r="A115" s="422"/>
      <c r="B115" s="443" t="s">
        <v>721</v>
      </c>
      <c r="C115" s="443"/>
      <c r="D115" s="422"/>
      <c r="E115" s="422"/>
      <c r="F115" s="443" t="s">
        <v>504</v>
      </c>
      <c r="G115" s="400">
        <f t="shared" si="154"/>
        <v>20</v>
      </c>
      <c r="H115" s="690"/>
      <c r="I115" s="422">
        <v>20</v>
      </c>
      <c r="J115" s="422">
        <v>4.8600000000000003</v>
      </c>
      <c r="K115" s="422">
        <f t="shared" si="155"/>
        <v>3.8880000000000003</v>
      </c>
      <c r="L115" s="422">
        <v>0.2</v>
      </c>
      <c r="M115" s="400"/>
      <c r="N115" s="400"/>
      <c r="O115" s="400"/>
      <c r="P115" s="422">
        <f t="shared" si="156"/>
        <v>19.440000000000001</v>
      </c>
      <c r="Q115" s="400">
        <v>16.5</v>
      </c>
      <c r="R115" s="400">
        <f t="shared" si="157"/>
        <v>320760.00000000006</v>
      </c>
      <c r="S115" s="400">
        <f t="shared" si="158"/>
        <v>320760.00000000006</v>
      </c>
    </row>
    <row r="116" spans="1:19" ht="16.5" customHeight="1" x14ac:dyDescent="0.25">
      <c r="A116" s="422"/>
      <c r="B116" s="443" t="s">
        <v>731</v>
      </c>
      <c r="C116" s="443"/>
      <c r="D116" s="422"/>
      <c r="E116" s="422"/>
      <c r="F116" s="443" t="s">
        <v>504</v>
      </c>
      <c r="G116" s="400">
        <f t="shared" si="154"/>
        <v>68.14</v>
      </c>
      <c r="H116" s="690"/>
      <c r="I116" s="422">
        <v>68.14</v>
      </c>
      <c r="J116" s="422">
        <v>4.8600000000000003</v>
      </c>
      <c r="K116" s="422">
        <f t="shared" si="155"/>
        <v>3.8880000000000003</v>
      </c>
      <c r="L116" s="422">
        <v>0.2</v>
      </c>
      <c r="M116" s="400"/>
      <c r="N116" s="400"/>
      <c r="O116" s="400"/>
      <c r="P116" s="422">
        <f t="shared" si="156"/>
        <v>66.232080000000011</v>
      </c>
      <c r="Q116" s="400">
        <v>16.5</v>
      </c>
      <c r="R116" s="400">
        <f t="shared" si="157"/>
        <v>1092829.3200000003</v>
      </c>
      <c r="S116" s="400">
        <f t="shared" si="158"/>
        <v>1092829.3200000003</v>
      </c>
    </row>
    <row r="117" spans="1:19" ht="16.5" customHeight="1" x14ac:dyDescent="0.25">
      <c r="A117" s="422"/>
      <c r="B117" s="443" t="s">
        <v>735</v>
      </c>
      <c r="C117" s="443"/>
      <c r="D117" s="422"/>
      <c r="E117" s="422"/>
      <c r="F117" s="443" t="s">
        <v>504</v>
      </c>
      <c r="G117" s="400">
        <f t="shared" si="154"/>
        <v>89</v>
      </c>
      <c r="H117" s="690"/>
      <c r="I117" s="422">
        <v>89</v>
      </c>
      <c r="J117" s="422">
        <v>4.8600000000000003</v>
      </c>
      <c r="K117" s="422">
        <f t="shared" si="155"/>
        <v>3.8880000000000003</v>
      </c>
      <c r="L117" s="422">
        <v>0.2</v>
      </c>
      <c r="M117" s="400"/>
      <c r="N117" s="400"/>
      <c r="O117" s="400"/>
      <c r="P117" s="422">
        <f t="shared" si="156"/>
        <v>86.50800000000001</v>
      </c>
      <c r="Q117" s="400">
        <v>16.5</v>
      </c>
      <c r="R117" s="400">
        <f t="shared" si="157"/>
        <v>1427382</v>
      </c>
      <c r="S117" s="400">
        <f t="shared" si="158"/>
        <v>1427382</v>
      </c>
    </row>
    <row r="118" spans="1:19" ht="16.5" customHeight="1" x14ac:dyDescent="0.25">
      <c r="A118" s="422"/>
      <c r="B118" s="443"/>
      <c r="C118" s="443"/>
      <c r="D118" s="422"/>
      <c r="E118" s="422"/>
      <c r="F118" s="443"/>
      <c r="G118" s="400"/>
      <c r="H118" s="690"/>
      <c r="I118" s="422"/>
      <c r="J118" s="422"/>
      <c r="K118" s="422"/>
      <c r="L118" s="422"/>
      <c r="M118" s="400"/>
      <c r="N118" s="400"/>
      <c r="O118" s="400"/>
      <c r="P118" s="422"/>
      <c r="Q118" s="400"/>
      <c r="R118" s="400"/>
      <c r="S118" s="400"/>
    </row>
    <row r="119" spans="1:19" s="1093" customFormat="1" ht="16.5" customHeight="1" x14ac:dyDescent="0.25">
      <c r="A119" s="1089"/>
      <c r="B119" s="1090" t="s">
        <v>107</v>
      </c>
      <c r="C119" s="1090"/>
      <c r="D119" s="1091"/>
      <c r="E119" s="1091"/>
      <c r="F119" s="1090"/>
      <c r="G119" s="1092">
        <f>SUM(G120+G134)</f>
        <v>6053.33</v>
      </c>
      <c r="H119" s="1092">
        <f>SUM(H120+H134)</f>
        <v>370.92</v>
      </c>
      <c r="I119" s="1092">
        <f>SUM(I120+I134)</f>
        <v>5682.41</v>
      </c>
      <c r="J119" s="1091"/>
      <c r="K119" s="1091"/>
      <c r="L119" s="1091"/>
      <c r="M119" s="1092">
        <f>SUM(M120+M134)</f>
        <v>0</v>
      </c>
      <c r="N119" s="1092"/>
      <c r="O119" s="1092">
        <f>SUM(O120+O134)</f>
        <v>3160</v>
      </c>
      <c r="P119" s="1092">
        <f>SUM(P120+P134)</f>
        <v>4427.3521799999999</v>
      </c>
      <c r="Q119" s="1092">
        <f>SUM(Q120+Q134)</f>
        <v>0</v>
      </c>
      <c r="R119" s="1092">
        <f>SUM(R120+R134)</f>
        <v>70837634.879999995</v>
      </c>
      <c r="S119" s="1092">
        <f>SUM(S120+S134)</f>
        <v>70840794.879999995</v>
      </c>
    </row>
    <row r="120" spans="1:19" ht="16.5" customHeight="1" x14ac:dyDescent="0.25">
      <c r="A120" s="461"/>
      <c r="B120" s="464" t="s">
        <v>471</v>
      </c>
      <c r="C120" s="464"/>
      <c r="D120" s="691"/>
      <c r="E120" s="691"/>
      <c r="F120" s="464"/>
      <c r="G120" s="419">
        <f>SUM(G121:G133)</f>
        <v>1669.4</v>
      </c>
      <c r="H120" s="419">
        <f>SUM(H121:H133)</f>
        <v>0</v>
      </c>
      <c r="I120" s="419">
        <f>SUM(I121:I133)</f>
        <v>1669.4</v>
      </c>
      <c r="J120" s="691"/>
      <c r="K120" s="691"/>
      <c r="L120" s="691"/>
      <c r="M120" s="419">
        <f>SUM(M121:M133)</f>
        <v>0</v>
      </c>
      <c r="N120" s="419"/>
      <c r="O120" s="419">
        <f>SUM(O121:O133)</f>
        <v>0</v>
      </c>
      <c r="P120" s="419">
        <f>SUM(P121:P133)</f>
        <v>964.84829999999999</v>
      </c>
      <c r="Q120" s="419"/>
      <c r="R120" s="419">
        <f>SUM(R121:R133)</f>
        <v>15437572.800000001</v>
      </c>
      <c r="S120" s="419">
        <f>SUM(S121:S133)</f>
        <v>15437572.800000001</v>
      </c>
    </row>
    <row r="121" spans="1:19" ht="16.5" customHeight="1" x14ac:dyDescent="0.25">
      <c r="A121" s="422"/>
      <c r="B121" s="443" t="s">
        <v>555</v>
      </c>
      <c r="C121" s="443"/>
      <c r="D121" s="422"/>
      <c r="E121" s="422"/>
      <c r="F121" s="443" t="s">
        <v>474</v>
      </c>
      <c r="G121" s="400">
        <f t="shared" ref="G121:G133" si="175">H121+I121</f>
        <v>400</v>
      </c>
      <c r="H121" s="690"/>
      <c r="I121" s="422">
        <v>400</v>
      </c>
      <c r="J121" s="422">
        <v>4.38</v>
      </c>
      <c r="K121" s="422">
        <f t="shared" ref="K121:K133" si="176">J121-(J121*L121)</f>
        <v>3.7229999999999999</v>
      </c>
      <c r="L121" s="422">
        <v>0.15</v>
      </c>
      <c r="M121" s="400"/>
      <c r="N121" s="400"/>
      <c r="O121" s="400"/>
      <c r="P121" s="422">
        <f t="shared" ref="P121:P133" si="177">I121*J121*L121</f>
        <v>262.8</v>
      </c>
      <c r="Q121" s="400">
        <v>16</v>
      </c>
      <c r="R121" s="400">
        <f t="shared" ref="R121:R133" si="178">P121*Q121*1000</f>
        <v>4204800</v>
      </c>
      <c r="S121" s="400">
        <f t="shared" ref="S121:S133" si="179">R121</f>
        <v>4204800</v>
      </c>
    </row>
    <row r="122" spans="1:19" ht="16.5" customHeight="1" x14ac:dyDescent="0.25">
      <c r="A122" s="422"/>
      <c r="B122" s="443" t="s">
        <v>552</v>
      </c>
      <c r="C122" s="443"/>
      <c r="D122" s="422"/>
      <c r="E122" s="422"/>
      <c r="F122" s="443" t="s">
        <v>474</v>
      </c>
      <c r="G122" s="400">
        <f t="shared" si="175"/>
        <v>11</v>
      </c>
      <c r="H122" s="690"/>
      <c r="I122" s="422">
        <v>11</v>
      </c>
      <c r="J122" s="422">
        <v>4.38</v>
      </c>
      <c r="K122" s="422">
        <f t="shared" si="176"/>
        <v>3.9419999999999997</v>
      </c>
      <c r="L122" s="422">
        <v>0.1</v>
      </c>
      <c r="M122" s="400"/>
      <c r="N122" s="400"/>
      <c r="O122" s="400"/>
      <c r="P122" s="422">
        <f t="shared" si="177"/>
        <v>4.8180000000000005</v>
      </c>
      <c r="Q122" s="400">
        <v>16</v>
      </c>
      <c r="R122" s="400">
        <f t="shared" si="178"/>
        <v>77088.000000000015</v>
      </c>
      <c r="S122" s="400">
        <f t="shared" si="179"/>
        <v>77088.000000000015</v>
      </c>
    </row>
    <row r="123" spans="1:19" ht="16.5" customHeight="1" x14ac:dyDescent="0.25">
      <c r="A123" s="422"/>
      <c r="B123" s="443" t="s">
        <v>556</v>
      </c>
      <c r="C123" s="443"/>
      <c r="D123" s="422"/>
      <c r="E123" s="422"/>
      <c r="F123" s="443" t="s">
        <v>474</v>
      </c>
      <c r="G123" s="400">
        <f t="shared" si="175"/>
        <v>165.5</v>
      </c>
      <c r="H123" s="690"/>
      <c r="I123" s="422">
        <v>165.5</v>
      </c>
      <c r="J123" s="422">
        <v>4.38</v>
      </c>
      <c r="K123" s="422">
        <f t="shared" si="176"/>
        <v>3.7229999999999999</v>
      </c>
      <c r="L123" s="422">
        <v>0.15</v>
      </c>
      <c r="M123" s="400"/>
      <c r="N123" s="400"/>
      <c r="O123" s="400"/>
      <c r="P123" s="422">
        <f t="shared" si="177"/>
        <v>108.73349999999999</v>
      </c>
      <c r="Q123" s="400">
        <v>16</v>
      </c>
      <c r="R123" s="400">
        <f t="shared" si="178"/>
        <v>1739735.9999999998</v>
      </c>
      <c r="S123" s="400">
        <f t="shared" si="179"/>
        <v>1739735.9999999998</v>
      </c>
    </row>
    <row r="124" spans="1:19" s="515" customFormat="1" ht="16.5" customHeight="1" x14ac:dyDescent="0.25">
      <c r="A124" s="751"/>
      <c r="B124" s="443" t="s">
        <v>543</v>
      </c>
      <c r="C124" s="748"/>
      <c r="D124" s="751"/>
      <c r="E124" s="751">
        <f>SUM(E125:E126)</f>
        <v>0</v>
      </c>
      <c r="F124" s="751">
        <f t="shared" ref="F124" si="180">SUM(F125:F126)</f>
        <v>0</v>
      </c>
      <c r="G124" s="751">
        <f t="shared" ref="G124" si="181">SUM(G125:G126)</f>
        <v>156.94999999999999</v>
      </c>
      <c r="H124" s="751">
        <f t="shared" ref="H124" si="182">SUM(H125:H126)</f>
        <v>0</v>
      </c>
      <c r="I124" s="751">
        <f t="shared" ref="I124" si="183">SUM(I125:I126)</f>
        <v>156.94999999999999</v>
      </c>
      <c r="J124" s="751">
        <f t="shared" ref="J124" si="184">SUM(J125:J126)</f>
        <v>8.76</v>
      </c>
      <c r="K124" s="751">
        <f t="shared" ref="K124" si="185">SUM(K125:K126)</f>
        <v>7.2270000000000003</v>
      </c>
      <c r="L124" s="751">
        <f t="shared" ref="L124" si="186">SUM(L125:L126)</f>
        <v>0.35</v>
      </c>
      <c r="M124" s="751">
        <f t="shared" ref="M124" si="187">SUM(M125:M126)</f>
        <v>0</v>
      </c>
      <c r="N124" s="751">
        <f t="shared" ref="N124" si="188">SUM(N125:N126)</f>
        <v>0</v>
      </c>
      <c r="O124" s="751">
        <f t="shared" ref="O124" si="189">SUM(O125:O126)</f>
        <v>0</v>
      </c>
      <c r="P124" s="751">
        <f t="shared" ref="P124" si="190">SUM(P125:P126)</f>
        <v>112.1499</v>
      </c>
      <c r="Q124" s="751">
        <f t="shared" ref="Q124" si="191">SUM(Q125:Q126)</f>
        <v>32</v>
      </c>
      <c r="R124" s="751">
        <f t="shared" ref="R124" si="192">SUM(R125:R126)</f>
        <v>1794398.4</v>
      </c>
      <c r="S124" s="751">
        <f t="shared" ref="S124" si="193">SUM(S125:S126)</f>
        <v>1794398.4</v>
      </c>
    </row>
    <row r="125" spans="1:19" ht="16.5" customHeight="1" x14ac:dyDescent="0.25">
      <c r="A125" s="422"/>
      <c r="C125" s="443"/>
      <c r="D125" s="422"/>
      <c r="E125" s="422"/>
      <c r="F125" s="443" t="s">
        <v>474</v>
      </c>
      <c r="G125" s="400">
        <f t="shared" si="175"/>
        <v>115.7</v>
      </c>
      <c r="H125" s="690"/>
      <c r="I125" s="422">
        <v>115.7</v>
      </c>
      <c r="J125" s="422">
        <v>4.38</v>
      </c>
      <c r="K125" s="422">
        <f t="shared" si="176"/>
        <v>3.7229999999999999</v>
      </c>
      <c r="L125" s="422">
        <v>0.15</v>
      </c>
      <c r="M125" s="400"/>
      <c r="N125" s="400"/>
      <c r="O125" s="400"/>
      <c r="P125" s="422">
        <f t="shared" si="177"/>
        <v>76.014899999999997</v>
      </c>
      <c r="Q125" s="400">
        <v>16</v>
      </c>
      <c r="R125" s="400">
        <f t="shared" si="178"/>
        <v>1216238.3999999999</v>
      </c>
      <c r="S125" s="400">
        <f t="shared" si="179"/>
        <v>1216238.3999999999</v>
      </c>
    </row>
    <row r="126" spans="1:19" ht="16.5" customHeight="1" x14ac:dyDescent="0.25">
      <c r="A126" s="422"/>
      <c r="B126" s="443"/>
      <c r="C126" s="443"/>
      <c r="D126" s="422"/>
      <c r="E126" s="422"/>
      <c r="F126" s="443" t="s">
        <v>586</v>
      </c>
      <c r="G126" s="400">
        <f t="shared" si="175"/>
        <v>41.25</v>
      </c>
      <c r="H126" s="690"/>
      <c r="I126" s="422">
        <v>41.25</v>
      </c>
      <c r="J126" s="422">
        <v>4.38</v>
      </c>
      <c r="K126" s="422">
        <f t="shared" si="176"/>
        <v>3.504</v>
      </c>
      <c r="L126" s="422">
        <v>0.2</v>
      </c>
      <c r="M126" s="400"/>
      <c r="N126" s="400"/>
      <c r="O126" s="400"/>
      <c r="P126" s="422">
        <f t="shared" si="177"/>
        <v>36.134999999999998</v>
      </c>
      <c r="Q126" s="400">
        <v>16</v>
      </c>
      <c r="R126" s="400">
        <f t="shared" si="178"/>
        <v>578160</v>
      </c>
      <c r="S126" s="400">
        <f t="shared" si="179"/>
        <v>578160</v>
      </c>
    </row>
    <row r="127" spans="1:19" ht="16.5" customHeight="1" x14ac:dyDescent="0.25">
      <c r="A127" s="422"/>
      <c r="B127" s="443" t="s">
        <v>903</v>
      </c>
      <c r="C127" s="443"/>
      <c r="D127" s="422"/>
      <c r="E127" s="422"/>
      <c r="F127" s="443" t="s">
        <v>474</v>
      </c>
      <c r="G127" s="400">
        <f t="shared" si="175"/>
        <v>195</v>
      </c>
      <c r="H127" s="690"/>
      <c r="I127" s="422">
        <v>195</v>
      </c>
      <c r="J127" s="422">
        <v>4.38</v>
      </c>
      <c r="K127" s="422">
        <f t="shared" si="176"/>
        <v>3.7229999999999999</v>
      </c>
      <c r="L127" s="422">
        <v>0.15</v>
      </c>
      <c r="M127" s="400"/>
      <c r="N127" s="400"/>
      <c r="O127" s="400"/>
      <c r="P127" s="422">
        <f t="shared" si="177"/>
        <v>128.11500000000001</v>
      </c>
      <c r="Q127" s="400">
        <v>16</v>
      </c>
      <c r="R127" s="400">
        <f t="shared" si="178"/>
        <v>2049840.0000000002</v>
      </c>
      <c r="S127" s="400">
        <f t="shared" si="179"/>
        <v>2049840.0000000002</v>
      </c>
    </row>
    <row r="128" spans="1:19" ht="16.5" customHeight="1" x14ac:dyDescent="0.25">
      <c r="A128" s="422"/>
      <c r="B128" s="443" t="s">
        <v>541</v>
      </c>
      <c r="C128" s="443"/>
      <c r="D128" s="422"/>
      <c r="E128" s="422"/>
      <c r="F128" s="443" t="s">
        <v>586</v>
      </c>
      <c r="G128" s="400">
        <f t="shared" si="175"/>
        <v>80</v>
      </c>
      <c r="H128" s="690"/>
      <c r="I128" s="422">
        <v>80</v>
      </c>
      <c r="J128" s="422">
        <v>4.38</v>
      </c>
      <c r="K128" s="422">
        <f t="shared" si="176"/>
        <v>3.7229999999999999</v>
      </c>
      <c r="L128" s="422">
        <v>0.15</v>
      </c>
      <c r="M128" s="400"/>
      <c r="N128" s="400"/>
      <c r="O128" s="400"/>
      <c r="P128" s="422">
        <f t="shared" si="177"/>
        <v>52.559999999999995</v>
      </c>
      <c r="Q128" s="400">
        <v>16</v>
      </c>
      <c r="R128" s="400">
        <f t="shared" si="178"/>
        <v>840959.99999999988</v>
      </c>
      <c r="S128" s="400">
        <f t="shared" si="179"/>
        <v>840959.99999999988</v>
      </c>
    </row>
    <row r="129" spans="1:19" ht="16.5" customHeight="1" x14ac:dyDescent="0.25">
      <c r="A129" s="422"/>
      <c r="B129" s="443" t="s">
        <v>550</v>
      </c>
      <c r="C129" s="443"/>
      <c r="D129" s="422"/>
      <c r="E129" s="422"/>
      <c r="F129" s="443" t="s">
        <v>474</v>
      </c>
      <c r="G129" s="400">
        <f t="shared" si="175"/>
        <v>33</v>
      </c>
      <c r="H129" s="690"/>
      <c r="I129" s="422">
        <v>33</v>
      </c>
      <c r="J129" s="422">
        <v>4.38</v>
      </c>
      <c r="K129" s="422">
        <f t="shared" si="176"/>
        <v>3.7229999999999999</v>
      </c>
      <c r="L129" s="422">
        <v>0.15</v>
      </c>
      <c r="M129" s="400"/>
      <c r="N129" s="400"/>
      <c r="O129" s="400"/>
      <c r="P129" s="422">
        <f t="shared" si="177"/>
        <v>21.680999999999997</v>
      </c>
      <c r="Q129" s="400">
        <v>16</v>
      </c>
      <c r="R129" s="400">
        <f t="shared" si="178"/>
        <v>346895.99999999994</v>
      </c>
      <c r="S129" s="400">
        <f t="shared" si="179"/>
        <v>346895.99999999994</v>
      </c>
    </row>
    <row r="130" spans="1:19" ht="16.5" customHeight="1" x14ac:dyDescent="0.25">
      <c r="A130" s="422"/>
      <c r="B130" s="443" t="s">
        <v>558</v>
      </c>
      <c r="C130" s="443"/>
      <c r="D130" s="422"/>
      <c r="E130" s="422"/>
      <c r="F130" s="443" t="s">
        <v>474</v>
      </c>
      <c r="G130" s="400">
        <f t="shared" si="175"/>
        <v>65</v>
      </c>
      <c r="H130" s="690"/>
      <c r="I130" s="422">
        <v>65</v>
      </c>
      <c r="J130" s="422">
        <v>4.38</v>
      </c>
      <c r="K130" s="422">
        <f t="shared" si="176"/>
        <v>3.7229999999999999</v>
      </c>
      <c r="L130" s="422">
        <v>0.15</v>
      </c>
      <c r="M130" s="400"/>
      <c r="N130" s="400"/>
      <c r="O130" s="400"/>
      <c r="P130" s="422">
        <f t="shared" si="177"/>
        <v>42.704999999999998</v>
      </c>
      <c r="Q130" s="400">
        <v>16</v>
      </c>
      <c r="R130" s="400">
        <f t="shared" si="178"/>
        <v>683280</v>
      </c>
      <c r="S130" s="400">
        <f t="shared" si="179"/>
        <v>683280</v>
      </c>
    </row>
    <row r="131" spans="1:19" ht="16.5" customHeight="1" x14ac:dyDescent="0.25">
      <c r="A131" s="422"/>
      <c r="B131" s="443" t="s">
        <v>904</v>
      </c>
      <c r="C131" s="443"/>
      <c r="D131" s="422"/>
      <c r="E131" s="422"/>
      <c r="F131" s="443" t="s">
        <v>474</v>
      </c>
      <c r="G131" s="400">
        <f t="shared" si="175"/>
        <v>16</v>
      </c>
      <c r="H131" s="690"/>
      <c r="I131" s="422">
        <v>16</v>
      </c>
      <c r="J131" s="422">
        <v>4.38</v>
      </c>
      <c r="K131" s="422">
        <f t="shared" si="176"/>
        <v>3.504</v>
      </c>
      <c r="L131" s="422">
        <v>0.2</v>
      </c>
      <c r="M131" s="400"/>
      <c r="N131" s="400"/>
      <c r="O131" s="400"/>
      <c r="P131" s="422">
        <f t="shared" si="177"/>
        <v>14.016</v>
      </c>
      <c r="Q131" s="400">
        <v>16</v>
      </c>
      <c r="R131" s="400">
        <f t="shared" si="178"/>
        <v>224256</v>
      </c>
      <c r="S131" s="400">
        <f t="shared" si="179"/>
        <v>224256</v>
      </c>
    </row>
    <row r="132" spans="1:19" ht="16.5" customHeight="1" x14ac:dyDescent="0.25">
      <c r="A132" s="422"/>
      <c r="B132" s="443" t="s">
        <v>472</v>
      </c>
      <c r="C132" s="443"/>
      <c r="D132" s="422"/>
      <c r="E132" s="422"/>
      <c r="F132" s="443" t="s">
        <v>474</v>
      </c>
      <c r="G132" s="400">
        <f t="shared" si="175"/>
        <v>300</v>
      </c>
      <c r="H132" s="690"/>
      <c r="I132" s="422">
        <v>300</v>
      </c>
      <c r="J132" s="422">
        <v>4.38</v>
      </c>
      <c r="K132" s="422">
        <f t="shared" si="176"/>
        <v>4.1609999999999996</v>
      </c>
      <c r="L132" s="422">
        <v>0.05</v>
      </c>
      <c r="M132" s="400"/>
      <c r="N132" s="400"/>
      <c r="O132" s="400"/>
      <c r="P132" s="422">
        <f t="shared" si="177"/>
        <v>65.7</v>
      </c>
      <c r="Q132" s="400">
        <v>16</v>
      </c>
      <c r="R132" s="400">
        <f t="shared" si="178"/>
        <v>1051200</v>
      </c>
      <c r="S132" s="400">
        <f t="shared" si="179"/>
        <v>1051200</v>
      </c>
    </row>
    <row r="133" spans="1:19" ht="16.5" customHeight="1" x14ac:dyDescent="0.25">
      <c r="A133" s="422"/>
      <c r="B133" s="443" t="s">
        <v>557</v>
      </c>
      <c r="C133" s="443"/>
      <c r="D133" s="422"/>
      <c r="E133" s="422"/>
      <c r="F133" s="443" t="s">
        <v>501</v>
      </c>
      <c r="G133" s="400">
        <f t="shared" si="175"/>
        <v>90</v>
      </c>
      <c r="H133" s="690"/>
      <c r="I133" s="422">
        <v>90</v>
      </c>
      <c r="J133" s="422">
        <v>4.38</v>
      </c>
      <c r="K133" s="422">
        <f t="shared" si="176"/>
        <v>3.9419999999999997</v>
      </c>
      <c r="L133" s="422">
        <v>0.1</v>
      </c>
      <c r="M133" s="400"/>
      <c r="N133" s="400"/>
      <c r="O133" s="400"/>
      <c r="P133" s="422">
        <f t="shared" si="177"/>
        <v>39.42</v>
      </c>
      <c r="Q133" s="400">
        <v>16</v>
      </c>
      <c r="R133" s="400">
        <f t="shared" si="178"/>
        <v>630720</v>
      </c>
      <c r="S133" s="400">
        <f t="shared" si="179"/>
        <v>630720</v>
      </c>
    </row>
    <row r="134" spans="1:19" ht="16.5" customHeight="1" x14ac:dyDescent="0.25">
      <c r="A134" s="422"/>
      <c r="B134" s="464" t="s">
        <v>475</v>
      </c>
      <c r="C134" s="464"/>
      <c r="D134" s="691"/>
      <c r="E134" s="691"/>
      <c r="F134" s="464"/>
      <c r="G134" s="419">
        <f>SUM(G135:G168)</f>
        <v>4383.9299999999994</v>
      </c>
      <c r="H134" s="419">
        <f>SUM(H135:H168)</f>
        <v>370.92</v>
      </c>
      <c r="I134" s="419">
        <f>SUM(I135:I168)</f>
        <v>4013.0099999999998</v>
      </c>
      <c r="J134" s="691"/>
      <c r="K134" s="691"/>
      <c r="L134" s="691"/>
      <c r="M134" s="419">
        <f>SUM(M135:M168)</f>
        <v>0</v>
      </c>
      <c r="N134" s="419"/>
      <c r="O134" s="419">
        <f>SUM(O135:O168)</f>
        <v>3160</v>
      </c>
      <c r="P134" s="419">
        <f>SUM(P135:P168)</f>
        <v>3462.5038799999998</v>
      </c>
      <c r="Q134" s="419"/>
      <c r="R134" s="419">
        <f>SUM(R135:R168)</f>
        <v>55400062.079999998</v>
      </c>
      <c r="S134" s="419">
        <f>SUM(S135:S168)</f>
        <v>55403222.079999998</v>
      </c>
    </row>
    <row r="135" spans="1:19" ht="16.5" customHeight="1" x14ac:dyDescent="0.25">
      <c r="A135" s="422"/>
      <c r="B135" s="443" t="s">
        <v>576</v>
      </c>
      <c r="C135" s="443"/>
      <c r="D135" s="422"/>
      <c r="E135" s="422"/>
      <c r="F135" s="443" t="s">
        <v>474</v>
      </c>
      <c r="G135" s="400">
        <f t="shared" ref="G135:G168" si="194">H135+I135</f>
        <v>50</v>
      </c>
      <c r="H135" s="690"/>
      <c r="I135" s="422">
        <v>50</v>
      </c>
      <c r="J135" s="422">
        <v>4.38</v>
      </c>
      <c r="K135" s="422">
        <f t="shared" ref="K135:K150" si="195">J135-(J135*L135)</f>
        <v>3.9419999999999997</v>
      </c>
      <c r="L135" s="422">
        <v>0.1</v>
      </c>
      <c r="M135" s="400"/>
      <c r="N135" s="400"/>
      <c r="O135" s="400"/>
      <c r="P135" s="422">
        <f>I135*J135*L135</f>
        <v>21.900000000000002</v>
      </c>
      <c r="Q135" s="400">
        <v>16</v>
      </c>
      <c r="R135" s="400">
        <f t="shared" ref="R135:R168" si="196">P135*Q135*1000</f>
        <v>350400.00000000006</v>
      </c>
      <c r="S135" s="400">
        <f t="shared" ref="S135:S166" si="197">R135</f>
        <v>350400.00000000006</v>
      </c>
    </row>
    <row r="136" spans="1:19" ht="16.5" customHeight="1" x14ac:dyDescent="0.25">
      <c r="A136" s="422"/>
      <c r="B136" s="443" t="s">
        <v>565</v>
      </c>
      <c r="C136" s="443"/>
      <c r="D136" s="422"/>
      <c r="E136" s="422"/>
      <c r="F136" s="443" t="s">
        <v>586</v>
      </c>
      <c r="G136" s="400">
        <f t="shared" si="194"/>
        <v>320</v>
      </c>
      <c r="H136" s="690"/>
      <c r="I136" s="422">
        <v>320</v>
      </c>
      <c r="J136" s="422">
        <v>4.38</v>
      </c>
      <c r="K136" s="422">
        <f t="shared" si="195"/>
        <v>3.7229999999999999</v>
      </c>
      <c r="L136" s="422">
        <v>0.15</v>
      </c>
      <c r="M136" s="400"/>
      <c r="N136" s="400"/>
      <c r="O136" s="400"/>
      <c r="P136" s="422">
        <f>I136*J136*L136</f>
        <v>210.23999999999998</v>
      </c>
      <c r="Q136" s="400">
        <v>16</v>
      </c>
      <c r="R136" s="400">
        <f t="shared" si="196"/>
        <v>3363839.9999999995</v>
      </c>
      <c r="S136" s="400">
        <f t="shared" si="197"/>
        <v>3363839.9999999995</v>
      </c>
    </row>
    <row r="137" spans="1:19" s="515" customFormat="1" ht="16.5" customHeight="1" x14ac:dyDescent="0.25">
      <c r="A137" s="751"/>
      <c r="B137" s="443" t="s">
        <v>585</v>
      </c>
      <c r="C137" s="748"/>
      <c r="D137" s="751"/>
      <c r="E137" s="751">
        <f>SUM(E138:E139)</f>
        <v>0</v>
      </c>
      <c r="F137" s="751">
        <f t="shared" ref="F137" si="198">SUM(F138:F139)</f>
        <v>0</v>
      </c>
      <c r="G137" s="751">
        <f t="shared" ref="G137" si="199">SUM(G138:G139)</f>
        <v>13.5</v>
      </c>
      <c r="H137" s="751">
        <f t="shared" ref="H137" si="200">SUM(H138:H139)</f>
        <v>8.5</v>
      </c>
      <c r="I137" s="751">
        <f t="shared" ref="I137" si="201">SUM(I138:I139)</f>
        <v>5</v>
      </c>
      <c r="J137" s="751">
        <f t="shared" ref="J137" si="202">SUM(J138:J139)</f>
        <v>8.76</v>
      </c>
      <c r="K137" s="751">
        <f t="shared" ref="K137" si="203">SUM(K138:K139)</f>
        <v>3.9419999999999997</v>
      </c>
      <c r="L137" s="751">
        <f t="shared" ref="L137" si="204">SUM(L138:L139)</f>
        <v>1.1000000000000001</v>
      </c>
      <c r="M137" s="751">
        <f t="shared" ref="M137" si="205">SUM(M138:M139)</f>
        <v>0</v>
      </c>
      <c r="N137" s="751">
        <f t="shared" ref="N137" si="206">SUM(N138:N139)</f>
        <v>0</v>
      </c>
      <c r="O137" s="751">
        <f t="shared" ref="O137" si="207">SUM(O138:O139)</f>
        <v>0</v>
      </c>
      <c r="P137" s="751">
        <f t="shared" ref="P137" si="208">SUM(P138:P139)</f>
        <v>39.419999999999995</v>
      </c>
      <c r="Q137" s="751">
        <f t="shared" ref="Q137" si="209">SUM(Q138:Q139)</f>
        <v>32</v>
      </c>
      <c r="R137" s="751">
        <f t="shared" ref="R137" si="210">SUM(R138:R139)</f>
        <v>630720</v>
      </c>
      <c r="S137" s="751">
        <f t="shared" ref="S137" si="211">SUM(S138:S139)</f>
        <v>630720</v>
      </c>
    </row>
    <row r="138" spans="1:19" ht="16.5" customHeight="1" x14ac:dyDescent="0.25">
      <c r="A138" s="422"/>
      <c r="C138" s="443"/>
      <c r="D138" s="422"/>
      <c r="E138" s="422"/>
      <c r="F138" s="443" t="s">
        <v>474</v>
      </c>
      <c r="G138" s="400">
        <f t="shared" si="194"/>
        <v>8.5</v>
      </c>
      <c r="H138" s="690">
        <v>8.5</v>
      </c>
      <c r="I138" s="422"/>
      <c r="J138" s="422">
        <v>4.38</v>
      </c>
      <c r="K138" s="422">
        <f t="shared" si="195"/>
        <v>0</v>
      </c>
      <c r="L138" s="422">
        <v>1</v>
      </c>
      <c r="M138" s="400"/>
      <c r="N138" s="400"/>
      <c r="O138" s="400"/>
      <c r="P138" s="422">
        <f>H138*J138*L138</f>
        <v>37.229999999999997</v>
      </c>
      <c r="Q138" s="400">
        <v>16</v>
      </c>
      <c r="R138" s="400">
        <f t="shared" si="196"/>
        <v>595680</v>
      </c>
      <c r="S138" s="400">
        <f t="shared" si="197"/>
        <v>595680</v>
      </c>
    </row>
    <row r="139" spans="1:19" ht="16.5" customHeight="1" x14ac:dyDescent="0.25">
      <c r="A139" s="422"/>
      <c r="B139" s="443"/>
      <c r="C139" s="443"/>
      <c r="D139" s="422"/>
      <c r="E139" s="422"/>
      <c r="F139" s="443" t="s">
        <v>474</v>
      </c>
      <c r="G139" s="400">
        <f t="shared" si="194"/>
        <v>5</v>
      </c>
      <c r="H139" s="690"/>
      <c r="I139" s="422">
        <v>5</v>
      </c>
      <c r="J139" s="422">
        <v>4.38</v>
      </c>
      <c r="K139" s="422">
        <f t="shared" si="195"/>
        <v>3.9419999999999997</v>
      </c>
      <c r="L139" s="422">
        <v>0.1</v>
      </c>
      <c r="M139" s="400"/>
      <c r="N139" s="400"/>
      <c r="O139" s="400"/>
      <c r="P139" s="422">
        <f>I139*J139*L139</f>
        <v>2.19</v>
      </c>
      <c r="Q139" s="400">
        <v>16</v>
      </c>
      <c r="R139" s="400">
        <f t="shared" si="196"/>
        <v>35040</v>
      </c>
      <c r="S139" s="400">
        <f t="shared" si="197"/>
        <v>35040</v>
      </c>
    </row>
    <row r="140" spans="1:19" s="515" customFormat="1" ht="16.5" customHeight="1" x14ac:dyDescent="0.25">
      <c r="A140" s="751"/>
      <c r="B140" s="443" t="s">
        <v>561</v>
      </c>
      <c r="C140" s="748"/>
      <c r="D140" s="751"/>
      <c r="E140" s="751">
        <f>SUM(E141:E142)</f>
        <v>0</v>
      </c>
      <c r="F140" s="751">
        <f t="shared" ref="F140" si="212">SUM(F141:F142)</f>
        <v>0</v>
      </c>
      <c r="G140" s="751">
        <f t="shared" ref="G140" si="213">SUM(G141:G142)</f>
        <v>79.599999999999994</v>
      </c>
      <c r="H140" s="751">
        <f t="shared" ref="H140" si="214">SUM(H141:H142)</f>
        <v>3</v>
      </c>
      <c r="I140" s="751">
        <f t="shared" ref="I140" si="215">SUM(I141:I142)</f>
        <v>76.599999999999994</v>
      </c>
      <c r="J140" s="751">
        <f t="shared" ref="J140" si="216">SUM(J141:J142)</f>
        <v>8.76</v>
      </c>
      <c r="K140" s="751">
        <f t="shared" ref="K140" si="217">SUM(K141:K142)</f>
        <v>3.7229999999999999</v>
      </c>
      <c r="L140" s="751">
        <f t="shared" ref="L140" si="218">SUM(L141:L142)</f>
        <v>1.1499999999999999</v>
      </c>
      <c r="M140" s="751">
        <f t="shared" ref="M140" si="219">SUM(M141:M142)</f>
        <v>0</v>
      </c>
      <c r="N140" s="751">
        <f t="shared" ref="N140" si="220">SUM(N141:N142)</f>
        <v>0</v>
      </c>
      <c r="O140" s="751">
        <f t="shared" ref="O140" si="221">SUM(O141:O142)</f>
        <v>0</v>
      </c>
      <c r="P140" s="751">
        <f t="shared" ref="P140" si="222">SUM(P141:P142)</f>
        <v>63.466199999999994</v>
      </c>
      <c r="Q140" s="751">
        <f t="shared" ref="Q140" si="223">SUM(Q141:Q142)</f>
        <v>32</v>
      </c>
      <c r="R140" s="751">
        <f t="shared" ref="R140" si="224">SUM(R141:R142)</f>
        <v>1015459.1999999998</v>
      </c>
      <c r="S140" s="751">
        <f t="shared" ref="S140" si="225">SUM(S141:S142)</f>
        <v>1015459.1999999998</v>
      </c>
    </row>
    <row r="141" spans="1:19" ht="16.5" customHeight="1" x14ac:dyDescent="0.25">
      <c r="A141" s="422"/>
      <c r="C141" s="443"/>
      <c r="D141" s="422"/>
      <c r="E141" s="422"/>
      <c r="F141" s="443" t="s">
        <v>474</v>
      </c>
      <c r="G141" s="400">
        <f t="shared" si="194"/>
        <v>3</v>
      </c>
      <c r="H141" s="690">
        <v>3</v>
      </c>
      <c r="I141" s="422"/>
      <c r="J141" s="422">
        <v>4.38</v>
      </c>
      <c r="K141" s="422">
        <f t="shared" si="195"/>
        <v>0</v>
      </c>
      <c r="L141" s="422">
        <v>1</v>
      </c>
      <c r="M141" s="400"/>
      <c r="N141" s="400"/>
      <c r="O141" s="400"/>
      <c r="P141" s="422">
        <f>H141*J141*L141</f>
        <v>13.14</v>
      </c>
      <c r="Q141" s="400">
        <v>16</v>
      </c>
      <c r="R141" s="400">
        <f t="shared" si="196"/>
        <v>210240</v>
      </c>
      <c r="S141" s="400">
        <f t="shared" si="197"/>
        <v>210240</v>
      </c>
    </row>
    <row r="142" spans="1:19" ht="16.5" customHeight="1" x14ac:dyDescent="0.25">
      <c r="A142" s="422"/>
      <c r="B142" s="443"/>
      <c r="C142" s="443"/>
      <c r="D142" s="422"/>
      <c r="E142" s="422"/>
      <c r="F142" s="443" t="s">
        <v>474</v>
      </c>
      <c r="G142" s="400">
        <f t="shared" si="194"/>
        <v>76.599999999999994</v>
      </c>
      <c r="H142" s="690"/>
      <c r="I142" s="422">
        <v>76.599999999999994</v>
      </c>
      <c r="J142" s="422">
        <v>4.38</v>
      </c>
      <c r="K142" s="422">
        <f t="shared" si="195"/>
        <v>3.7229999999999999</v>
      </c>
      <c r="L142" s="422">
        <v>0.15</v>
      </c>
      <c r="M142" s="400"/>
      <c r="N142" s="400"/>
      <c r="O142" s="400"/>
      <c r="P142" s="422">
        <f>I142*J142*L142</f>
        <v>50.326199999999993</v>
      </c>
      <c r="Q142" s="400">
        <v>16</v>
      </c>
      <c r="R142" s="400">
        <f t="shared" si="196"/>
        <v>805219.19999999984</v>
      </c>
      <c r="S142" s="400">
        <f t="shared" si="197"/>
        <v>805219.19999999984</v>
      </c>
    </row>
    <row r="143" spans="1:19" ht="16.5" customHeight="1" x14ac:dyDescent="0.25">
      <c r="A143" s="422"/>
      <c r="B143" s="443" t="s">
        <v>566</v>
      </c>
      <c r="C143" s="443"/>
      <c r="D143" s="422"/>
      <c r="E143" s="422"/>
      <c r="F143" s="443" t="s">
        <v>474</v>
      </c>
      <c r="G143" s="400">
        <f t="shared" si="194"/>
        <v>77</v>
      </c>
      <c r="H143" s="690"/>
      <c r="I143" s="422">
        <v>77</v>
      </c>
      <c r="J143" s="422">
        <v>4.38</v>
      </c>
      <c r="K143" s="422">
        <f t="shared" si="195"/>
        <v>3.9419999999999997</v>
      </c>
      <c r="L143" s="422">
        <v>0.1</v>
      </c>
      <c r="M143" s="400"/>
      <c r="N143" s="400"/>
      <c r="O143" s="400"/>
      <c r="P143" s="422">
        <f>I143*J143*L143</f>
        <v>33.725999999999999</v>
      </c>
      <c r="Q143" s="400">
        <v>16</v>
      </c>
      <c r="R143" s="400">
        <f t="shared" si="196"/>
        <v>539616</v>
      </c>
      <c r="S143" s="400">
        <f t="shared" si="197"/>
        <v>539616</v>
      </c>
    </row>
    <row r="144" spans="1:19" s="515" customFormat="1" ht="16.5" customHeight="1" x14ac:dyDescent="0.25">
      <c r="A144" s="751"/>
      <c r="B144" s="443" t="s">
        <v>575</v>
      </c>
      <c r="C144" s="748"/>
      <c r="D144" s="751"/>
      <c r="E144" s="751">
        <f>SUM(E145:E147)</f>
        <v>0</v>
      </c>
      <c r="F144" s="751">
        <f t="shared" ref="F144:S144" si="226">SUM(F145:F147)</f>
        <v>0</v>
      </c>
      <c r="G144" s="751">
        <f t="shared" si="226"/>
        <v>131.1</v>
      </c>
      <c r="H144" s="751">
        <f t="shared" si="226"/>
        <v>21.1</v>
      </c>
      <c r="I144" s="751">
        <f t="shared" si="226"/>
        <v>110</v>
      </c>
      <c r="J144" s="751">
        <f t="shared" si="226"/>
        <v>13.14</v>
      </c>
      <c r="K144" s="751">
        <f t="shared" si="226"/>
        <v>7.6649999999999991</v>
      </c>
      <c r="L144" s="751">
        <f t="shared" si="226"/>
        <v>1.25</v>
      </c>
      <c r="M144" s="751">
        <f t="shared" si="226"/>
        <v>0</v>
      </c>
      <c r="N144" s="751">
        <f t="shared" si="226"/>
        <v>0</v>
      </c>
      <c r="O144" s="751">
        <f t="shared" si="226"/>
        <v>0</v>
      </c>
      <c r="P144" s="751">
        <f t="shared" si="226"/>
        <v>163.37399999999997</v>
      </c>
      <c r="Q144" s="751">
        <f t="shared" si="226"/>
        <v>48</v>
      </c>
      <c r="R144" s="751">
        <f t="shared" si="226"/>
        <v>2613984</v>
      </c>
      <c r="S144" s="751">
        <f t="shared" si="226"/>
        <v>2613984</v>
      </c>
    </row>
    <row r="145" spans="1:19" ht="16.5" customHeight="1" x14ac:dyDescent="0.25">
      <c r="A145" s="422"/>
      <c r="C145" s="443"/>
      <c r="D145" s="422"/>
      <c r="E145" s="422"/>
      <c r="F145" s="443" t="s">
        <v>474</v>
      </c>
      <c r="G145" s="400">
        <f t="shared" si="194"/>
        <v>21.1</v>
      </c>
      <c r="H145" s="690">
        <v>21.1</v>
      </c>
      <c r="I145" s="422"/>
      <c r="J145" s="422">
        <v>4.38</v>
      </c>
      <c r="K145" s="422">
        <f t="shared" si="195"/>
        <v>0</v>
      </c>
      <c r="L145" s="422">
        <v>1</v>
      </c>
      <c r="M145" s="400"/>
      <c r="N145" s="400"/>
      <c r="O145" s="400"/>
      <c r="P145" s="422">
        <f>H145*J145*L145</f>
        <v>92.418000000000006</v>
      </c>
      <c r="Q145" s="400">
        <v>16</v>
      </c>
      <c r="R145" s="400">
        <f t="shared" si="196"/>
        <v>1478688</v>
      </c>
      <c r="S145" s="400">
        <f t="shared" si="197"/>
        <v>1478688</v>
      </c>
    </row>
    <row r="146" spans="1:19" ht="16.5" customHeight="1" x14ac:dyDescent="0.25">
      <c r="A146" s="422"/>
      <c r="B146" s="443"/>
      <c r="C146" s="443"/>
      <c r="D146" s="422"/>
      <c r="E146" s="422"/>
      <c r="F146" s="443" t="s">
        <v>474</v>
      </c>
      <c r="G146" s="400">
        <f t="shared" si="194"/>
        <v>104</v>
      </c>
      <c r="H146" s="690"/>
      <c r="I146" s="422">
        <v>104</v>
      </c>
      <c r="J146" s="422">
        <v>4.38</v>
      </c>
      <c r="K146" s="422">
        <f t="shared" si="195"/>
        <v>3.7229999999999999</v>
      </c>
      <c r="L146" s="422">
        <v>0.15</v>
      </c>
      <c r="M146" s="400"/>
      <c r="N146" s="400"/>
      <c r="O146" s="400"/>
      <c r="P146" s="422">
        <f>I146*J146*L146</f>
        <v>68.327999999999989</v>
      </c>
      <c r="Q146" s="400">
        <v>16</v>
      </c>
      <c r="R146" s="400">
        <f t="shared" si="196"/>
        <v>1093247.9999999998</v>
      </c>
      <c r="S146" s="400">
        <f t="shared" si="197"/>
        <v>1093247.9999999998</v>
      </c>
    </row>
    <row r="147" spans="1:19" ht="16.5" customHeight="1" x14ac:dyDescent="0.25">
      <c r="A147" s="422"/>
      <c r="B147" s="443"/>
      <c r="C147" s="443"/>
      <c r="D147" s="422"/>
      <c r="E147" s="422"/>
      <c r="F147" s="443" t="s">
        <v>586</v>
      </c>
      <c r="G147" s="400">
        <f t="shared" si="194"/>
        <v>6</v>
      </c>
      <c r="H147" s="690"/>
      <c r="I147" s="422">
        <v>6</v>
      </c>
      <c r="J147" s="422">
        <v>4.38</v>
      </c>
      <c r="K147" s="422">
        <f t="shared" si="195"/>
        <v>3.9419999999999997</v>
      </c>
      <c r="L147" s="422">
        <v>0.1</v>
      </c>
      <c r="M147" s="400"/>
      <c r="N147" s="400"/>
      <c r="O147" s="400"/>
      <c r="P147" s="422">
        <f>I147*J147*L147</f>
        <v>2.6280000000000001</v>
      </c>
      <c r="Q147" s="400">
        <v>16</v>
      </c>
      <c r="R147" s="400">
        <f t="shared" si="196"/>
        <v>42048</v>
      </c>
      <c r="S147" s="400">
        <f t="shared" si="197"/>
        <v>42048</v>
      </c>
    </row>
    <row r="148" spans="1:19" ht="16.5" customHeight="1" x14ac:dyDescent="0.25">
      <c r="A148" s="422"/>
      <c r="B148" s="443" t="s">
        <v>562</v>
      </c>
      <c r="C148" s="443"/>
      <c r="D148" s="422"/>
      <c r="E148" s="422"/>
      <c r="F148" s="443" t="s">
        <v>474</v>
      </c>
      <c r="G148" s="400">
        <f t="shared" si="194"/>
        <v>32</v>
      </c>
      <c r="H148" s="690"/>
      <c r="I148" s="422">
        <v>32</v>
      </c>
      <c r="J148" s="422">
        <v>4.38</v>
      </c>
      <c r="K148" s="422">
        <f t="shared" si="195"/>
        <v>3.504</v>
      </c>
      <c r="L148" s="422">
        <v>0.2</v>
      </c>
      <c r="M148" s="400"/>
      <c r="N148" s="400"/>
      <c r="O148" s="400"/>
      <c r="P148" s="422">
        <f>I148*J148*L148</f>
        <v>28.032</v>
      </c>
      <c r="Q148" s="400">
        <v>16</v>
      </c>
      <c r="R148" s="400">
        <f t="shared" si="196"/>
        <v>448512</v>
      </c>
      <c r="S148" s="400">
        <f t="shared" si="197"/>
        <v>448512</v>
      </c>
    </row>
    <row r="149" spans="1:19" s="515" customFormat="1" ht="16.5" customHeight="1" x14ac:dyDescent="0.25">
      <c r="A149" s="751"/>
      <c r="B149" t="s">
        <v>138</v>
      </c>
      <c r="C149" s="748"/>
      <c r="D149" s="751"/>
      <c r="E149" s="751">
        <f>SUM(E150:E151)</f>
        <v>0</v>
      </c>
      <c r="F149" s="751">
        <f t="shared" ref="F149" si="227">SUM(F150:F151)</f>
        <v>0</v>
      </c>
      <c r="G149" s="751">
        <f t="shared" ref="G149" si="228">SUM(G150:G151)</f>
        <v>6.5</v>
      </c>
      <c r="H149" s="751">
        <f t="shared" ref="H149" si="229">SUM(H150:H151)</f>
        <v>1.5</v>
      </c>
      <c r="I149" s="751">
        <f t="shared" ref="I149" si="230">SUM(I150:I151)</f>
        <v>5</v>
      </c>
      <c r="J149" s="751">
        <f t="shared" ref="J149" si="231">SUM(J150:J151)</f>
        <v>8.76</v>
      </c>
      <c r="K149" s="751">
        <f t="shared" ref="K149" si="232">SUM(K150:K151)</f>
        <v>3.504</v>
      </c>
      <c r="L149" s="751">
        <f t="shared" ref="L149" si="233">SUM(L150:L151)</f>
        <v>1.2</v>
      </c>
      <c r="M149" s="751">
        <f t="shared" ref="M149" si="234">SUM(M150:M151)</f>
        <v>0</v>
      </c>
      <c r="N149" s="751">
        <f t="shared" ref="N149" si="235">SUM(N150:N151)</f>
        <v>0</v>
      </c>
      <c r="O149" s="751">
        <f t="shared" ref="O149" si="236">SUM(O150:O151)</f>
        <v>0</v>
      </c>
      <c r="P149" s="751">
        <f t="shared" ref="P149" si="237">SUM(P150:P151)</f>
        <v>10.95</v>
      </c>
      <c r="Q149" s="751">
        <f t="shared" ref="Q149" si="238">SUM(Q150:Q151)</f>
        <v>32</v>
      </c>
      <c r="R149" s="751">
        <f t="shared" ref="R149" si="239">SUM(R150:R151)</f>
        <v>175200</v>
      </c>
      <c r="S149" s="751">
        <f t="shared" ref="S149" si="240">SUM(S150:S151)</f>
        <v>175200</v>
      </c>
    </row>
    <row r="150" spans="1:19" ht="16.5" customHeight="1" x14ac:dyDescent="0.25">
      <c r="A150" s="422"/>
      <c r="C150" s="443"/>
      <c r="D150" s="422"/>
      <c r="E150" s="422"/>
      <c r="F150" s="443" t="s">
        <v>474</v>
      </c>
      <c r="G150" s="400">
        <f t="shared" si="194"/>
        <v>5</v>
      </c>
      <c r="H150" s="690"/>
      <c r="I150" s="422">
        <v>5</v>
      </c>
      <c r="J150" s="422">
        <v>4.38</v>
      </c>
      <c r="K150" s="422">
        <f t="shared" si="195"/>
        <v>3.504</v>
      </c>
      <c r="L150" s="422">
        <v>0.2</v>
      </c>
      <c r="M150" s="400"/>
      <c r="N150" s="400"/>
      <c r="O150" s="400"/>
      <c r="P150" s="422">
        <f>I150*J150*L150</f>
        <v>4.38</v>
      </c>
      <c r="Q150" s="400">
        <v>16</v>
      </c>
      <c r="R150" s="400">
        <f t="shared" si="196"/>
        <v>70080</v>
      </c>
      <c r="S150" s="400">
        <f t="shared" si="197"/>
        <v>70080</v>
      </c>
    </row>
    <row r="151" spans="1:19" ht="16.5" customHeight="1" x14ac:dyDescent="0.25">
      <c r="A151" s="422"/>
      <c r="B151" s="443"/>
      <c r="C151" s="443"/>
      <c r="D151" s="422"/>
      <c r="E151" s="422"/>
      <c r="F151" s="443" t="s">
        <v>474</v>
      </c>
      <c r="G151" s="400">
        <f t="shared" si="194"/>
        <v>1.5</v>
      </c>
      <c r="H151" s="690">
        <v>1.5</v>
      </c>
      <c r="I151" s="422"/>
      <c r="J151" s="422">
        <v>4.38</v>
      </c>
      <c r="K151" s="422">
        <v>0</v>
      </c>
      <c r="L151" s="422">
        <v>1</v>
      </c>
      <c r="M151" s="400"/>
      <c r="N151" s="400"/>
      <c r="O151" s="400"/>
      <c r="P151" s="422">
        <f>H151*J151*L151</f>
        <v>6.57</v>
      </c>
      <c r="Q151" s="400">
        <v>16</v>
      </c>
      <c r="R151" s="400">
        <f t="shared" si="196"/>
        <v>105120</v>
      </c>
      <c r="S151" s="400">
        <f t="shared" si="197"/>
        <v>105120</v>
      </c>
    </row>
    <row r="152" spans="1:19" s="515" customFormat="1" ht="16.5" customHeight="1" x14ac:dyDescent="0.25">
      <c r="A152" s="751"/>
      <c r="B152" s="443" t="s">
        <v>570</v>
      </c>
      <c r="C152" s="748"/>
      <c r="D152" s="751"/>
      <c r="E152" s="751">
        <f>SUM(E153:E154)</f>
        <v>0</v>
      </c>
      <c r="F152" s="751">
        <f t="shared" ref="F152" si="241">SUM(F153:F154)</f>
        <v>0</v>
      </c>
      <c r="G152" s="751">
        <f t="shared" ref="G152" si="242">SUM(G153:G154)</f>
        <v>220</v>
      </c>
      <c r="H152" s="751">
        <f t="shared" ref="H152" si="243">SUM(H153:H154)</f>
        <v>0</v>
      </c>
      <c r="I152" s="751">
        <f t="shared" ref="I152" si="244">SUM(I153:I154)</f>
        <v>220</v>
      </c>
      <c r="J152" s="751">
        <f t="shared" ref="J152" si="245">SUM(J153:J154)</f>
        <v>8.76</v>
      </c>
      <c r="K152" s="751">
        <f t="shared" ref="K152" si="246">SUM(K153:K154)</f>
        <v>7.6649999999999991</v>
      </c>
      <c r="L152" s="751">
        <f t="shared" ref="L152" si="247">SUM(L153:L154)</f>
        <v>0.25</v>
      </c>
      <c r="M152" s="751">
        <f t="shared" ref="M152" si="248">SUM(M153:M154)</f>
        <v>0</v>
      </c>
      <c r="N152" s="751">
        <f t="shared" ref="N152" si="249">SUM(N153:N154)</f>
        <v>0</v>
      </c>
      <c r="O152" s="751">
        <f t="shared" ref="O152" si="250">SUM(O153:O154)</f>
        <v>0</v>
      </c>
      <c r="P152" s="751">
        <f t="shared" ref="P152" si="251">SUM(P153:P154)</f>
        <v>100.74000000000001</v>
      </c>
      <c r="Q152" s="751">
        <f t="shared" ref="Q152" si="252">SUM(Q153:Q154)</f>
        <v>32</v>
      </c>
      <c r="R152" s="751">
        <f t="shared" ref="R152" si="253">SUM(R153:R154)</f>
        <v>1611840.0000000002</v>
      </c>
      <c r="S152" s="751">
        <f t="shared" ref="S152" si="254">SUM(S153:S154)</f>
        <v>1611840.0000000002</v>
      </c>
    </row>
    <row r="153" spans="1:19" ht="16.5" customHeight="1" x14ac:dyDescent="0.25">
      <c r="A153" s="422"/>
      <c r="C153" s="443"/>
      <c r="D153" s="422"/>
      <c r="E153" s="422"/>
      <c r="F153" s="443" t="s">
        <v>474</v>
      </c>
      <c r="G153" s="400">
        <f t="shared" si="194"/>
        <v>20</v>
      </c>
      <c r="I153" s="690">
        <v>20</v>
      </c>
      <c r="J153" s="422">
        <v>4.38</v>
      </c>
      <c r="K153" s="422">
        <f t="shared" ref="K153:K168" si="255">J153-(J153*L153)</f>
        <v>3.7229999999999999</v>
      </c>
      <c r="L153" s="422">
        <v>0.15</v>
      </c>
      <c r="M153" s="400"/>
      <c r="N153" s="400"/>
      <c r="O153" s="400"/>
      <c r="P153" s="422">
        <f t="shared" ref="P153:P164" si="256">I153*J153*L153</f>
        <v>13.139999999999999</v>
      </c>
      <c r="Q153" s="400">
        <v>16</v>
      </c>
      <c r="R153" s="400">
        <f t="shared" si="196"/>
        <v>210239.99999999997</v>
      </c>
      <c r="S153" s="400">
        <f t="shared" si="197"/>
        <v>210239.99999999997</v>
      </c>
    </row>
    <row r="154" spans="1:19" ht="16.5" customHeight="1" x14ac:dyDescent="0.25">
      <c r="A154" s="422"/>
      <c r="B154" s="443"/>
      <c r="C154" s="443"/>
      <c r="D154" s="422"/>
      <c r="E154" s="422"/>
      <c r="F154" s="443" t="s">
        <v>504</v>
      </c>
      <c r="G154" s="400">
        <f t="shared" si="194"/>
        <v>200</v>
      </c>
      <c r="H154" s="690"/>
      <c r="I154" s="690">
        <f>75+125</f>
        <v>200</v>
      </c>
      <c r="J154" s="422">
        <v>4.38</v>
      </c>
      <c r="K154" s="422">
        <f t="shared" si="255"/>
        <v>3.9419999999999997</v>
      </c>
      <c r="L154" s="422">
        <v>0.1</v>
      </c>
      <c r="M154" s="400"/>
      <c r="N154" s="400"/>
      <c r="O154" s="400"/>
      <c r="P154" s="422">
        <f t="shared" si="256"/>
        <v>87.600000000000009</v>
      </c>
      <c r="Q154" s="400">
        <v>16</v>
      </c>
      <c r="R154" s="400">
        <f t="shared" si="196"/>
        <v>1401600.0000000002</v>
      </c>
      <c r="S154" s="400">
        <f t="shared" si="197"/>
        <v>1401600.0000000002</v>
      </c>
    </row>
    <row r="155" spans="1:19" x14ac:dyDescent="0.25">
      <c r="A155" s="422"/>
      <c r="B155" s="443" t="s">
        <v>582</v>
      </c>
      <c r="C155" s="443"/>
      <c r="D155" s="422"/>
      <c r="E155" s="422"/>
      <c r="F155" s="443" t="s">
        <v>474</v>
      </c>
      <c r="G155" s="400">
        <f t="shared" si="194"/>
        <v>1200</v>
      </c>
      <c r="H155" s="690"/>
      <c r="I155" s="422">
        <v>1200</v>
      </c>
      <c r="J155" s="422">
        <v>4.38</v>
      </c>
      <c r="K155" s="422">
        <f t="shared" si="255"/>
        <v>4.1609999999999996</v>
      </c>
      <c r="L155" s="422">
        <v>0.05</v>
      </c>
      <c r="M155" s="400"/>
      <c r="N155" s="400"/>
      <c r="O155" s="400"/>
      <c r="P155" s="422">
        <f t="shared" si="256"/>
        <v>262.8</v>
      </c>
      <c r="Q155" s="400">
        <v>16</v>
      </c>
      <c r="R155" s="400">
        <f t="shared" si="196"/>
        <v>4204800</v>
      </c>
      <c r="S155" s="400">
        <f t="shared" si="197"/>
        <v>4204800</v>
      </c>
    </row>
    <row r="156" spans="1:19" x14ac:dyDescent="0.25">
      <c r="A156" s="422"/>
      <c r="B156" s="443" t="s">
        <v>905</v>
      </c>
      <c r="C156" s="443"/>
      <c r="D156" s="422"/>
      <c r="E156" s="422"/>
      <c r="F156" s="443" t="s">
        <v>474</v>
      </c>
      <c r="G156" s="400">
        <f t="shared" si="194"/>
        <v>37.450000000000003</v>
      </c>
      <c r="H156" s="690"/>
      <c r="I156" s="422">
        <v>37.450000000000003</v>
      </c>
      <c r="J156" s="422">
        <v>4.38</v>
      </c>
      <c r="K156" s="422">
        <f t="shared" si="255"/>
        <v>3.504</v>
      </c>
      <c r="L156" s="422">
        <v>0.2</v>
      </c>
      <c r="M156" s="400"/>
      <c r="N156" s="400"/>
      <c r="O156" s="400"/>
      <c r="P156" s="422">
        <f t="shared" si="256"/>
        <v>32.806200000000004</v>
      </c>
      <c r="Q156" s="400">
        <v>16</v>
      </c>
      <c r="R156" s="400">
        <f t="shared" si="196"/>
        <v>524899.20000000007</v>
      </c>
      <c r="S156" s="400">
        <f t="shared" si="197"/>
        <v>524899.20000000007</v>
      </c>
    </row>
    <row r="157" spans="1:19" x14ac:dyDescent="0.25">
      <c r="A157" s="422"/>
      <c r="B157" s="443" t="s">
        <v>559</v>
      </c>
      <c r="C157" s="443"/>
      <c r="D157" s="422"/>
      <c r="E157" s="422"/>
      <c r="F157" s="443" t="s">
        <v>474</v>
      </c>
      <c r="G157" s="400">
        <f t="shared" si="194"/>
        <v>363.5</v>
      </c>
      <c r="H157" s="690"/>
      <c r="I157" s="422">
        <v>363.5</v>
      </c>
      <c r="J157" s="422">
        <v>4.38</v>
      </c>
      <c r="K157" s="422">
        <f t="shared" si="255"/>
        <v>3.9419999999999997</v>
      </c>
      <c r="L157" s="422">
        <v>0.1</v>
      </c>
      <c r="M157" s="400"/>
      <c r="N157" s="400"/>
      <c r="O157" s="400"/>
      <c r="P157" s="422">
        <f t="shared" si="256"/>
        <v>159.21299999999999</v>
      </c>
      <c r="Q157" s="400">
        <v>16</v>
      </c>
      <c r="R157" s="400">
        <f t="shared" si="196"/>
        <v>2547408</v>
      </c>
      <c r="S157" s="400">
        <f t="shared" si="197"/>
        <v>2547408</v>
      </c>
    </row>
    <row r="158" spans="1:19" x14ac:dyDescent="0.25">
      <c r="A158" s="422"/>
      <c r="B158" s="443" t="s">
        <v>572</v>
      </c>
      <c r="C158" s="443"/>
      <c r="D158" s="422"/>
      <c r="E158" s="422"/>
      <c r="F158" s="443" t="s">
        <v>474</v>
      </c>
      <c r="G158" s="400">
        <f t="shared" si="194"/>
        <v>44.36</v>
      </c>
      <c r="H158" s="690"/>
      <c r="I158" s="422">
        <v>44.36</v>
      </c>
      <c r="J158" s="422">
        <v>4.38</v>
      </c>
      <c r="K158" s="422">
        <f t="shared" si="255"/>
        <v>3.9419999999999997</v>
      </c>
      <c r="L158" s="422">
        <v>0.1</v>
      </c>
      <c r="M158" s="400"/>
      <c r="N158" s="400"/>
      <c r="O158" s="400"/>
      <c r="P158" s="422">
        <f t="shared" si="256"/>
        <v>19.429680000000001</v>
      </c>
      <c r="Q158" s="400">
        <v>16</v>
      </c>
      <c r="R158" s="400">
        <f t="shared" si="196"/>
        <v>310874.88</v>
      </c>
      <c r="S158" s="400">
        <f t="shared" si="197"/>
        <v>310874.88</v>
      </c>
    </row>
    <row r="159" spans="1:19" s="515" customFormat="1" x14ac:dyDescent="0.25">
      <c r="A159" s="751"/>
      <c r="B159" s="443" t="s">
        <v>583</v>
      </c>
      <c r="C159" s="748"/>
      <c r="D159" s="751"/>
      <c r="E159" s="751">
        <f>SUM(E160:E161)</f>
        <v>0</v>
      </c>
      <c r="F159" s="751">
        <f t="shared" ref="F159" si="257">SUM(F160:F161)</f>
        <v>0</v>
      </c>
      <c r="G159" s="751">
        <f t="shared" ref="G159" si="258">SUM(G160:G161)</f>
        <v>22.5</v>
      </c>
      <c r="H159" s="751">
        <f t="shared" ref="H159" si="259">SUM(H160:H161)</f>
        <v>0</v>
      </c>
      <c r="I159" s="751">
        <f t="shared" ref="I159" si="260">SUM(I160:I161)</f>
        <v>22.5</v>
      </c>
      <c r="J159" s="751">
        <f t="shared" ref="J159" si="261">SUM(J160:J161)</f>
        <v>8.76</v>
      </c>
      <c r="K159" s="751">
        <f t="shared" ref="K159" si="262">SUM(K160:K161)</f>
        <v>7.4459999999999997</v>
      </c>
      <c r="L159" s="751">
        <f t="shared" ref="L159" si="263">SUM(L160:L161)</f>
        <v>0.30000000000000004</v>
      </c>
      <c r="M159" s="751">
        <f t="shared" ref="M159" si="264">SUM(M160:M161)</f>
        <v>0</v>
      </c>
      <c r="N159" s="751">
        <f t="shared" ref="N159" si="265">SUM(N160:N161)</f>
        <v>0</v>
      </c>
      <c r="O159" s="751">
        <f t="shared" ref="O159" si="266">SUM(O160:O161)</f>
        <v>0</v>
      </c>
      <c r="P159" s="751">
        <f t="shared" ref="P159" si="267">SUM(P160:P161)</f>
        <v>10.621499999999999</v>
      </c>
      <c r="Q159" s="751">
        <f t="shared" ref="Q159" si="268">SUM(Q160:Q161)</f>
        <v>32</v>
      </c>
      <c r="R159" s="751">
        <f t="shared" ref="R159" si="269">SUM(R160:R161)</f>
        <v>169944</v>
      </c>
      <c r="S159" s="751">
        <f t="shared" ref="S159" si="270">SUM(S160:S161)</f>
        <v>169944</v>
      </c>
    </row>
    <row r="160" spans="1:19" x14ac:dyDescent="0.25">
      <c r="A160" s="422"/>
      <c r="C160" s="443"/>
      <c r="D160" s="422"/>
      <c r="E160" s="422"/>
      <c r="F160" s="443" t="s">
        <v>474</v>
      </c>
      <c r="G160" s="400">
        <f t="shared" si="194"/>
        <v>20.75</v>
      </c>
      <c r="H160" s="690"/>
      <c r="I160" s="422">
        <v>20.75</v>
      </c>
      <c r="J160" s="422">
        <v>4.38</v>
      </c>
      <c r="K160" s="422">
        <f t="shared" si="255"/>
        <v>3.9419999999999997</v>
      </c>
      <c r="L160" s="422">
        <v>0.1</v>
      </c>
      <c r="M160" s="400"/>
      <c r="N160" s="400"/>
      <c r="O160" s="400"/>
      <c r="P160" s="422">
        <f t="shared" si="256"/>
        <v>9.0884999999999998</v>
      </c>
      <c r="Q160" s="400">
        <v>16</v>
      </c>
      <c r="R160" s="400">
        <f t="shared" si="196"/>
        <v>145416</v>
      </c>
      <c r="S160" s="400">
        <f t="shared" si="197"/>
        <v>145416</v>
      </c>
    </row>
    <row r="161" spans="1:19" x14ac:dyDescent="0.25">
      <c r="A161" s="422"/>
      <c r="B161" s="443"/>
      <c r="C161" s="443"/>
      <c r="D161" s="422"/>
      <c r="E161" s="422"/>
      <c r="F161" s="443" t="s">
        <v>586</v>
      </c>
      <c r="G161" s="400">
        <f t="shared" si="194"/>
        <v>1.75</v>
      </c>
      <c r="H161" s="690"/>
      <c r="I161" s="422">
        <v>1.75</v>
      </c>
      <c r="J161" s="422">
        <v>4.38</v>
      </c>
      <c r="K161" s="422">
        <f t="shared" si="255"/>
        <v>3.504</v>
      </c>
      <c r="L161" s="422">
        <v>0.2</v>
      </c>
      <c r="M161" s="400"/>
      <c r="N161" s="400"/>
      <c r="O161" s="400"/>
      <c r="P161" s="422">
        <f t="shared" si="256"/>
        <v>1.5330000000000001</v>
      </c>
      <c r="Q161" s="400">
        <v>16</v>
      </c>
      <c r="R161" s="400">
        <f t="shared" si="196"/>
        <v>24528.000000000004</v>
      </c>
      <c r="S161" s="400">
        <f t="shared" si="197"/>
        <v>24528.000000000004</v>
      </c>
    </row>
    <row r="162" spans="1:19" x14ac:dyDescent="0.25">
      <c r="A162" s="422"/>
      <c r="B162" s="443" t="s">
        <v>578</v>
      </c>
      <c r="C162" s="443"/>
      <c r="D162" s="422"/>
      <c r="E162" s="422"/>
      <c r="F162" s="443" t="s">
        <v>474</v>
      </c>
      <c r="G162" s="400">
        <f t="shared" si="194"/>
        <v>10</v>
      </c>
      <c r="H162" s="690"/>
      <c r="I162" s="422">
        <v>10</v>
      </c>
      <c r="J162" s="422">
        <v>4.38</v>
      </c>
      <c r="K162" s="422">
        <f t="shared" si="255"/>
        <v>3.504</v>
      </c>
      <c r="L162" s="422">
        <v>0.2</v>
      </c>
      <c r="M162" s="400"/>
      <c r="N162" s="400"/>
      <c r="O162" s="400"/>
      <c r="P162" s="422">
        <f t="shared" si="256"/>
        <v>8.76</v>
      </c>
      <c r="Q162" s="400">
        <v>16</v>
      </c>
      <c r="R162" s="400">
        <f t="shared" si="196"/>
        <v>140160</v>
      </c>
      <c r="S162" s="400">
        <f t="shared" si="197"/>
        <v>140160</v>
      </c>
    </row>
    <row r="163" spans="1:19" x14ac:dyDescent="0.25">
      <c r="A163" s="422"/>
      <c r="B163" s="443" t="s">
        <v>183</v>
      </c>
      <c r="C163" s="443"/>
      <c r="D163" s="422"/>
      <c r="E163" s="422"/>
      <c r="F163" s="443" t="s">
        <v>501</v>
      </c>
      <c r="G163" s="400">
        <f t="shared" si="194"/>
        <v>253.5</v>
      </c>
      <c r="H163" s="690"/>
      <c r="I163" s="422">
        <v>253.5</v>
      </c>
      <c r="J163" s="422">
        <v>4.38</v>
      </c>
      <c r="K163" s="422">
        <f t="shared" si="255"/>
        <v>3.9419999999999997</v>
      </c>
      <c r="L163" s="422">
        <v>0.1</v>
      </c>
      <c r="M163" s="400"/>
      <c r="N163" s="400"/>
      <c r="O163" s="400"/>
      <c r="P163" s="422">
        <f t="shared" si="256"/>
        <v>111.033</v>
      </c>
      <c r="Q163" s="400">
        <v>16</v>
      </c>
      <c r="R163" s="400">
        <f t="shared" si="196"/>
        <v>1776528</v>
      </c>
      <c r="S163" s="400">
        <f t="shared" si="197"/>
        <v>1776528</v>
      </c>
    </row>
    <row r="164" spans="1:19" x14ac:dyDescent="0.25">
      <c r="A164" s="422"/>
      <c r="B164" s="443" t="s">
        <v>569</v>
      </c>
      <c r="C164" s="443"/>
      <c r="D164" s="422"/>
      <c r="E164" s="422"/>
      <c r="F164" s="443" t="s">
        <v>474</v>
      </c>
      <c r="G164" s="400">
        <f t="shared" si="194"/>
        <v>661</v>
      </c>
      <c r="H164" s="690"/>
      <c r="I164" s="422">
        <v>661</v>
      </c>
      <c r="J164" s="422">
        <v>4.38</v>
      </c>
      <c r="K164" s="422">
        <f t="shared" si="255"/>
        <v>3.7229999999999999</v>
      </c>
      <c r="L164" s="422">
        <v>0.15</v>
      </c>
      <c r="M164" s="400"/>
      <c r="N164" s="400"/>
      <c r="O164" s="400"/>
      <c r="P164" s="422">
        <f t="shared" si="256"/>
        <v>434.27699999999999</v>
      </c>
      <c r="Q164" s="400">
        <v>16</v>
      </c>
      <c r="R164" s="400">
        <f t="shared" si="196"/>
        <v>6948432</v>
      </c>
      <c r="S164" s="400">
        <f t="shared" si="197"/>
        <v>6948432</v>
      </c>
    </row>
    <row r="165" spans="1:19" s="515" customFormat="1" x14ac:dyDescent="0.25">
      <c r="A165" s="751"/>
      <c r="B165" s="443" t="s">
        <v>906</v>
      </c>
      <c r="C165" s="748"/>
      <c r="D165" s="751"/>
      <c r="E165" s="751">
        <f>SUM(E166:E167)</f>
        <v>0</v>
      </c>
      <c r="F165" s="751">
        <f t="shared" ref="F165" si="271">SUM(F166:F167)</f>
        <v>0</v>
      </c>
      <c r="G165" s="751">
        <f t="shared" ref="G165" si="272">SUM(G166:G167)</f>
        <v>151.86000000000001</v>
      </c>
      <c r="H165" s="751">
        <f t="shared" ref="H165" si="273">SUM(H166:H167)</f>
        <v>151.36000000000001</v>
      </c>
      <c r="I165" s="751">
        <f t="shared" ref="I165" si="274">SUM(I166:I167)</f>
        <v>0.5</v>
      </c>
      <c r="J165" s="751">
        <f t="shared" ref="J165" si="275">SUM(J166:J167)</f>
        <v>8.76</v>
      </c>
      <c r="K165" s="751">
        <f t="shared" ref="K165" si="276">SUM(K166:K167)</f>
        <v>3.504</v>
      </c>
      <c r="L165" s="751">
        <f t="shared" ref="L165" si="277">SUM(L166:L167)</f>
        <v>1.2</v>
      </c>
      <c r="M165" s="751">
        <f t="shared" ref="M165" si="278">SUM(M166:M167)</f>
        <v>0</v>
      </c>
      <c r="N165" s="751">
        <f t="shared" ref="N165" si="279">SUM(N166:N167)</f>
        <v>15800</v>
      </c>
      <c r="O165" s="751">
        <f t="shared" ref="O165" si="280">SUM(O166:O167)</f>
        <v>1580</v>
      </c>
      <c r="P165" s="751">
        <f t="shared" ref="P165" si="281">SUM(P166:P167)</f>
        <v>662.95680000000004</v>
      </c>
      <c r="Q165" s="751">
        <f t="shared" ref="Q165" si="282">SUM(Q166:Q167)</f>
        <v>16</v>
      </c>
      <c r="R165" s="751">
        <f t="shared" ref="R165" si="283">SUM(R166:R167)</f>
        <v>10607308.800000001</v>
      </c>
      <c r="S165" s="751">
        <f t="shared" ref="S165" si="284">SUM(S166:S167)</f>
        <v>10608888.800000001</v>
      </c>
    </row>
    <row r="166" spans="1:19" x14ac:dyDescent="0.25">
      <c r="A166" s="422"/>
      <c r="C166" s="443"/>
      <c r="D166" s="422"/>
      <c r="E166" s="422"/>
      <c r="F166" s="443" t="s">
        <v>481</v>
      </c>
      <c r="G166" s="400">
        <f t="shared" si="194"/>
        <v>151.36000000000001</v>
      </c>
      <c r="H166" s="422">
        <v>151.36000000000001</v>
      </c>
      <c r="I166" s="422"/>
      <c r="J166" s="422">
        <v>4.38</v>
      </c>
      <c r="K166" s="422">
        <f t="shared" si="255"/>
        <v>0</v>
      </c>
      <c r="L166" s="422">
        <v>1</v>
      </c>
      <c r="M166" s="400"/>
      <c r="N166" s="400"/>
      <c r="O166" s="400"/>
      <c r="P166" s="422">
        <f>H166*J166*L166</f>
        <v>662.95680000000004</v>
      </c>
      <c r="Q166" s="400">
        <v>16</v>
      </c>
      <c r="R166" s="400">
        <f t="shared" si="196"/>
        <v>10607308.800000001</v>
      </c>
      <c r="S166" s="400">
        <f t="shared" si="197"/>
        <v>10607308.800000001</v>
      </c>
    </row>
    <row r="167" spans="1:19" x14ac:dyDescent="0.25">
      <c r="A167" s="422"/>
      <c r="B167" s="443"/>
      <c r="C167" s="443"/>
      <c r="D167" s="422"/>
      <c r="E167" s="422"/>
      <c r="F167" s="443" t="s">
        <v>625</v>
      </c>
      <c r="G167" s="400">
        <f t="shared" si="194"/>
        <v>0.5</v>
      </c>
      <c r="H167" s="690"/>
      <c r="I167" s="422">
        <v>0.5</v>
      </c>
      <c r="J167" s="422">
        <v>4.38</v>
      </c>
      <c r="K167" s="422">
        <f t="shared" si="255"/>
        <v>3.504</v>
      </c>
      <c r="L167" s="422">
        <v>0.2</v>
      </c>
      <c r="M167" s="400"/>
      <c r="N167" s="400">
        <v>15800</v>
      </c>
      <c r="O167" s="400">
        <f>N167*L167*I167</f>
        <v>1580</v>
      </c>
      <c r="P167" s="422"/>
      <c r="Q167" s="400"/>
      <c r="R167" s="400"/>
      <c r="S167" s="400">
        <f>R167+O167</f>
        <v>1580</v>
      </c>
    </row>
    <row r="168" spans="1:19" x14ac:dyDescent="0.25">
      <c r="A168" s="422"/>
      <c r="B168" s="443" t="s">
        <v>560</v>
      </c>
      <c r="C168" s="443"/>
      <c r="D168" s="422"/>
      <c r="E168" s="422"/>
      <c r="F168" s="443" t="s">
        <v>501</v>
      </c>
      <c r="G168" s="400">
        <f t="shared" si="194"/>
        <v>85</v>
      </c>
      <c r="H168" s="690"/>
      <c r="I168" s="422">
        <v>85</v>
      </c>
      <c r="J168" s="422">
        <v>4.38</v>
      </c>
      <c r="K168" s="422">
        <f t="shared" si="255"/>
        <v>3.9419999999999997</v>
      </c>
      <c r="L168" s="422">
        <v>0.1</v>
      </c>
      <c r="M168" s="400"/>
      <c r="N168" s="400"/>
      <c r="O168" s="400"/>
      <c r="P168" s="422">
        <f>I168*J168*L168</f>
        <v>37.230000000000004</v>
      </c>
      <c r="Q168" s="400">
        <v>16</v>
      </c>
      <c r="R168" s="400">
        <f t="shared" si="196"/>
        <v>595680.00000000012</v>
      </c>
      <c r="S168" s="400">
        <f>R168+O168</f>
        <v>595680.00000000012</v>
      </c>
    </row>
    <row r="169" spans="1:19" x14ac:dyDescent="0.25">
      <c r="A169" s="422"/>
      <c r="B169" s="443"/>
      <c r="C169" s="443"/>
      <c r="D169" s="422"/>
      <c r="E169" s="422"/>
      <c r="F169" s="443"/>
      <c r="G169" s="400"/>
      <c r="H169" s="690"/>
      <c r="I169" s="422"/>
      <c r="J169" s="422"/>
      <c r="K169" s="422"/>
      <c r="L169" s="422"/>
      <c r="M169" s="400"/>
      <c r="N169" s="400"/>
      <c r="O169" s="400"/>
      <c r="P169" s="422"/>
      <c r="Q169" s="400"/>
      <c r="R169" s="400"/>
      <c r="S169" s="400"/>
    </row>
    <row r="170" spans="1:19" s="1093" customFormat="1" x14ac:dyDescent="0.25">
      <c r="A170" s="1089"/>
      <c r="B170" s="1090" t="s">
        <v>271</v>
      </c>
      <c r="C170" s="1090"/>
      <c r="D170" s="1091"/>
      <c r="E170" s="1091"/>
      <c r="F170" s="1090"/>
      <c r="G170" s="1092">
        <f>SUM(G171+G226+G276+G295+G315+G354)</f>
        <v>169554.7</v>
      </c>
      <c r="H170" s="1092">
        <f>SUM(H171+H226+H276+H295+H315+H354)</f>
        <v>15917.099999999999</v>
      </c>
      <c r="I170" s="1092">
        <f>SUM(I171+I226+I276+I295+I315+I354)</f>
        <v>153637.59999999998</v>
      </c>
      <c r="J170" s="1091"/>
      <c r="K170" s="1092">
        <f>SUM(K171+K226+K276+K295+K315+K354)</f>
        <v>0</v>
      </c>
      <c r="L170" s="1091"/>
      <c r="M170" s="1092">
        <f>SUM(M171+M226+M276+M295+M315+M354)</f>
        <v>3078.5268000000005</v>
      </c>
      <c r="N170" s="1092"/>
      <c r="O170" s="1092">
        <f>SUM(O171+O226+O276+O295+O315+O354)</f>
        <v>23130023.5</v>
      </c>
      <c r="P170" s="1092">
        <f>SUM(P171+P226+P276+P295+P315+P354)</f>
        <v>127049.30787999996</v>
      </c>
      <c r="Q170" s="1092"/>
      <c r="R170" s="1092">
        <f>SUM(R171+R226+R276+R295+R315+R354)</f>
        <v>1651641002.4400001</v>
      </c>
      <c r="S170" s="1092">
        <f>SUM(S171+S226+S276+S295+S315+S354)</f>
        <v>1674771025.9400001</v>
      </c>
    </row>
    <row r="171" spans="1:19" x14ac:dyDescent="0.25">
      <c r="A171" s="461"/>
      <c r="B171" s="464" t="s">
        <v>471</v>
      </c>
      <c r="C171" s="464"/>
      <c r="D171" s="691"/>
      <c r="E171" s="691"/>
      <c r="F171" s="464"/>
      <c r="G171" s="419">
        <f>SUM(G173:G224)</f>
        <v>50208.9</v>
      </c>
      <c r="H171" s="419">
        <f t="shared" ref="H171:I171" si="285">SUM(H173:H224)</f>
        <v>545</v>
      </c>
      <c r="I171" s="419">
        <f t="shared" si="285"/>
        <v>49663.9</v>
      </c>
      <c r="J171" s="691"/>
      <c r="K171" s="691"/>
      <c r="L171" s="691"/>
      <c r="M171" s="419">
        <f>SUM(M173:M224)</f>
        <v>33.68</v>
      </c>
      <c r="N171" s="419"/>
      <c r="O171" s="419">
        <f>SUM(O173:O224)</f>
        <v>385990</v>
      </c>
      <c r="P171" s="419">
        <f>SUM(P173:P224)</f>
        <v>23458.265499999998</v>
      </c>
      <c r="Q171" s="419"/>
      <c r="R171" s="419">
        <f>SUM(R173:R224)</f>
        <v>304957451.5</v>
      </c>
      <c r="S171" s="419">
        <f>SUM(S173:S224)</f>
        <v>305343441.5</v>
      </c>
    </row>
    <row r="172" spans="1:19" s="515" customFormat="1" x14ac:dyDescent="0.25">
      <c r="A172" s="747"/>
      <c r="B172" s="443" t="s">
        <v>618</v>
      </c>
      <c r="C172" s="750"/>
      <c r="D172" s="1072"/>
      <c r="E172" s="751">
        <f>SUM(E173:E178)</f>
        <v>0</v>
      </c>
      <c r="F172" s="751">
        <f t="shared" ref="F172:S172" si="286">SUM(F173:F178)</f>
        <v>0</v>
      </c>
      <c r="G172" s="751">
        <f t="shared" si="286"/>
        <v>1045</v>
      </c>
      <c r="H172" s="751">
        <f t="shared" si="286"/>
        <v>515</v>
      </c>
      <c r="I172" s="751">
        <f t="shared" si="286"/>
        <v>530</v>
      </c>
      <c r="J172" s="751">
        <f t="shared" si="286"/>
        <v>26.279999999999998</v>
      </c>
      <c r="K172" s="751">
        <f t="shared" si="286"/>
        <v>14.672999999999998</v>
      </c>
      <c r="L172" s="751">
        <f t="shared" si="286"/>
        <v>2.65</v>
      </c>
      <c r="M172" s="751">
        <f t="shared" si="286"/>
        <v>26.28</v>
      </c>
      <c r="N172" s="751">
        <f t="shared" si="286"/>
        <v>37360</v>
      </c>
      <c r="O172" s="751">
        <f t="shared" si="286"/>
        <v>366360</v>
      </c>
      <c r="P172" s="751">
        <f t="shared" si="286"/>
        <v>2452.8000000000002</v>
      </c>
      <c r="Q172" s="751">
        <f t="shared" si="286"/>
        <v>52</v>
      </c>
      <c r="R172" s="751">
        <f t="shared" si="286"/>
        <v>31886400</v>
      </c>
      <c r="S172" s="751">
        <f t="shared" si="286"/>
        <v>32252760</v>
      </c>
    </row>
    <row r="173" spans="1:19" x14ac:dyDescent="0.25">
      <c r="A173" s="422"/>
      <c r="C173" s="443"/>
      <c r="D173" s="422"/>
      <c r="E173" s="422"/>
      <c r="F173" s="443" t="s">
        <v>474</v>
      </c>
      <c r="G173" s="400">
        <f t="shared" ref="G173:G224" si="287">H173+I173</f>
        <v>350</v>
      </c>
      <c r="H173" s="690"/>
      <c r="I173" s="422">
        <v>350</v>
      </c>
      <c r="J173" s="422">
        <v>4.38</v>
      </c>
      <c r="K173" s="422">
        <f t="shared" ref="K173:K224" si="288">J173-(J173*L173)</f>
        <v>3.9419999999999997</v>
      </c>
      <c r="L173" s="422">
        <v>0.1</v>
      </c>
      <c r="M173" s="400"/>
      <c r="N173" s="400"/>
      <c r="O173" s="400"/>
      <c r="P173" s="422">
        <f t="shared" ref="P173:P183" si="289">I173*J173*L173</f>
        <v>153.30000000000001</v>
      </c>
      <c r="Q173" s="400">
        <v>13</v>
      </c>
      <c r="R173" s="400">
        <f t="shared" ref="R173:R224" si="290">P173*Q173*1000</f>
        <v>1992900</v>
      </c>
      <c r="S173" s="400">
        <f t="shared" ref="S173:S224" si="291">R173+O173</f>
        <v>1992900</v>
      </c>
    </row>
    <row r="174" spans="1:19" x14ac:dyDescent="0.25">
      <c r="A174" s="422"/>
      <c r="B174" s="443"/>
      <c r="C174" s="443"/>
      <c r="D174" s="422"/>
      <c r="E174" s="422"/>
      <c r="F174" s="443" t="s">
        <v>907</v>
      </c>
      <c r="G174" s="400">
        <f t="shared" si="287"/>
        <v>100</v>
      </c>
      <c r="H174" s="690"/>
      <c r="I174" s="422">
        <v>100</v>
      </c>
      <c r="J174" s="422">
        <v>4.38</v>
      </c>
      <c r="K174" s="422">
        <f t="shared" si="288"/>
        <v>3.7229999999999999</v>
      </c>
      <c r="L174" s="422">
        <v>0.15</v>
      </c>
      <c r="M174" s="400"/>
      <c r="N174" s="400"/>
      <c r="O174" s="400"/>
      <c r="P174" s="422">
        <f t="shared" si="289"/>
        <v>65.7</v>
      </c>
      <c r="Q174" s="400">
        <v>13</v>
      </c>
      <c r="R174" s="400">
        <f t="shared" si="290"/>
        <v>854100</v>
      </c>
      <c r="S174" s="400">
        <f t="shared" si="291"/>
        <v>854100</v>
      </c>
    </row>
    <row r="175" spans="1:19" x14ac:dyDescent="0.25">
      <c r="A175" s="422"/>
      <c r="B175" s="443"/>
      <c r="C175" s="443"/>
      <c r="D175" s="422"/>
      <c r="E175" s="422"/>
      <c r="F175" s="443" t="s">
        <v>487</v>
      </c>
      <c r="G175" s="400">
        <f t="shared" si="287"/>
        <v>50</v>
      </c>
      <c r="H175" s="690"/>
      <c r="I175" s="422">
        <v>50</v>
      </c>
      <c r="J175" s="422">
        <v>4.38</v>
      </c>
      <c r="K175" s="422">
        <f t="shared" si="288"/>
        <v>3.504</v>
      </c>
      <c r="L175" s="422">
        <v>0.2</v>
      </c>
      <c r="M175" s="400"/>
      <c r="N175" s="400"/>
      <c r="O175" s="400"/>
      <c r="P175" s="422">
        <f t="shared" si="289"/>
        <v>43.800000000000004</v>
      </c>
      <c r="Q175" s="400">
        <v>13</v>
      </c>
      <c r="R175" s="400">
        <f t="shared" si="290"/>
        <v>569400.00000000012</v>
      </c>
      <c r="S175" s="400">
        <f t="shared" si="291"/>
        <v>569400.00000000012</v>
      </c>
    </row>
    <row r="176" spans="1:19" x14ac:dyDescent="0.25">
      <c r="A176" s="422"/>
      <c r="B176" s="443"/>
      <c r="C176" s="443"/>
      <c r="D176" s="422"/>
      <c r="E176" s="422"/>
      <c r="F176" s="443" t="s">
        <v>588</v>
      </c>
      <c r="G176" s="400">
        <f t="shared" si="287"/>
        <v>30</v>
      </c>
      <c r="H176" s="690"/>
      <c r="I176" s="422">
        <v>30</v>
      </c>
      <c r="J176" s="422">
        <v>4.38</v>
      </c>
      <c r="K176" s="422">
        <f t="shared" si="288"/>
        <v>3.504</v>
      </c>
      <c r="L176" s="422">
        <v>0.2</v>
      </c>
      <c r="M176" s="400">
        <f>I176*J176*L176</f>
        <v>26.28</v>
      </c>
      <c r="N176" s="400">
        <v>21560</v>
      </c>
      <c r="O176" s="400">
        <f>N176*L176*I176</f>
        <v>129360</v>
      </c>
      <c r="P176" s="422"/>
      <c r="Q176" s="400"/>
      <c r="R176" s="400"/>
      <c r="S176" s="400">
        <f t="shared" si="291"/>
        <v>129360</v>
      </c>
    </row>
    <row r="177" spans="1:19" x14ac:dyDescent="0.25">
      <c r="A177" s="422"/>
      <c r="B177" s="443"/>
      <c r="C177" s="443"/>
      <c r="D177" s="422"/>
      <c r="E177" s="422"/>
      <c r="F177" s="443" t="s">
        <v>799</v>
      </c>
      <c r="G177" s="400">
        <f>H177+I177</f>
        <v>15</v>
      </c>
      <c r="H177" s="690">
        <v>15</v>
      </c>
      <c r="I177" s="422"/>
      <c r="J177" s="422">
        <v>4.38</v>
      </c>
      <c r="K177" s="422">
        <f>J177-(J177*L177)</f>
        <v>0</v>
      </c>
      <c r="L177" s="422">
        <v>1</v>
      </c>
      <c r="M177" s="400"/>
      <c r="N177" s="400">
        <v>15800</v>
      </c>
      <c r="O177" s="400">
        <f>N177*L177*H177</f>
        <v>237000</v>
      </c>
      <c r="P177" s="422"/>
      <c r="Q177" s="400"/>
      <c r="R177" s="400"/>
      <c r="S177" s="400">
        <f t="shared" si="291"/>
        <v>237000</v>
      </c>
    </row>
    <row r="178" spans="1:19" x14ac:dyDescent="0.25">
      <c r="A178" s="422"/>
      <c r="B178" s="443"/>
      <c r="C178" s="443"/>
      <c r="D178" s="422"/>
      <c r="E178" s="422"/>
      <c r="F178" s="443" t="s">
        <v>504</v>
      </c>
      <c r="G178" s="400">
        <f>H178+I178</f>
        <v>500</v>
      </c>
      <c r="H178" s="690">
        <v>500</v>
      </c>
      <c r="I178" s="422"/>
      <c r="J178" s="422">
        <v>4.38</v>
      </c>
      <c r="K178" s="422">
        <f>J178-(J178*L178)</f>
        <v>0</v>
      </c>
      <c r="L178" s="422">
        <v>1</v>
      </c>
      <c r="M178" s="400"/>
      <c r="N178" s="400"/>
      <c r="O178" s="400"/>
      <c r="P178" s="422">
        <f>H178*J178*L178</f>
        <v>2190</v>
      </c>
      <c r="Q178" s="400">
        <v>13</v>
      </c>
      <c r="R178" s="400">
        <f>P178*Q178*1000</f>
        <v>28470000</v>
      </c>
      <c r="S178" s="400">
        <f t="shared" si="291"/>
        <v>28470000</v>
      </c>
    </row>
    <row r="179" spans="1:19" s="515" customFormat="1" x14ac:dyDescent="0.25">
      <c r="A179" s="751"/>
      <c r="B179" s="443" t="s">
        <v>621</v>
      </c>
      <c r="C179" s="748"/>
      <c r="D179" s="751"/>
      <c r="E179" s="751">
        <f>SUM(E180:E181)</f>
        <v>0</v>
      </c>
      <c r="F179" s="751">
        <f t="shared" ref="F179" si="292">SUM(F180:F181)</f>
        <v>0</v>
      </c>
      <c r="G179" s="751">
        <f t="shared" ref="G179" si="293">SUM(G180:G181)</f>
        <v>1566.25</v>
      </c>
      <c r="H179" s="751">
        <f t="shared" ref="H179" si="294">SUM(H180:H181)</f>
        <v>0</v>
      </c>
      <c r="I179" s="751">
        <f t="shared" ref="I179" si="295">SUM(I180:I181)</f>
        <v>1566.25</v>
      </c>
      <c r="J179" s="751">
        <f t="shared" ref="J179" si="296">SUM(J180:J181)</f>
        <v>8.08</v>
      </c>
      <c r="K179" s="751">
        <f t="shared" ref="K179" si="297">SUM(K180:K181)</f>
        <v>7.0869999999999997</v>
      </c>
      <c r="L179" s="751">
        <f t="shared" ref="L179" si="298">SUM(L180:L181)</f>
        <v>0.25</v>
      </c>
      <c r="M179" s="751">
        <f t="shared" ref="M179" si="299">SUM(M180:M181)</f>
        <v>0</v>
      </c>
      <c r="N179" s="751">
        <f t="shared" ref="N179" si="300">SUM(N180:N181)</f>
        <v>0</v>
      </c>
      <c r="O179" s="751">
        <f t="shared" ref="O179" si="301">SUM(O180:O181)</f>
        <v>0</v>
      </c>
      <c r="P179" s="751">
        <f t="shared" ref="P179" si="302">SUM(P180:P181)</f>
        <v>759.9615</v>
      </c>
      <c r="Q179" s="751">
        <f t="shared" ref="Q179" si="303">SUM(Q180:Q181)</f>
        <v>26</v>
      </c>
      <c r="R179" s="751">
        <f t="shared" ref="R179" si="304">SUM(R180:R181)</f>
        <v>9879499.5</v>
      </c>
      <c r="S179" s="751">
        <f t="shared" ref="S179" si="305">SUM(S180:S181)</f>
        <v>9879499.5</v>
      </c>
    </row>
    <row r="180" spans="1:19" x14ac:dyDescent="0.25">
      <c r="A180" s="422"/>
      <c r="C180" s="443" t="s">
        <v>713</v>
      </c>
      <c r="D180" s="422"/>
      <c r="E180" s="422"/>
      <c r="F180" s="443" t="s">
        <v>474</v>
      </c>
      <c r="G180" s="400">
        <f t="shared" si="287"/>
        <v>934.25</v>
      </c>
      <c r="H180" s="690"/>
      <c r="I180" s="422">
        <v>934.25</v>
      </c>
      <c r="J180" s="422">
        <v>4.38</v>
      </c>
      <c r="K180" s="422">
        <f t="shared" si="288"/>
        <v>3.9419999999999997</v>
      </c>
      <c r="L180" s="422">
        <v>0.1</v>
      </c>
      <c r="M180" s="400"/>
      <c r="N180" s="400"/>
      <c r="O180" s="400"/>
      <c r="P180" s="422">
        <f t="shared" si="289"/>
        <v>409.20150000000001</v>
      </c>
      <c r="Q180" s="400">
        <v>13</v>
      </c>
      <c r="R180" s="400">
        <f t="shared" si="290"/>
        <v>5319619.5</v>
      </c>
      <c r="S180" s="400">
        <f t="shared" si="291"/>
        <v>5319619.5</v>
      </c>
    </row>
    <row r="181" spans="1:19" x14ac:dyDescent="0.25">
      <c r="A181" s="422"/>
      <c r="B181" s="443"/>
      <c r="C181" s="443" t="s">
        <v>716</v>
      </c>
      <c r="D181" s="422"/>
      <c r="E181" s="422"/>
      <c r="F181" s="443" t="s">
        <v>586</v>
      </c>
      <c r="G181" s="400">
        <f t="shared" si="287"/>
        <v>632</v>
      </c>
      <c r="H181" s="690"/>
      <c r="I181" s="422">
        <v>632</v>
      </c>
      <c r="J181" s="422">
        <v>3.7</v>
      </c>
      <c r="K181" s="422">
        <f t="shared" si="288"/>
        <v>3.145</v>
      </c>
      <c r="L181" s="422">
        <v>0.15</v>
      </c>
      <c r="M181" s="400"/>
      <c r="N181" s="400"/>
      <c r="O181" s="400"/>
      <c r="P181" s="422">
        <f t="shared" si="289"/>
        <v>350.76</v>
      </c>
      <c r="Q181" s="400">
        <v>13</v>
      </c>
      <c r="R181" s="400">
        <f t="shared" si="290"/>
        <v>4559880</v>
      </c>
      <c r="S181" s="400">
        <f t="shared" si="291"/>
        <v>4559880</v>
      </c>
    </row>
    <row r="182" spans="1:19" s="515" customFormat="1" x14ac:dyDescent="0.25">
      <c r="A182" s="751"/>
      <c r="B182" s="443" t="s">
        <v>570</v>
      </c>
      <c r="C182" s="748"/>
      <c r="D182" s="751"/>
      <c r="E182" s="751">
        <f>SUM(E183:E188)</f>
        <v>0</v>
      </c>
      <c r="F182" s="751">
        <f t="shared" ref="F182:S182" si="306">SUM(F183:F188)</f>
        <v>0</v>
      </c>
      <c r="G182" s="751">
        <f t="shared" si="306"/>
        <v>1179.7</v>
      </c>
      <c r="H182" s="751">
        <f t="shared" si="306"/>
        <v>15</v>
      </c>
      <c r="I182" s="751">
        <f t="shared" si="306"/>
        <v>1164.7</v>
      </c>
      <c r="J182" s="751">
        <f t="shared" si="306"/>
        <v>24.24</v>
      </c>
      <c r="K182" s="751">
        <f t="shared" si="306"/>
        <v>16.695999999999998</v>
      </c>
      <c r="L182" s="751">
        <f t="shared" si="306"/>
        <v>1.8</v>
      </c>
      <c r="M182" s="751">
        <f t="shared" si="306"/>
        <v>3.7</v>
      </c>
      <c r="N182" s="751">
        <f t="shared" si="306"/>
        <v>9815</v>
      </c>
      <c r="O182" s="751">
        <f t="shared" si="306"/>
        <v>9815</v>
      </c>
      <c r="P182" s="751">
        <f t="shared" si="306"/>
        <v>730.62600000000009</v>
      </c>
      <c r="Q182" s="751">
        <f t="shared" si="306"/>
        <v>65</v>
      </c>
      <c r="R182" s="751">
        <f t="shared" si="306"/>
        <v>9498138.0000000019</v>
      </c>
      <c r="S182" s="751">
        <f t="shared" si="306"/>
        <v>9507953.0000000019</v>
      </c>
    </row>
    <row r="183" spans="1:19" x14ac:dyDescent="0.25">
      <c r="A183" s="422"/>
      <c r="C183" s="443" t="s">
        <v>713</v>
      </c>
      <c r="D183" s="422"/>
      <c r="E183" s="422"/>
      <c r="F183" s="443" t="s">
        <v>474</v>
      </c>
      <c r="G183" s="400">
        <f t="shared" si="287"/>
        <v>25</v>
      </c>
      <c r="H183" s="690"/>
      <c r="I183" s="422">
        <v>25</v>
      </c>
      <c r="J183" s="422">
        <v>4.38</v>
      </c>
      <c r="K183" s="422">
        <f t="shared" si="288"/>
        <v>3.9419999999999997</v>
      </c>
      <c r="L183" s="422">
        <v>0.1</v>
      </c>
      <c r="M183" s="400"/>
      <c r="N183" s="400"/>
      <c r="O183" s="400"/>
      <c r="P183" s="422">
        <f t="shared" si="289"/>
        <v>10.950000000000001</v>
      </c>
      <c r="Q183" s="400">
        <v>13</v>
      </c>
      <c r="R183" s="400">
        <f t="shared" si="290"/>
        <v>142350.00000000003</v>
      </c>
      <c r="S183" s="400">
        <f t="shared" si="291"/>
        <v>142350.00000000003</v>
      </c>
    </row>
    <row r="184" spans="1:19" x14ac:dyDescent="0.25">
      <c r="A184" s="422"/>
      <c r="B184" s="443"/>
      <c r="C184" s="443"/>
      <c r="D184" s="422"/>
      <c r="E184" s="422"/>
      <c r="F184" s="443" t="s">
        <v>586</v>
      </c>
      <c r="G184" s="400">
        <f t="shared" si="287"/>
        <v>15</v>
      </c>
      <c r="H184" s="690">
        <v>15</v>
      </c>
      <c r="I184" s="422">
        <v>0</v>
      </c>
      <c r="J184" s="422">
        <v>4.38</v>
      </c>
      <c r="K184" s="422">
        <f t="shared" si="288"/>
        <v>0</v>
      </c>
      <c r="L184" s="422">
        <v>1</v>
      </c>
      <c r="M184" s="400"/>
      <c r="N184" s="400"/>
      <c r="O184" s="400"/>
      <c r="P184" s="422">
        <f>L184*J184*H184</f>
        <v>65.7</v>
      </c>
      <c r="Q184" s="400">
        <v>13</v>
      </c>
      <c r="R184" s="400">
        <f t="shared" si="290"/>
        <v>854100</v>
      </c>
      <c r="S184" s="400">
        <f t="shared" si="291"/>
        <v>854100</v>
      </c>
    </row>
    <row r="185" spans="1:19" x14ac:dyDescent="0.25">
      <c r="A185" s="422"/>
      <c r="B185" s="443"/>
      <c r="C185" s="443"/>
      <c r="D185" s="422"/>
      <c r="E185" s="422"/>
      <c r="F185" s="443" t="s">
        <v>586</v>
      </c>
      <c r="G185" s="400">
        <f t="shared" si="287"/>
        <v>3</v>
      </c>
      <c r="H185" s="690"/>
      <c r="I185" s="422">
        <v>3</v>
      </c>
      <c r="J185" s="422">
        <v>4.38</v>
      </c>
      <c r="K185" s="422">
        <f t="shared" si="288"/>
        <v>3.504</v>
      </c>
      <c r="L185" s="422">
        <v>0.2</v>
      </c>
      <c r="M185" s="400"/>
      <c r="N185" s="400"/>
      <c r="O185" s="400"/>
      <c r="P185" s="422">
        <f>I185*J185*L185</f>
        <v>2.6280000000000001</v>
      </c>
      <c r="Q185" s="400">
        <v>13</v>
      </c>
      <c r="R185" s="400">
        <f t="shared" si="290"/>
        <v>34164</v>
      </c>
      <c r="S185" s="400">
        <f t="shared" si="291"/>
        <v>34164</v>
      </c>
    </row>
    <row r="186" spans="1:19" x14ac:dyDescent="0.25">
      <c r="A186" s="422"/>
      <c r="B186" s="443"/>
      <c r="C186" s="443" t="s">
        <v>716</v>
      </c>
      <c r="D186" s="422"/>
      <c r="E186" s="422"/>
      <c r="F186" s="443" t="s">
        <v>586</v>
      </c>
      <c r="G186" s="400">
        <f t="shared" si="287"/>
        <v>628.70000000000005</v>
      </c>
      <c r="H186" s="690"/>
      <c r="I186" s="422">
        <v>628.70000000000005</v>
      </c>
      <c r="J186" s="422">
        <v>3.7</v>
      </c>
      <c r="K186" s="422">
        <f t="shared" si="288"/>
        <v>2.96</v>
      </c>
      <c r="L186" s="422">
        <v>0.2</v>
      </c>
      <c r="M186" s="400"/>
      <c r="N186" s="400"/>
      <c r="O186" s="400"/>
      <c r="P186" s="422">
        <f>I186*J186*L186</f>
        <v>465.23800000000006</v>
      </c>
      <c r="Q186" s="400">
        <v>13</v>
      </c>
      <c r="R186" s="400">
        <f t="shared" si="290"/>
        <v>6048094.0000000009</v>
      </c>
      <c r="S186" s="400">
        <f t="shared" si="291"/>
        <v>6048094.0000000009</v>
      </c>
    </row>
    <row r="187" spans="1:19" x14ac:dyDescent="0.25">
      <c r="A187" s="422"/>
      <c r="B187" s="443"/>
      <c r="C187" s="443"/>
      <c r="D187" s="422"/>
      <c r="E187" s="422"/>
      <c r="F187" s="443" t="s">
        <v>474</v>
      </c>
      <c r="G187" s="400">
        <f t="shared" si="287"/>
        <v>503</v>
      </c>
      <c r="H187" s="690"/>
      <c r="I187" s="422">
        <v>503</v>
      </c>
      <c r="J187" s="422">
        <v>3.7</v>
      </c>
      <c r="K187" s="422">
        <f t="shared" si="288"/>
        <v>3.33</v>
      </c>
      <c r="L187" s="422">
        <v>0.1</v>
      </c>
      <c r="M187" s="400"/>
      <c r="N187" s="400"/>
      <c r="O187" s="400"/>
      <c r="P187" s="422">
        <f>I187*J187*L187</f>
        <v>186.11</v>
      </c>
      <c r="Q187" s="400">
        <v>13</v>
      </c>
      <c r="R187" s="400">
        <f t="shared" si="290"/>
        <v>2419430.0000000005</v>
      </c>
      <c r="S187" s="400">
        <f t="shared" si="291"/>
        <v>2419430.0000000005</v>
      </c>
    </row>
    <row r="188" spans="1:19" x14ac:dyDescent="0.25">
      <c r="A188" s="422"/>
      <c r="B188" s="443"/>
      <c r="C188" s="443"/>
      <c r="D188" s="422"/>
      <c r="E188" s="422"/>
      <c r="F188" s="443" t="s">
        <v>539</v>
      </c>
      <c r="G188" s="400">
        <f t="shared" si="287"/>
        <v>5</v>
      </c>
      <c r="H188" s="690"/>
      <c r="I188" s="422">
        <v>5</v>
      </c>
      <c r="J188" s="422">
        <v>3.7</v>
      </c>
      <c r="K188" s="422">
        <f t="shared" si="288"/>
        <v>2.96</v>
      </c>
      <c r="L188" s="422">
        <v>0.2</v>
      </c>
      <c r="M188" s="400">
        <f>I188*J188*L188</f>
        <v>3.7</v>
      </c>
      <c r="N188" s="400">
        <v>9815</v>
      </c>
      <c r="O188" s="400">
        <f>N188*L188*I188</f>
        <v>9815</v>
      </c>
      <c r="P188" s="422"/>
      <c r="Q188" s="400"/>
      <c r="R188" s="400"/>
      <c r="S188" s="400">
        <f t="shared" si="291"/>
        <v>9815</v>
      </c>
    </row>
    <row r="189" spans="1:19" s="515" customFormat="1" x14ac:dyDescent="0.25">
      <c r="A189" s="751"/>
      <c r="B189" s="443" t="s">
        <v>610</v>
      </c>
      <c r="C189" s="748"/>
      <c r="D189" s="751"/>
      <c r="E189" s="751">
        <f>SUM(E190:E191)</f>
        <v>0</v>
      </c>
      <c r="F189" s="751">
        <f t="shared" ref="F189" si="307">SUM(F190:F191)</f>
        <v>0</v>
      </c>
      <c r="G189" s="751">
        <f t="shared" ref="G189" si="308">SUM(G190:G191)</f>
        <v>3595</v>
      </c>
      <c r="H189" s="751">
        <f t="shared" ref="H189" si="309">SUM(H190:H191)</f>
        <v>0</v>
      </c>
      <c r="I189" s="751">
        <f t="shared" ref="I189" si="310">SUM(I190:I191)</f>
        <v>3595</v>
      </c>
      <c r="J189" s="751">
        <f t="shared" ref="J189" si="311">SUM(J190:J191)</f>
        <v>8.08</v>
      </c>
      <c r="K189" s="751">
        <f t="shared" ref="K189" si="312">SUM(K190:K191)</f>
        <v>7.2720000000000002</v>
      </c>
      <c r="L189" s="751">
        <f t="shared" ref="L189" si="313">SUM(L190:L191)</f>
        <v>0.2</v>
      </c>
      <c r="M189" s="751">
        <f t="shared" ref="M189" si="314">SUM(M190:M191)</f>
        <v>0</v>
      </c>
      <c r="N189" s="751">
        <f t="shared" ref="N189" si="315">SUM(N190:N191)</f>
        <v>0</v>
      </c>
      <c r="O189" s="751">
        <f t="shared" ref="O189" si="316">SUM(O190:O191)</f>
        <v>0</v>
      </c>
      <c r="P189" s="751">
        <f t="shared" ref="P189" si="317">SUM(P190:P191)</f>
        <v>1343.2740000000003</v>
      </c>
      <c r="Q189" s="751">
        <f t="shared" ref="Q189" si="318">SUM(Q190:Q191)</f>
        <v>26</v>
      </c>
      <c r="R189" s="751">
        <f t="shared" ref="R189" si="319">SUM(R190:R191)</f>
        <v>17462562</v>
      </c>
      <c r="S189" s="751">
        <f t="shared" ref="S189" si="320">SUM(S190:S191)</f>
        <v>17462562</v>
      </c>
    </row>
    <row r="190" spans="1:19" x14ac:dyDescent="0.25">
      <c r="A190" s="422"/>
      <c r="C190" s="443" t="s">
        <v>713</v>
      </c>
      <c r="D190" s="422"/>
      <c r="E190" s="422"/>
      <c r="F190" s="443" t="s">
        <v>501</v>
      </c>
      <c r="G190" s="400">
        <f t="shared" si="287"/>
        <v>193</v>
      </c>
      <c r="H190" s="690"/>
      <c r="I190" s="422">
        <v>193</v>
      </c>
      <c r="J190" s="422">
        <v>4.38</v>
      </c>
      <c r="K190" s="422">
        <f t="shared" si="288"/>
        <v>3.9419999999999997</v>
      </c>
      <c r="L190" s="422">
        <v>0.1</v>
      </c>
      <c r="M190" s="400"/>
      <c r="N190" s="400"/>
      <c r="O190" s="400"/>
      <c r="P190" s="422">
        <f t="shared" ref="P190:P224" si="321">I190*J190*L190</f>
        <v>84.534000000000006</v>
      </c>
      <c r="Q190" s="400">
        <v>13</v>
      </c>
      <c r="R190" s="400">
        <f t="shared" si="290"/>
        <v>1098942</v>
      </c>
      <c r="S190" s="400">
        <f t="shared" si="291"/>
        <v>1098942</v>
      </c>
    </row>
    <row r="191" spans="1:19" x14ac:dyDescent="0.25">
      <c r="A191" s="422"/>
      <c r="B191" s="443"/>
      <c r="C191" s="443" t="s">
        <v>716</v>
      </c>
      <c r="D191" s="422"/>
      <c r="E191" s="422"/>
      <c r="F191" s="443" t="s">
        <v>501</v>
      </c>
      <c r="G191" s="400">
        <f t="shared" si="287"/>
        <v>3402</v>
      </c>
      <c r="H191" s="690"/>
      <c r="I191" s="422">
        <v>3402</v>
      </c>
      <c r="J191" s="422">
        <v>3.7</v>
      </c>
      <c r="K191" s="422">
        <f t="shared" si="288"/>
        <v>3.33</v>
      </c>
      <c r="L191" s="422">
        <v>0.1</v>
      </c>
      <c r="M191" s="400"/>
      <c r="N191" s="400"/>
      <c r="O191" s="400"/>
      <c r="P191" s="422">
        <f t="shared" si="321"/>
        <v>1258.7400000000002</v>
      </c>
      <c r="Q191" s="400">
        <v>13</v>
      </c>
      <c r="R191" s="400">
        <f t="shared" si="290"/>
        <v>16363620.000000002</v>
      </c>
      <c r="S191" s="400">
        <f t="shared" si="291"/>
        <v>16363620.000000002</v>
      </c>
    </row>
    <row r="192" spans="1:19" s="515" customFormat="1" x14ac:dyDescent="0.25">
      <c r="A192" s="751"/>
      <c r="B192" s="443" t="s">
        <v>479</v>
      </c>
      <c r="C192" s="748"/>
      <c r="D192" s="751"/>
      <c r="E192" s="751">
        <f>SUM(E193:E199)</f>
        <v>0</v>
      </c>
      <c r="F192" s="751">
        <f t="shared" ref="F192:S192" si="322">SUM(F193:F199)</f>
        <v>0</v>
      </c>
      <c r="G192" s="751">
        <f t="shared" si="322"/>
        <v>4364.5</v>
      </c>
      <c r="H192" s="751">
        <f t="shared" si="322"/>
        <v>0</v>
      </c>
      <c r="I192" s="751">
        <f t="shared" si="322"/>
        <v>4364.5</v>
      </c>
      <c r="J192" s="751">
        <f t="shared" si="322"/>
        <v>27.259999999999998</v>
      </c>
      <c r="K192" s="751">
        <f t="shared" si="322"/>
        <v>23.759999999999998</v>
      </c>
      <c r="L192" s="751">
        <f t="shared" si="322"/>
        <v>0.89999999999999991</v>
      </c>
      <c r="M192" s="751">
        <f t="shared" si="322"/>
        <v>0</v>
      </c>
      <c r="N192" s="751">
        <f t="shared" si="322"/>
        <v>0</v>
      </c>
      <c r="O192" s="751">
        <f t="shared" si="322"/>
        <v>0</v>
      </c>
      <c r="P192" s="751">
        <f t="shared" si="322"/>
        <v>2006.0032500000002</v>
      </c>
      <c r="Q192" s="751">
        <f t="shared" si="322"/>
        <v>91</v>
      </c>
      <c r="R192" s="751">
        <f t="shared" si="322"/>
        <v>26078042.25</v>
      </c>
      <c r="S192" s="751">
        <f t="shared" si="322"/>
        <v>26078042.25</v>
      </c>
    </row>
    <row r="193" spans="1:19" x14ac:dyDescent="0.25">
      <c r="A193" s="422"/>
      <c r="C193" s="443"/>
      <c r="D193" s="422"/>
      <c r="E193" s="422"/>
      <c r="F193" s="443" t="s">
        <v>474</v>
      </c>
      <c r="G193" s="400">
        <f t="shared" si="287"/>
        <v>714.75</v>
      </c>
      <c r="H193" s="690"/>
      <c r="I193" s="422">
        <v>714.75</v>
      </c>
      <c r="J193" s="422">
        <v>4.38</v>
      </c>
      <c r="K193" s="422">
        <f t="shared" si="288"/>
        <v>3.9419999999999997</v>
      </c>
      <c r="L193" s="422">
        <v>0.1</v>
      </c>
      <c r="M193" s="400"/>
      <c r="N193" s="400"/>
      <c r="O193" s="400"/>
      <c r="P193" s="422">
        <f t="shared" si="321"/>
        <v>313.06050000000005</v>
      </c>
      <c r="Q193" s="400">
        <v>13</v>
      </c>
      <c r="R193" s="400">
        <f t="shared" si="290"/>
        <v>4069786.5000000005</v>
      </c>
      <c r="S193" s="400">
        <f t="shared" si="291"/>
        <v>4069786.5000000005</v>
      </c>
    </row>
    <row r="194" spans="1:19" x14ac:dyDescent="0.25">
      <c r="A194" s="422"/>
      <c r="B194" s="443"/>
      <c r="C194" s="443"/>
      <c r="D194" s="422"/>
      <c r="E194" s="422"/>
      <c r="F194" s="443" t="s">
        <v>504</v>
      </c>
      <c r="G194" s="400">
        <f t="shared" si="287"/>
        <v>3.25</v>
      </c>
      <c r="H194" s="690"/>
      <c r="I194" s="422">
        <v>3.25</v>
      </c>
      <c r="J194" s="422">
        <v>4.38</v>
      </c>
      <c r="K194" s="422">
        <f t="shared" si="288"/>
        <v>3.7229999999999999</v>
      </c>
      <c r="L194" s="422">
        <v>0.15</v>
      </c>
      <c r="M194" s="400"/>
      <c r="N194" s="400"/>
      <c r="O194" s="400"/>
      <c r="P194" s="422">
        <f t="shared" si="321"/>
        <v>2.1352499999999996</v>
      </c>
      <c r="Q194" s="400">
        <v>13</v>
      </c>
      <c r="R194" s="400">
        <f t="shared" si="290"/>
        <v>27758.249999999996</v>
      </c>
      <c r="S194" s="400">
        <f t="shared" si="291"/>
        <v>27758.249999999996</v>
      </c>
    </row>
    <row r="195" spans="1:19" x14ac:dyDescent="0.25">
      <c r="A195" s="422"/>
      <c r="B195" s="443"/>
      <c r="C195" s="443" t="s">
        <v>716</v>
      </c>
      <c r="D195" s="422"/>
      <c r="E195" s="422"/>
      <c r="F195" s="443" t="s">
        <v>907</v>
      </c>
      <c r="G195" s="400">
        <f t="shared" si="287"/>
        <v>1000</v>
      </c>
      <c r="H195" s="690"/>
      <c r="I195" s="422">
        <v>1000</v>
      </c>
      <c r="J195" s="422">
        <v>3.7</v>
      </c>
      <c r="K195" s="422">
        <f t="shared" si="288"/>
        <v>3.33</v>
      </c>
      <c r="L195" s="422">
        <v>0.1</v>
      </c>
      <c r="M195" s="400"/>
      <c r="N195" s="400"/>
      <c r="O195" s="400"/>
      <c r="P195" s="422">
        <f t="shared" si="321"/>
        <v>370</v>
      </c>
      <c r="Q195" s="400">
        <v>13</v>
      </c>
      <c r="R195" s="400">
        <f t="shared" si="290"/>
        <v>4810000</v>
      </c>
      <c r="S195" s="400">
        <f t="shared" si="291"/>
        <v>4810000</v>
      </c>
    </row>
    <row r="196" spans="1:19" x14ac:dyDescent="0.25">
      <c r="A196" s="422"/>
      <c r="B196" s="443"/>
      <c r="C196" s="443"/>
      <c r="D196" s="422"/>
      <c r="E196" s="422"/>
      <c r="F196" s="443" t="s">
        <v>474</v>
      </c>
      <c r="G196" s="400">
        <f t="shared" si="287"/>
        <v>500</v>
      </c>
      <c r="H196" s="690"/>
      <c r="I196" s="422">
        <v>500</v>
      </c>
      <c r="J196" s="422">
        <v>3.7</v>
      </c>
      <c r="K196" s="422">
        <f t="shared" si="288"/>
        <v>3.33</v>
      </c>
      <c r="L196" s="422">
        <v>0.1</v>
      </c>
      <c r="M196" s="400"/>
      <c r="N196" s="400"/>
      <c r="O196" s="400"/>
      <c r="P196" s="422">
        <f t="shared" si="321"/>
        <v>185</v>
      </c>
      <c r="Q196" s="400">
        <v>13</v>
      </c>
      <c r="R196" s="400">
        <f t="shared" si="290"/>
        <v>2405000</v>
      </c>
      <c r="S196" s="400">
        <f t="shared" si="291"/>
        <v>2405000</v>
      </c>
    </row>
    <row r="197" spans="1:19" x14ac:dyDescent="0.25">
      <c r="A197" s="422"/>
      <c r="B197" s="443"/>
      <c r="C197" s="443"/>
      <c r="D197" s="422"/>
      <c r="E197" s="422"/>
      <c r="F197" s="443" t="s">
        <v>504</v>
      </c>
      <c r="G197" s="400">
        <f t="shared" si="287"/>
        <v>1246.5</v>
      </c>
      <c r="H197" s="690"/>
      <c r="I197" s="422">
        <v>1246.5</v>
      </c>
      <c r="J197" s="422">
        <v>3.7</v>
      </c>
      <c r="K197" s="422">
        <f t="shared" si="288"/>
        <v>3.145</v>
      </c>
      <c r="L197" s="422">
        <v>0.15</v>
      </c>
      <c r="M197" s="400"/>
      <c r="N197" s="400"/>
      <c r="O197" s="400"/>
      <c r="P197" s="422">
        <f t="shared" si="321"/>
        <v>691.8075</v>
      </c>
      <c r="Q197" s="400">
        <v>13</v>
      </c>
      <c r="R197" s="400">
        <f t="shared" si="290"/>
        <v>8993497.5</v>
      </c>
      <c r="S197" s="400">
        <f t="shared" si="291"/>
        <v>8993497.5</v>
      </c>
    </row>
    <row r="198" spans="1:19" x14ac:dyDescent="0.25">
      <c r="A198" s="422"/>
      <c r="B198" s="443"/>
      <c r="C198" s="443"/>
      <c r="D198" s="422"/>
      <c r="E198" s="422"/>
      <c r="F198" s="443" t="s">
        <v>615</v>
      </c>
      <c r="G198" s="400">
        <f t="shared" si="287"/>
        <v>600</v>
      </c>
      <c r="H198" s="690"/>
      <c r="I198" s="422">
        <v>600</v>
      </c>
      <c r="J198" s="422">
        <v>3.7</v>
      </c>
      <c r="K198" s="422">
        <f t="shared" si="288"/>
        <v>3.33</v>
      </c>
      <c r="L198" s="422">
        <v>0.1</v>
      </c>
      <c r="M198" s="400"/>
      <c r="N198" s="400"/>
      <c r="O198" s="400"/>
      <c r="P198" s="422">
        <f t="shared" si="321"/>
        <v>222</v>
      </c>
      <c r="Q198" s="400">
        <v>13</v>
      </c>
      <c r="R198" s="400">
        <f t="shared" si="290"/>
        <v>2886000</v>
      </c>
      <c r="S198" s="400">
        <f t="shared" si="291"/>
        <v>2886000</v>
      </c>
    </row>
    <row r="199" spans="1:19" x14ac:dyDescent="0.25">
      <c r="A199" s="422"/>
      <c r="B199" s="443"/>
      <c r="C199" s="443"/>
      <c r="D199" s="422"/>
      <c r="E199" s="422"/>
      <c r="F199" s="443" t="s">
        <v>487</v>
      </c>
      <c r="G199" s="400">
        <f t="shared" si="287"/>
        <v>300</v>
      </c>
      <c r="H199" s="690"/>
      <c r="I199" s="422">
        <v>300</v>
      </c>
      <c r="J199" s="422">
        <v>3.7</v>
      </c>
      <c r="K199" s="422">
        <f t="shared" si="288"/>
        <v>2.96</v>
      </c>
      <c r="L199" s="422">
        <v>0.2</v>
      </c>
      <c r="M199" s="400"/>
      <c r="N199" s="400"/>
      <c r="O199" s="400"/>
      <c r="P199" s="422">
        <f t="shared" si="321"/>
        <v>222</v>
      </c>
      <c r="Q199" s="400">
        <v>13</v>
      </c>
      <c r="R199" s="400">
        <f t="shared" si="290"/>
        <v>2886000</v>
      </c>
      <c r="S199" s="400">
        <f t="shared" si="291"/>
        <v>2886000</v>
      </c>
    </row>
    <row r="200" spans="1:19" s="515" customFormat="1" x14ac:dyDescent="0.25">
      <c r="A200" s="751"/>
      <c r="B200" s="443" t="s">
        <v>616</v>
      </c>
      <c r="C200" s="748"/>
      <c r="D200" s="751"/>
      <c r="E200" s="751">
        <f>SUM(E201:E203)</f>
        <v>0</v>
      </c>
      <c r="F200" s="751">
        <f t="shared" ref="F200:S200" si="323">SUM(F201:F203)</f>
        <v>0</v>
      </c>
      <c r="G200" s="751">
        <f t="shared" si="323"/>
        <v>4300</v>
      </c>
      <c r="H200" s="751">
        <f t="shared" si="323"/>
        <v>0</v>
      </c>
      <c r="I200" s="751">
        <f t="shared" si="323"/>
        <v>4300</v>
      </c>
      <c r="J200" s="751">
        <f t="shared" si="323"/>
        <v>11.780000000000001</v>
      </c>
      <c r="K200" s="751">
        <f t="shared" si="323"/>
        <v>10.602</v>
      </c>
      <c r="L200" s="751">
        <f t="shared" si="323"/>
        <v>0.30000000000000004</v>
      </c>
      <c r="M200" s="751">
        <f t="shared" si="323"/>
        <v>0</v>
      </c>
      <c r="N200" s="751">
        <f t="shared" si="323"/>
        <v>0</v>
      </c>
      <c r="O200" s="751">
        <f t="shared" si="323"/>
        <v>0</v>
      </c>
      <c r="P200" s="751">
        <f t="shared" si="323"/>
        <v>1638.6</v>
      </c>
      <c r="Q200" s="751">
        <f t="shared" si="323"/>
        <v>39</v>
      </c>
      <c r="R200" s="751">
        <f t="shared" si="323"/>
        <v>21301800</v>
      </c>
      <c r="S200" s="751">
        <f t="shared" si="323"/>
        <v>21301800</v>
      </c>
    </row>
    <row r="201" spans="1:19" x14ac:dyDescent="0.25">
      <c r="A201" s="422"/>
      <c r="C201" s="443" t="s">
        <v>713</v>
      </c>
      <c r="D201" s="422"/>
      <c r="E201" s="422"/>
      <c r="F201" s="443" t="s">
        <v>474</v>
      </c>
      <c r="G201" s="400">
        <f t="shared" si="287"/>
        <v>700</v>
      </c>
      <c r="H201" s="690"/>
      <c r="I201" s="422">
        <v>700</v>
      </c>
      <c r="J201" s="422">
        <v>4.38</v>
      </c>
      <c r="K201" s="422">
        <f t="shared" si="288"/>
        <v>3.9419999999999997</v>
      </c>
      <c r="L201" s="422">
        <v>0.1</v>
      </c>
      <c r="M201" s="400"/>
      <c r="N201" s="400"/>
      <c r="O201" s="400"/>
      <c r="P201" s="422">
        <f t="shared" si="321"/>
        <v>306.60000000000002</v>
      </c>
      <c r="Q201" s="400">
        <v>13</v>
      </c>
      <c r="R201" s="400">
        <f t="shared" si="290"/>
        <v>3985800</v>
      </c>
      <c r="S201" s="400">
        <f t="shared" si="291"/>
        <v>3985800</v>
      </c>
    </row>
    <row r="202" spans="1:19" x14ac:dyDescent="0.25">
      <c r="A202" s="422"/>
      <c r="B202" s="443"/>
      <c r="C202" s="443" t="s">
        <v>716</v>
      </c>
      <c r="D202" s="422"/>
      <c r="E202" s="422"/>
      <c r="F202" s="443" t="s">
        <v>474</v>
      </c>
      <c r="G202" s="400">
        <f t="shared" si="287"/>
        <v>2800</v>
      </c>
      <c r="H202" s="690"/>
      <c r="I202" s="422">
        <v>2800</v>
      </c>
      <c r="J202" s="422">
        <v>3.7</v>
      </c>
      <c r="K202" s="422">
        <f t="shared" si="288"/>
        <v>3.33</v>
      </c>
      <c r="L202" s="422">
        <v>0.1</v>
      </c>
      <c r="M202" s="400"/>
      <c r="N202" s="400"/>
      <c r="O202" s="400"/>
      <c r="P202" s="422">
        <f t="shared" si="321"/>
        <v>1036</v>
      </c>
      <c r="Q202" s="400">
        <v>13</v>
      </c>
      <c r="R202" s="400">
        <f t="shared" si="290"/>
        <v>13468000</v>
      </c>
      <c r="S202" s="400">
        <f t="shared" si="291"/>
        <v>13468000</v>
      </c>
    </row>
    <row r="203" spans="1:19" x14ac:dyDescent="0.25">
      <c r="A203" s="422"/>
      <c r="B203" s="443"/>
      <c r="C203" s="443"/>
      <c r="D203" s="422"/>
      <c r="E203" s="422"/>
      <c r="F203" s="443" t="s">
        <v>586</v>
      </c>
      <c r="G203" s="400">
        <f t="shared" si="287"/>
        <v>800</v>
      </c>
      <c r="H203" s="690"/>
      <c r="I203" s="422">
        <v>800</v>
      </c>
      <c r="J203" s="422">
        <v>3.7</v>
      </c>
      <c r="K203" s="422">
        <f t="shared" si="288"/>
        <v>3.33</v>
      </c>
      <c r="L203" s="422">
        <v>0.1</v>
      </c>
      <c r="M203" s="400"/>
      <c r="N203" s="400"/>
      <c r="O203" s="400"/>
      <c r="P203" s="422">
        <f t="shared" si="321"/>
        <v>296</v>
      </c>
      <c r="Q203" s="400">
        <v>13</v>
      </c>
      <c r="R203" s="400">
        <f t="shared" si="290"/>
        <v>3848000</v>
      </c>
      <c r="S203" s="400">
        <f t="shared" si="291"/>
        <v>3848000</v>
      </c>
    </row>
    <row r="204" spans="1:19" s="515" customFormat="1" x14ac:dyDescent="0.25">
      <c r="A204" s="751"/>
      <c r="B204" s="443" t="s">
        <v>614</v>
      </c>
      <c r="C204" s="748"/>
      <c r="D204" s="751"/>
      <c r="E204" s="751">
        <f>SUM(E205:E210)</f>
        <v>0</v>
      </c>
      <c r="F204" s="751">
        <f t="shared" ref="F204:S204" si="324">SUM(F205:F210)</f>
        <v>0</v>
      </c>
      <c r="G204" s="751">
        <f t="shared" si="324"/>
        <v>2148</v>
      </c>
      <c r="H204" s="751">
        <f t="shared" si="324"/>
        <v>0</v>
      </c>
      <c r="I204" s="751">
        <f t="shared" si="324"/>
        <v>2148</v>
      </c>
      <c r="J204" s="751">
        <f t="shared" si="324"/>
        <v>23.56</v>
      </c>
      <c r="K204" s="751">
        <f t="shared" si="324"/>
        <v>20.834</v>
      </c>
      <c r="L204" s="751">
        <f t="shared" si="324"/>
        <v>0.70000000000000007</v>
      </c>
      <c r="M204" s="751">
        <f t="shared" si="324"/>
        <v>0</v>
      </c>
      <c r="N204" s="751">
        <f t="shared" si="324"/>
        <v>0</v>
      </c>
      <c r="O204" s="751">
        <f t="shared" si="324"/>
        <v>0</v>
      </c>
      <c r="P204" s="751">
        <f t="shared" si="324"/>
        <v>896.43600000000004</v>
      </c>
      <c r="Q204" s="751">
        <f t="shared" si="324"/>
        <v>78</v>
      </c>
      <c r="R204" s="751">
        <f t="shared" si="324"/>
        <v>11653668</v>
      </c>
      <c r="S204" s="751">
        <f t="shared" si="324"/>
        <v>11653668</v>
      </c>
    </row>
    <row r="205" spans="1:19" x14ac:dyDescent="0.25">
      <c r="A205" s="422"/>
      <c r="C205" s="443" t="s">
        <v>713</v>
      </c>
      <c r="D205" s="422"/>
      <c r="E205" s="422"/>
      <c r="F205" s="443" t="s">
        <v>481</v>
      </c>
      <c r="G205" s="400">
        <f t="shared" si="287"/>
        <v>107</v>
      </c>
      <c r="H205" s="690"/>
      <c r="I205" s="422">
        <v>107</v>
      </c>
      <c r="J205" s="422">
        <v>4.38</v>
      </c>
      <c r="K205" s="422">
        <f t="shared" si="288"/>
        <v>3.9419999999999997</v>
      </c>
      <c r="L205" s="422">
        <v>0.1</v>
      </c>
      <c r="M205" s="400"/>
      <c r="N205" s="400"/>
      <c r="O205" s="400"/>
      <c r="P205" s="422">
        <f t="shared" si="321"/>
        <v>46.866</v>
      </c>
      <c r="Q205" s="400">
        <v>13</v>
      </c>
      <c r="R205" s="400">
        <f t="shared" si="290"/>
        <v>609258</v>
      </c>
      <c r="S205" s="400">
        <f t="shared" si="291"/>
        <v>609258</v>
      </c>
    </row>
    <row r="206" spans="1:19" x14ac:dyDescent="0.25">
      <c r="A206" s="422"/>
      <c r="B206" s="443"/>
      <c r="C206" s="443"/>
      <c r="D206" s="422"/>
      <c r="E206" s="422"/>
      <c r="F206" s="443" t="s">
        <v>501</v>
      </c>
      <c r="G206" s="400">
        <f t="shared" si="287"/>
        <v>300</v>
      </c>
      <c r="H206" s="690"/>
      <c r="I206" s="422">
        <v>300</v>
      </c>
      <c r="J206" s="422">
        <v>4.38</v>
      </c>
      <c r="K206" s="422">
        <f t="shared" si="288"/>
        <v>3.9419999999999997</v>
      </c>
      <c r="L206" s="422">
        <v>0.1</v>
      </c>
      <c r="M206" s="400"/>
      <c r="N206" s="400"/>
      <c r="O206" s="400"/>
      <c r="P206" s="422">
        <f t="shared" si="321"/>
        <v>131.4</v>
      </c>
      <c r="Q206" s="400">
        <v>13</v>
      </c>
      <c r="R206" s="400">
        <f t="shared" si="290"/>
        <v>1708200</v>
      </c>
      <c r="S206" s="400">
        <f t="shared" si="291"/>
        <v>1708200</v>
      </c>
    </row>
    <row r="207" spans="1:19" x14ac:dyDescent="0.25">
      <c r="A207" s="422"/>
      <c r="B207" s="443"/>
      <c r="C207" s="443" t="s">
        <v>716</v>
      </c>
      <c r="D207" s="422"/>
      <c r="E207" s="422"/>
      <c r="F207" s="443" t="s">
        <v>481</v>
      </c>
      <c r="G207" s="400">
        <f t="shared" si="287"/>
        <v>351</v>
      </c>
      <c r="H207" s="690"/>
      <c r="I207" s="705">
        <v>351</v>
      </c>
      <c r="J207" s="422">
        <v>3.7</v>
      </c>
      <c r="K207" s="422">
        <f t="shared" si="288"/>
        <v>3.33</v>
      </c>
      <c r="L207" s="422">
        <v>0.1</v>
      </c>
      <c r="M207" s="400"/>
      <c r="N207" s="400"/>
      <c r="O207" s="400"/>
      <c r="P207" s="422">
        <f t="shared" si="321"/>
        <v>129.87</v>
      </c>
      <c r="Q207" s="400">
        <v>13</v>
      </c>
      <c r="R207" s="400">
        <f t="shared" si="290"/>
        <v>1688310</v>
      </c>
      <c r="S207" s="400">
        <f t="shared" si="291"/>
        <v>1688310</v>
      </c>
    </row>
    <row r="208" spans="1:19" x14ac:dyDescent="0.25">
      <c r="A208" s="422"/>
      <c r="B208" s="443"/>
      <c r="C208" s="443"/>
      <c r="D208" s="422"/>
      <c r="E208" s="422"/>
      <c r="F208" s="443" t="s">
        <v>501</v>
      </c>
      <c r="G208" s="400">
        <f t="shared" si="287"/>
        <v>990</v>
      </c>
      <c r="H208" s="690"/>
      <c r="I208" s="422">
        <v>990</v>
      </c>
      <c r="J208" s="422">
        <v>3.7</v>
      </c>
      <c r="K208" s="422">
        <f t="shared" si="288"/>
        <v>3.33</v>
      </c>
      <c r="L208" s="422">
        <v>0.1</v>
      </c>
      <c r="M208" s="400"/>
      <c r="N208" s="400"/>
      <c r="O208" s="400"/>
      <c r="P208" s="422">
        <f t="shared" si="321"/>
        <v>366.3</v>
      </c>
      <c r="Q208" s="400">
        <v>13</v>
      </c>
      <c r="R208" s="400">
        <f t="shared" si="290"/>
        <v>4761900.0000000009</v>
      </c>
      <c r="S208" s="400">
        <f t="shared" si="291"/>
        <v>4761900.0000000009</v>
      </c>
    </row>
    <row r="209" spans="1:19" x14ac:dyDescent="0.25">
      <c r="A209" s="422"/>
      <c r="B209" s="443"/>
      <c r="C209" s="443"/>
      <c r="D209" s="422"/>
      <c r="E209" s="422"/>
      <c r="F209" s="443" t="s">
        <v>615</v>
      </c>
      <c r="G209" s="400">
        <f t="shared" si="287"/>
        <v>50</v>
      </c>
      <c r="H209" s="690"/>
      <c r="I209" s="422">
        <v>50</v>
      </c>
      <c r="J209" s="422">
        <v>3.7</v>
      </c>
      <c r="K209" s="422">
        <f t="shared" si="288"/>
        <v>3.145</v>
      </c>
      <c r="L209" s="422">
        <v>0.15</v>
      </c>
      <c r="M209" s="400"/>
      <c r="N209" s="400"/>
      <c r="O209" s="400"/>
      <c r="P209" s="422">
        <f t="shared" si="321"/>
        <v>27.75</v>
      </c>
      <c r="Q209" s="400">
        <v>13</v>
      </c>
      <c r="R209" s="400">
        <f t="shared" si="290"/>
        <v>360750</v>
      </c>
      <c r="S209" s="400">
        <f t="shared" si="291"/>
        <v>360750</v>
      </c>
    </row>
    <row r="210" spans="1:19" x14ac:dyDescent="0.25">
      <c r="A210" s="422"/>
      <c r="B210" s="443"/>
      <c r="C210" s="443"/>
      <c r="D210" s="422"/>
      <c r="E210" s="422"/>
      <c r="F210" s="443" t="s">
        <v>504</v>
      </c>
      <c r="G210" s="400">
        <f t="shared" si="287"/>
        <v>350</v>
      </c>
      <c r="H210" s="690"/>
      <c r="I210" s="422">
        <v>350</v>
      </c>
      <c r="J210" s="422">
        <v>3.7</v>
      </c>
      <c r="K210" s="422">
        <f t="shared" si="288"/>
        <v>3.145</v>
      </c>
      <c r="L210" s="422">
        <v>0.15</v>
      </c>
      <c r="M210" s="400"/>
      <c r="N210" s="400"/>
      <c r="O210" s="400"/>
      <c r="P210" s="422">
        <f t="shared" si="321"/>
        <v>194.25</v>
      </c>
      <c r="Q210" s="400">
        <v>13</v>
      </c>
      <c r="R210" s="400">
        <f t="shared" si="290"/>
        <v>2525250</v>
      </c>
      <c r="S210" s="400">
        <f t="shared" si="291"/>
        <v>2525250</v>
      </c>
    </row>
    <row r="211" spans="1:19" s="515" customFormat="1" x14ac:dyDescent="0.25">
      <c r="A211" s="751"/>
      <c r="B211" s="443" t="s">
        <v>613</v>
      </c>
      <c r="C211" s="748"/>
      <c r="D211" s="751"/>
      <c r="E211" s="751">
        <f>SUM(E212:E215)</f>
        <v>0</v>
      </c>
      <c r="F211" s="751">
        <f t="shared" ref="F211:S211" si="325">SUM(F212:F215)</f>
        <v>0</v>
      </c>
      <c r="G211" s="751">
        <f t="shared" si="325"/>
        <v>1897</v>
      </c>
      <c r="H211" s="751">
        <f t="shared" si="325"/>
        <v>0</v>
      </c>
      <c r="I211" s="751">
        <f t="shared" si="325"/>
        <v>1897</v>
      </c>
      <c r="J211" s="751">
        <f t="shared" si="325"/>
        <v>17.52</v>
      </c>
      <c r="K211" s="751">
        <f t="shared" si="325"/>
        <v>15.329999999999998</v>
      </c>
      <c r="L211" s="751">
        <f t="shared" si="325"/>
        <v>0.5</v>
      </c>
      <c r="M211" s="751">
        <f t="shared" si="325"/>
        <v>0</v>
      </c>
      <c r="N211" s="751">
        <f t="shared" si="325"/>
        <v>0</v>
      </c>
      <c r="O211" s="751">
        <f t="shared" si="325"/>
        <v>0</v>
      </c>
      <c r="P211" s="751">
        <f t="shared" si="325"/>
        <v>953.74499999999989</v>
      </c>
      <c r="Q211" s="751">
        <f t="shared" si="325"/>
        <v>52</v>
      </c>
      <c r="R211" s="751">
        <f t="shared" si="325"/>
        <v>12398685</v>
      </c>
      <c r="S211" s="751">
        <f t="shared" si="325"/>
        <v>12398685</v>
      </c>
    </row>
    <row r="212" spans="1:19" x14ac:dyDescent="0.25">
      <c r="A212" s="422"/>
      <c r="C212" s="443" t="s">
        <v>713</v>
      </c>
      <c r="D212" s="422"/>
      <c r="E212" s="422"/>
      <c r="F212" s="443" t="s">
        <v>474</v>
      </c>
      <c r="G212" s="400">
        <f t="shared" si="287"/>
        <v>376</v>
      </c>
      <c r="H212" s="690"/>
      <c r="I212" s="422">
        <v>376</v>
      </c>
      <c r="J212" s="422">
        <v>4.38</v>
      </c>
      <c r="K212" s="422">
        <f t="shared" si="288"/>
        <v>3.9419999999999997</v>
      </c>
      <c r="L212" s="422">
        <v>0.1</v>
      </c>
      <c r="M212" s="400"/>
      <c r="N212" s="400"/>
      <c r="O212" s="400"/>
      <c r="P212" s="422">
        <f t="shared" si="321"/>
        <v>164.68799999999999</v>
      </c>
      <c r="Q212" s="400">
        <v>13</v>
      </c>
      <c r="R212" s="400">
        <f t="shared" si="290"/>
        <v>2140944</v>
      </c>
      <c r="S212" s="400">
        <f t="shared" si="291"/>
        <v>2140944</v>
      </c>
    </row>
    <row r="213" spans="1:19" x14ac:dyDescent="0.25">
      <c r="A213" s="422"/>
      <c r="B213" s="443"/>
      <c r="C213" s="443"/>
      <c r="D213" s="422"/>
      <c r="E213" s="422"/>
      <c r="F213" s="443" t="s">
        <v>504</v>
      </c>
      <c r="G213" s="400">
        <f t="shared" si="287"/>
        <v>145</v>
      </c>
      <c r="H213" s="690"/>
      <c r="I213" s="422">
        <v>145</v>
      </c>
      <c r="J213" s="422">
        <v>4.38</v>
      </c>
      <c r="K213" s="422">
        <f t="shared" si="288"/>
        <v>3.7229999999999999</v>
      </c>
      <c r="L213" s="422">
        <v>0.15</v>
      </c>
      <c r="M213" s="400"/>
      <c r="N213" s="400"/>
      <c r="O213" s="400"/>
      <c r="P213" s="422">
        <f t="shared" si="321"/>
        <v>95.265000000000001</v>
      </c>
      <c r="Q213" s="400">
        <v>13</v>
      </c>
      <c r="R213" s="400">
        <f t="shared" si="290"/>
        <v>1238445</v>
      </c>
      <c r="S213" s="400">
        <f t="shared" si="291"/>
        <v>1238445</v>
      </c>
    </row>
    <row r="214" spans="1:19" x14ac:dyDescent="0.25">
      <c r="A214" s="422"/>
      <c r="B214" s="443"/>
      <c r="C214" s="443" t="s">
        <v>716</v>
      </c>
      <c r="D214" s="422"/>
      <c r="E214" s="422"/>
      <c r="F214" s="443" t="s">
        <v>474</v>
      </c>
      <c r="G214" s="400">
        <f t="shared" si="287"/>
        <v>960</v>
      </c>
      <c r="H214" s="690"/>
      <c r="I214" s="422">
        <v>960</v>
      </c>
      <c r="J214" s="422">
        <v>4.38</v>
      </c>
      <c r="K214" s="422">
        <f t="shared" si="288"/>
        <v>3.9419999999999997</v>
      </c>
      <c r="L214" s="422">
        <v>0.1</v>
      </c>
      <c r="M214" s="400"/>
      <c r="N214" s="400"/>
      <c r="O214" s="400"/>
      <c r="P214" s="422">
        <f t="shared" si="321"/>
        <v>420.48</v>
      </c>
      <c r="Q214" s="400">
        <v>13</v>
      </c>
      <c r="R214" s="400">
        <f t="shared" si="290"/>
        <v>5466240</v>
      </c>
      <c r="S214" s="400">
        <f t="shared" si="291"/>
        <v>5466240</v>
      </c>
    </row>
    <row r="215" spans="1:19" x14ac:dyDescent="0.25">
      <c r="A215" s="422"/>
      <c r="B215" s="443"/>
      <c r="C215" s="443"/>
      <c r="D215" s="422"/>
      <c r="E215" s="422"/>
      <c r="F215" s="443" t="s">
        <v>504</v>
      </c>
      <c r="G215" s="400">
        <f t="shared" si="287"/>
        <v>416</v>
      </c>
      <c r="H215" s="690"/>
      <c r="I215" s="422">
        <v>416</v>
      </c>
      <c r="J215" s="422">
        <v>4.38</v>
      </c>
      <c r="K215" s="422">
        <f t="shared" si="288"/>
        <v>3.7229999999999999</v>
      </c>
      <c r="L215" s="422">
        <v>0.15</v>
      </c>
      <c r="M215" s="400"/>
      <c r="N215" s="400"/>
      <c r="O215" s="400"/>
      <c r="P215" s="422">
        <f t="shared" si="321"/>
        <v>273.31199999999995</v>
      </c>
      <c r="Q215" s="400">
        <v>13</v>
      </c>
      <c r="R215" s="400">
        <f t="shared" si="290"/>
        <v>3553055.9999999995</v>
      </c>
      <c r="S215" s="400">
        <f t="shared" si="291"/>
        <v>3553055.9999999995</v>
      </c>
    </row>
    <row r="216" spans="1:19" s="515" customFormat="1" x14ac:dyDescent="0.25">
      <c r="A216" s="751"/>
      <c r="B216" s="443" t="s">
        <v>617</v>
      </c>
      <c r="C216" s="748"/>
      <c r="D216" s="751"/>
      <c r="E216" s="751">
        <f>SUM(E217:E220)</f>
        <v>0</v>
      </c>
      <c r="F216" s="751">
        <f t="shared" ref="F216" si="326">SUM(F217:F220)</f>
        <v>0</v>
      </c>
      <c r="G216" s="751">
        <f t="shared" ref="G216" si="327">SUM(G217:G220)</f>
        <v>2872</v>
      </c>
      <c r="H216" s="751">
        <f t="shared" ref="H216" si="328">SUM(H217:H220)</f>
        <v>0</v>
      </c>
      <c r="I216" s="751">
        <f t="shared" ref="I216" si="329">SUM(I217:I220)</f>
        <v>2872</v>
      </c>
      <c r="J216" s="751">
        <f t="shared" ref="J216" si="330">SUM(J217:J220)</f>
        <v>16.16</v>
      </c>
      <c r="K216" s="751">
        <f t="shared" ref="K216" si="331">SUM(K217:K220)</f>
        <v>14.543999999999999</v>
      </c>
      <c r="L216" s="751">
        <f t="shared" ref="L216" si="332">SUM(L217:L220)</f>
        <v>0.4</v>
      </c>
      <c r="M216" s="751">
        <f t="shared" ref="M216" si="333">SUM(M217:M220)</f>
        <v>0</v>
      </c>
      <c r="N216" s="751">
        <f t="shared" ref="N216" si="334">SUM(N217:N220)</f>
        <v>0</v>
      </c>
      <c r="O216" s="751">
        <f t="shared" ref="O216" si="335">SUM(O217:O220)</f>
        <v>0</v>
      </c>
      <c r="P216" s="751">
        <f t="shared" ref="P216" si="336">SUM(P217:P220)</f>
        <v>1093.2400000000002</v>
      </c>
      <c r="Q216" s="751">
        <f t="shared" ref="Q216" si="337">SUM(Q217:Q220)</f>
        <v>52</v>
      </c>
      <c r="R216" s="751">
        <f t="shared" ref="R216" si="338">SUM(R217:R220)</f>
        <v>14212120.000000002</v>
      </c>
      <c r="S216" s="751">
        <f t="shared" ref="S216" si="339">SUM(S217:S220)</f>
        <v>14212120.000000002</v>
      </c>
    </row>
    <row r="217" spans="1:19" x14ac:dyDescent="0.25">
      <c r="A217" s="422"/>
      <c r="C217" s="443" t="s">
        <v>713</v>
      </c>
      <c r="D217" s="422"/>
      <c r="E217" s="422"/>
      <c r="F217" s="443" t="s">
        <v>474</v>
      </c>
      <c r="G217" s="400">
        <f t="shared" si="287"/>
        <v>399</v>
      </c>
      <c r="H217" s="690"/>
      <c r="I217" s="422">
        <v>399</v>
      </c>
      <c r="J217" s="422">
        <v>4.38</v>
      </c>
      <c r="K217" s="422">
        <f t="shared" si="288"/>
        <v>3.9419999999999997</v>
      </c>
      <c r="L217" s="422">
        <v>0.1</v>
      </c>
      <c r="M217" s="400"/>
      <c r="N217" s="400"/>
      <c r="O217" s="400"/>
      <c r="P217" s="422">
        <f t="shared" si="321"/>
        <v>174.762</v>
      </c>
      <c r="Q217" s="400">
        <v>13</v>
      </c>
      <c r="R217" s="400">
        <f t="shared" si="290"/>
        <v>2271906</v>
      </c>
      <c r="S217" s="400">
        <f t="shared" si="291"/>
        <v>2271906</v>
      </c>
    </row>
    <row r="218" spans="1:19" x14ac:dyDescent="0.25">
      <c r="A218" s="422"/>
      <c r="B218" s="443"/>
      <c r="C218" s="443"/>
      <c r="D218" s="422"/>
      <c r="E218" s="422"/>
      <c r="F218" s="443" t="s">
        <v>504</v>
      </c>
      <c r="G218" s="400">
        <f t="shared" si="287"/>
        <v>51</v>
      </c>
      <c r="H218" s="690"/>
      <c r="I218" s="422">
        <v>51</v>
      </c>
      <c r="J218" s="422">
        <v>4.38</v>
      </c>
      <c r="K218" s="422">
        <f t="shared" si="288"/>
        <v>3.9419999999999997</v>
      </c>
      <c r="L218" s="422">
        <v>0.1</v>
      </c>
      <c r="M218" s="400"/>
      <c r="N218" s="400"/>
      <c r="O218" s="400"/>
      <c r="P218" s="422">
        <f t="shared" si="321"/>
        <v>22.338000000000001</v>
      </c>
      <c r="Q218" s="400">
        <v>13</v>
      </c>
      <c r="R218" s="400">
        <f t="shared" si="290"/>
        <v>290394</v>
      </c>
      <c r="S218" s="400">
        <f t="shared" si="291"/>
        <v>290394</v>
      </c>
    </row>
    <row r="219" spans="1:19" x14ac:dyDescent="0.25">
      <c r="A219" s="422"/>
      <c r="B219" s="443"/>
      <c r="C219" s="443" t="s">
        <v>716</v>
      </c>
      <c r="D219" s="422"/>
      <c r="E219" s="422"/>
      <c r="F219" s="443" t="s">
        <v>504</v>
      </c>
      <c r="G219" s="400">
        <f t="shared" si="287"/>
        <v>194</v>
      </c>
      <c r="H219" s="690"/>
      <c r="I219" s="422">
        <v>194</v>
      </c>
      <c r="J219" s="422">
        <v>3.7</v>
      </c>
      <c r="K219" s="422">
        <f t="shared" si="288"/>
        <v>3.33</v>
      </c>
      <c r="L219" s="422">
        <v>0.1</v>
      </c>
      <c r="M219" s="400"/>
      <c r="N219" s="400"/>
      <c r="O219" s="400"/>
      <c r="P219" s="422">
        <f t="shared" si="321"/>
        <v>71.780000000000015</v>
      </c>
      <c r="Q219" s="400">
        <v>13</v>
      </c>
      <c r="R219" s="400">
        <f t="shared" si="290"/>
        <v>933140.00000000023</v>
      </c>
      <c r="S219" s="400">
        <f t="shared" si="291"/>
        <v>933140.00000000023</v>
      </c>
    </row>
    <row r="220" spans="1:19" x14ac:dyDescent="0.25">
      <c r="A220" s="422"/>
      <c r="B220" s="443"/>
      <c r="C220" s="443"/>
      <c r="D220" s="422"/>
      <c r="E220" s="422"/>
      <c r="F220" s="443" t="s">
        <v>474</v>
      </c>
      <c r="G220" s="400">
        <f t="shared" si="287"/>
        <v>2228</v>
      </c>
      <c r="H220" s="690"/>
      <c r="I220" s="422">
        <v>2228</v>
      </c>
      <c r="J220" s="422">
        <v>3.7</v>
      </c>
      <c r="K220" s="422">
        <f t="shared" si="288"/>
        <v>3.33</v>
      </c>
      <c r="L220" s="422">
        <v>0.1</v>
      </c>
      <c r="M220" s="400"/>
      <c r="N220" s="400"/>
      <c r="O220" s="400"/>
      <c r="P220" s="422">
        <f t="shared" si="321"/>
        <v>824.36000000000013</v>
      </c>
      <c r="Q220" s="400">
        <v>13</v>
      </c>
      <c r="R220" s="400">
        <f t="shared" si="290"/>
        <v>10716680.000000002</v>
      </c>
      <c r="S220" s="400">
        <f t="shared" si="291"/>
        <v>10716680.000000002</v>
      </c>
    </row>
    <row r="221" spans="1:19" s="515" customFormat="1" x14ac:dyDescent="0.25">
      <c r="A221" s="751"/>
      <c r="B221" s="443" t="s">
        <v>739</v>
      </c>
      <c r="C221" s="748"/>
      <c r="D221" s="751"/>
      <c r="E221" s="751">
        <f>SUM(E222:E225)</f>
        <v>0</v>
      </c>
      <c r="F221" s="751">
        <f t="shared" ref="F221" si="340">SUM(F222:F225)</f>
        <v>0</v>
      </c>
      <c r="G221" s="751">
        <f t="shared" ref="G221" si="341">SUM(G222:G225)</f>
        <v>2659.5</v>
      </c>
      <c r="H221" s="751">
        <f t="shared" ref="H221" si="342">SUM(H222:H225)</f>
        <v>0</v>
      </c>
      <c r="I221" s="751">
        <f t="shared" ref="I221" si="343">SUM(I222:I225)</f>
        <v>2659.5</v>
      </c>
      <c r="J221" s="751">
        <f t="shared" ref="J221" si="344">SUM(J222:J225)</f>
        <v>11.780000000000001</v>
      </c>
      <c r="K221" s="751">
        <f t="shared" ref="K221" si="345">SUM(K222:K225)</f>
        <v>10.417</v>
      </c>
      <c r="L221" s="751">
        <f t="shared" ref="L221" si="346">SUM(L222:L225)</f>
        <v>0.35</v>
      </c>
      <c r="M221" s="751">
        <f t="shared" ref="M221" si="347">SUM(M222:M225)</f>
        <v>0</v>
      </c>
      <c r="N221" s="751">
        <f t="shared" ref="N221" si="348">SUM(N222:N225)</f>
        <v>0</v>
      </c>
      <c r="O221" s="751">
        <f t="shared" ref="O221" si="349">SUM(O222:O225)</f>
        <v>0</v>
      </c>
      <c r="P221" s="751">
        <f t="shared" ref="P221" si="350">SUM(P222:P225)</f>
        <v>1080.847</v>
      </c>
      <c r="Q221" s="751">
        <f t="shared" ref="Q221" si="351">SUM(Q222:Q225)</f>
        <v>39</v>
      </c>
      <c r="R221" s="751">
        <f t="shared" ref="R221" si="352">SUM(R222:R225)</f>
        <v>14051011</v>
      </c>
      <c r="S221" s="751">
        <f t="shared" ref="S221" si="353">SUM(S222:S225)</f>
        <v>14051011</v>
      </c>
    </row>
    <row r="222" spans="1:19" x14ac:dyDescent="0.25">
      <c r="A222" s="422"/>
      <c r="C222" s="443" t="s">
        <v>713</v>
      </c>
      <c r="D222" s="422"/>
      <c r="E222" s="422"/>
      <c r="F222" s="443" t="s">
        <v>481</v>
      </c>
      <c r="G222" s="400">
        <f t="shared" si="287"/>
        <v>36.5</v>
      </c>
      <c r="H222" s="690"/>
      <c r="I222" s="422">
        <v>36.5</v>
      </c>
      <c r="J222" s="422">
        <v>4.38</v>
      </c>
      <c r="K222" s="422">
        <f t="shared" si="288"/>
        <v>3.9419999999999997</v>
      </c>
      <c r="L222" s="422">
        <v>0.1</v>
      </c>
      <c r="M222" s="400"/>
      <c r="N222" s="400"/>
      <c r="O222" s="400"/>
      <c r="P222" s="422">
        <f t="shared" si="321"/>
        <v>15.987000000000002</v>
      </c>
      <c r="Q222" s="400">
        <v>13</v>
      </c>
      <c r="R222" s="400">
        <f t="shared" si="290"/>
        <v>207831.00000000003</v>
      </c>
      <c r="S222" s="400">
        <f t="shared" si="291"/>
        <v>207831.00000000003</v>
      </c>
    </row>
    <row r="223" spans="1:19" x14ac:dyDescent="0.25">
      <c r="A223" s="422"/>
      <c r="B223" s="443"/>
      <c r="C223" s="443" t="s">
        <v>716</v>
      </c>
      <c r="D223" s="422"/>
      <c r="E223" s="422"/>
      <c r="F223" s="443" t="s">
        <v>481</v>
      </c>
      <c r="G223" s="400">
        <f t="shared" si="287"/>
        <v>2113</v>
      </c>
      <c r="H223" s="690"/>
      <c r="I223" s="422">
        <v>2113</v>
      </c>
      <c r="J223" s="422">
        <v>3.7</v>
      </c>
      <c r="K223" s="422">
        <f t="shared" si="288"/>
        <v>3.33</v>
      </c>
      <c r="L223" s="422">
        <v>0.1</v>
      </c>
      <c r="M223" s="400"/>
      <c r="N223" s="400"/>
      <c r="O223" s="400"/>
      <c r="P223" s="422">
        <f t="shared" si="321"/>
        <v>781.81000000000006</v>
      </c>
      <c r="Q223" s="400">
        <v>13</v>
      </c>
      <c r="R223" s="400">
        <f t="shared" si="290"/>
        <v>10163530</v>
      </c>
      <c r="S223" s="400">
        <f t="shared" si="291"/>
        <v>10163530</v>
      </c>
    </row>
    <row r="224" spans="1:19" x14ac:dyDescent="0.25">
      <c r="A224" s="422"/>
      <c r="B224" s="443"/>
      <c r="C224" s="443"/>
      <c r="D224" s="422"/>
      <c r="E224" s="422"/>
      <c r="F224" s="443" t="s">
        <v>504</v>
      </c>
      <c r="G224" s="400">
        <f t="shared" si="287"/>
        <v>510</v>
      </c>
      <c r="H224" s="690"/>
      <c r="I224" s="422">
        <v>510</v>
      </c>
      <c r="J224" s="422">
        <v>3.7</v>
      </c>
      <c r="K224" s="422">
        <f t="shared" si="288"/>
        <v>3.145</v>
      </c>
      <c r="L224" s="422">
        <v>0.15</v>
      </c>
      <c r="M224" s="400"/>
      <c r="N224" s="400"/>
      <c r="O224" s="400"/>
      <c r="P224" s="422">
        <f t="shared" si="321"/>
        <v>283.05</v>
      </c>
      <c r="Q224" s="400">
        <v>13</v>
      </c>
      <c r="R224" s="400">
        <f t="shared" si="290"/>
        <v>3679650</v>
      </c>
      <c r="S224" s="400">
        <f t="shared" si="291"/>
        <v>3679650</v>
      </c>
    </row>
    <row r="225" spans="1:19" x14ac:dyDescent="0.25">
      <c r="A225" s="422"/>
      <c r="B225" s="443"/>
      <c r="C225" s="443"/>
      <c r="D225" s="422"/>
      <c r="E225" s="422"/>
      <c r="F225" s="443"/>
      <c r="G225" s="400"/>
      <c r="H225" s="690"/>
      <c r="I225" s="422"/>
      <c r="J225" s="422"/>
      <c r="K225" s="422"/>
      <c r="L225" s="422"/>
      <c r="M225" s="400"/>
      <c r="N225" s="400"/>
      <c r="O225" s="400"/>
      <c r="P225" s="422"/>
      <c r="Q225" s="400"/>
      <c r="R225" s="400"/>
      <c r="S225" s="400"/>
    </row>
    <row r="226" spans="1:19" x14ac:dyDescent="0.25">
      <c r="A226" s="461"/>
      <c r="B226" s="464" t="s">
        <v>475</v>
      </c>
      <c r="C226" s="464"/>
      <c r="D226" s="691"/>
      <c r="E226" s="691"/>
      <c r="F226" s="464"/>
      <c r="G226" s="419">
        <f>SUM(G228:G275)</f>
        <v>22498.400000000001</v>
      </c>
      <c r="H226" s="419">
        <f>SUM(H228:H275)</f>
        <v>10020.599999999999</v>
      </c>
      <c r="I226" s="419">
        <f>SUM(I228:I275)</f>
        <v>12477.8</v>
      </c>
      <c r="J226" s="691"/>
      <c r="K226" s="691"/>
      <c r="L226" s="691"/>
      <c r="M226" s="419">
        <f>SUM(M228:M275)</f>
        <v>3044.8468000000007</v>
      </c>
      <c r="N226" s="419"/>
      <c r="O226" s="419">
        <f>SUM(O228:O275)</f>
        <v>21517203.5</v>
      </c>
      <c r="P226" s="419">
        <f>SUM(P228:P275)</f>
        <v>34746.351999999984</v>
      </c>
      <c r="Q226" s="419"/>
      <c r="R226" s="419">
        <f>SUM(R228:R275)</f>
        <v>451702576</v>
      </c>
      <c r="S226" s="419">
        <f>SUM(S228:S275)</f>
        <v>473219779.5</v>
      </c>
    </row>
    <row r="227" spans="1:19" s="515" customFormat="1" x14ac:dyDescent="0.25">
      <c r="A227" s="747"/>
      <c r="B227" s="443" t="s">
        <v>486</v>
      </c>
      <c r="C227" s="750"/>
      <c r="D227" s="1072"/>
      <c r="E227" s="751">
        <f>SUM(E228:E229)</f>
        <v>0</v>
      </c>
      <c r="F227" s="751">
        <f t="shared" ref="F227" si="354">SUM(F228:F229)</f>
        <v>0</v>
      </c>
      <c r="G227" s="751">
        <f t="shared" ref="G227" si="355">SUM(G228:G229)</f>
        <v>459</v>
      </c>
      <c r="H227" s="751">
        <f t="shared" ref="H227" si="356">SUM(H228:H229)</f>
        <v>0</v>
      </c>
      <c r="I227" s="751">
        <f t="shared" ref="I227" si="357">SUM(I228:I229)</f>
        <v>459</v>
      </c>
      <c r="J227" s="751">
        <f t="shared" ref="J227" si="358">SUM(J228:J229)</f>
        <v>8.76</v>
      </c>
      <c r="K227" s="751">
        <f t="shared" ref="K227" si="359">SUM(K228:K229)</f>
        <v>7.4459999999999997</v>
      </c>
      <c r="L227" s="751">
        <f t="shared" ref="L227" si="360">SUM(L228:L229)</f>
        <v>0.30000000000000004</v>
      </c>
      <c r="M227" s="751">
        <f t="shared" ref="M227" si="361">SUM(M228:M229)</f>
        <v>0</v>
      </c>
      <c r="N227" s="751">
        <f t="shared" ref="N227" si="362">SUM(N228:N229)</f>
        <v>0</v>
      </c>
      <c r="O227" s="751">
        <f t="shared" ref="O227" si="363">SUM(O228:O229)</f>
        <v>0</v>
      </c>
      <c r="P227" s="751">
        <f t="shared" ref="P227" si="364">SUM(P228:P229)</f>
        <v>212.43</v>
      </c>
      <c r="Q227" s="751">
        <f t="shared" ref="Q227" si="365">SUM(Q228:Q229)</f>
        <v>26</v>
      </c>
      <c r="R227" s="751">
        <f t="shared" ref="R227" si="366">SUM(R228:R229)</f>
        <v>2761590</v>
      </c>
      <c r="S227" s="751">
        <f t="shared" ref="S227" si="367">SUM(S228:S229)</f>
        <v>2761590</v>
      </c>
    </row>
    <row r="228" spans="1:19" x14ac:dyDescent="0.25">
      <c r="A228" s="422"/>
      <c r="C228" s="443"/>
      <c r="D228" s="422"/>
      <c r="E228" s="422"/>
      <c r="F228" s="443" t="s">
        <v>474</v>
      </c>
      <c r="G228" s="400">
        <f t="shared" ref="G228:G274" si="368">H228+I228</f>
        <v>433</v>
      </c>
      <c r="H228" s="690"/>
      <c r="I228" s="422">
        <v>433</v>
      </c>
      <c r="J228" s="422">
        <v>4.38</v>
      </c>
      <c r="K228" s="422">
        <f t="shared" ref="K228:K275" si="369">J228-(J228*L228)</f>
        <v>3.9419999999999997</v>
      </c>
      <c r="L228" s="422">
        <v>0.1</v>
      </c>
      <c r="M228" s="400"/>
      <c r="N228" s="400"/>
      <c r="O228" s="400"/>
      <c r="P228" s="422">
        <f t="shared" ref="P228:P235" si="370">I228*J228*L228</f>
        <v>189.654</v>
      </c>
      <c r="Q228" s="400">
        <v>13</v>
      </c>
      <c r="R228" s="400">
        <f t="shared" ref="R228:R236" si="371">P228*Q228*1000</f>
        <v>2465502</v>
      </c>
      <c r="S228" s="400">
        <f t="shared" ref="S228:S275" si="372">R228+O228</f>
        <v>2465502</v>
      </c>
    </row>
    <row r="229" spans="1:19" x14ac:dyDescent="0.25">
      <c r="A229" s="422"/>
      <c r="B229" s="443"/>
      <c r="C229" s="443"/>
      <c r="D229" s="422"/>
      <c r="E229" s="422"/>
      <c r="F229" s="443" t="s">
        <v>586</v>
      </c>
      <c r="G229" s="400">
        <f t="shared" si="368"/>
        <v>26</v>
      </c>
      <c r="H229" s="690"/>
      <c r="I229" s="422">
        <v>26</v>
      </c>
      <c r="J229" s="422">
        <v>4.38</v>
      </c>
      <c r="K229" s="422">
        <f t="shared" si="369"/>
        <v>3.504</v>
      </c>
      <c r="L229" s="422">
        <v>0.2</v>
      </c>
      <c r="M229" s="400"/>
      <c r="N229" s="400"/>
      <c r="O229" s="400"/>
      <c r="P229" s="422">
        <f t="shared" si="370"/>
        <v>22.776</v>
      </c>
      <c r="Q229" s="400">
        <v>13</v>
      </c>
      <c r="R229" s="400">
        <f t="shared" si="371"/>
        <v>296088</v>
      </c>
      <c r="S229" s="400">
        <f t="shared" si="372"/>
        <v>296088</v>
      </c>
    </row>
    <row r="230" spans="1:19" s="515" customFormat="1" x14ac:dyDescent="0.25">
      <c r="A230" s="751"/>
      <c r="B230" s="443" t="s">
        <v>488</v>
      </c>
      <c r="C230" s="748"/>
      <c r="D230" s="751"/>
      <c r="E230" s="751">
        <f>SUM(E231:E233)</f>
        <v>0</v>
      </c>
      <c r="F230" s="751">
        <f t="shared" ref="F230:S230" si="373">SUM(F231:F233)</f>
        <v>0</v>
      </c>
      <c r="G230" s="751">
        <f t="shared" si="373"/>
        <v>302</v>
      </c>
      <c r="H230" s="751">
        <f t="shared" si="373"/>
        <v>0</v>
      </c>
      <c r="I230" s="751">
        <f t="shared" si="373"/>
        <v>302</v>
      </c>
      <c r="J230" s="751">
        <f t="shared" si="373"/>
        <v>11.780000000000001</v>
      </c>
      <c r="K230" s="751">
        <f t="shared" si="373"/>
        <v>9.7940000000000005</v>
      </c>
      <c r="L230" s="751">
        <f t="shared" si="373"/>
        <v>0.5</v>
      </c>
      <c r="M230" s="751">
        <f t="shared" si="373"/>
        <v>0</v>
      </c>
      <c r="N230" s="751">
        <f t="shared" si="373"/>
        <v>0</v>
      </c>
      <c r="O230" s="751">
        <f t="shared" si="373"/>
        <v>0</v>
      </c>
      <c r="P230" s="751">
        <f t="shared" si="373"/>
        <v>235.964</v>
      </c>
      <c r="Q230" s="751">
        <f t="shared" si="373"/>
        <v>39</v>
      </c>
      <c r="R230" s="751">
        <f t="shared" si="373"/>
        <v>3067532.0000000005</v>
      </c>
      <c r="S230" s="751">
        <f t="shared" si="373"/>
        <v>3067532.0000000005</v>
      </c>
    </row>
    <row r="231" spans="1:19" x14ac:dyDescent="0.25">
      <c r="A231" s="422"/>
      <c r="C231" s="443" t="s">
        <v>716</v>
      </c>
      <c r="D231" s="422"/>
      <c r="E231" s="422"/>
      <c r="F231" s="443" t="s">
        <v>586</v>
      </c>
      <c r="G231" s="400">
        <f t="shared" si="368"/>
        <v>173</v>
      </c>
      <c r="H231" s="690"/>
      <c r="I231" s="422">
        <v>173</v>
      </c>
      <c r="J231" s="422">
        <v>3.7</v>
      </c>
      <c r="K231" s="422">
        <f t="shared" si="369"/>
        <v>2.96</v>
      </c>
      <c r="L231" s="422">
        <v>0.2</v>
      </c>
      <c r="M231" s="400"/>
      <c r="N231" s="400"/>
      <c r="O231" s="400"/>
      <c r="P231" s="422">
        <f t="shared" si="370"/>
        <v>128.02000000000001</v>
      </c>
      <c r="Q231" s="400">
        <v>13</v>
      </c>
      <c r="R231" s="400">
        <f t="shared" si="371"/>
        <v>1664260.0000000002</v>
      </c>
      <c r="S231" s="400">
        <f t="shared" si="372"/>
        <v>1664260.0000000002</v>
      </c>
    </row>
    <row r="232" spans="1:19" ht="31.5" x14ac:dyDescent="0.25">
      <c r="A232" s="422"/>
      <c r="B232" s="443"/>
      <c r="C232" s="443" t="s">
        <v>713</v>
      </c>
      <c r="D232" s="422"/>
      <c r="E232" s="422"/>
      <c r="F232" s="1042" t="s">
        <v>908</v>
      </c>
      <c r="G232" s="400">
        <f t="shared" si="368"/>
        <v>119</v>
      </c>
      <c r="H232" s="690"/>
      <c r="I232" s="422">
        <v>119</v>
      </c>
      <c r="J232" s="422">
        <v>4.38</v>
      </c>
      <c r="K232" s="422">
        <f t="shared" si="369"/>
        <v>3.504</v>
      </c>
      <c r="L232" s="422">
        <v>0.2</v>
      </c>
      <c r="M232" s="400"/>
      <c r="N232" s="400"/>
      <c r="O232" s="400"/>
      <c r="P232" s="422">
        <f t="shared" si="370"/>
        <v>104.24400000000001</v>
      </c>
      <c r="Q232" s="400">
        <v>13</v>
      </c>
      <c r="R232" s="400">
        <f t="shared" si="371"/>
        <v>1355172.0000000002</v>
      </c>
      <c r="S232" s="400">
        <f t="shared" si="372"/>
        <v>1355172.0000000002</v>
      </c>
    </row>
    <row r="233" spans="1:19" ht="31.5" x14ac:dyDescent="0.25">
      <c r="A233" s="422"/>
      <c r="B233" s="443"/>
      <c r="C233" s="443" t="s">
        <v>716</v>
      </c>
      <c r="D233" s="422"/>
      <c r="E233" s="422"/>
      <c r="F233" s="1042" t="s">
        <v>908</v>
      </c>
      <c r="G233" s="400">
        <f t="shared" si="368"/>
        <v>10</v>
      </c>
      <c r="H233" s="690"/>
      <c r="I233" s="422">
        <v>10</v>
      </c>
      <c r="J233" s="422">
        <v>3.7</v>
      </c>
      <c r="K233" s="422">
        <f t="shared" si="369"/>
        <v>3.33</v>
      </c>
      <c r="L233" s="422">
        <v>0.1</v>
      </c>
      <c r="M233" s="400"/>
      <c r="N233" s="400"/>
      <c r="O233" s="400"/>
      <c r="P233" s="422">
        <f t="shared" si="370"/>
        <v>3.7</v>
      </c>
      <c r="Q233" s="400">
        <v>13</v>
      </c>
      <c r="R233" s="400">
        <f t="shared" si="371"/>
        <v>48100</v>
      </c>
      <c r="S233" s="400">
        <f t="shared" si="372"/>
        <v>48100</v>
      </c>
    </row>
    <row r="234" spans="1:19" s="515" customFormat="1" x14ac:dyDescent="0.25">
      <c r="A234" s="751"/>
      <c r="B234" s="443" t="s">
        <v>480</v>
      </c>
      <c r="C234" s="748"/>
      <c r="D234" s="751"/>
      <c r="E234" s="751">
        <f>SUM(E235:E246)</f>
        <v>0</v>
      </c>
      <c r="F234" s="751">
        <f t="shared" ref="F234:S234" si="374">SUM(F235:F246)</f>
        <v>0</v>
      </c>
      <c r="G234" s="751">
        <f t="shared" si="374"/>
        <v>858</v>
      </c>
      <c r="H234" s="751">
        <f t="shared" si="374"/>
        <v>582</v>
      </c>
      <c r="I234" s="751">
        <f t="shared" si="374"/>
        <v>276</v>
      </c>
      <c r="J234" s="751">
        <f t="shared" si="374"/>
        <v>49.160000000000011</v>
      </c>
      <c r="K234" s="751">
        <f t="shared" si="374"/>
        <v>17.459</v>
      </c>
      <c r="L234" s="751">
        <f t="shared" si="374"/>
        <v>7.7499999999999991</v>
      </c>
      <c r="M234" s="751">
        <f t="shared" si="374"/>
        <v>218.24699999999999</v>
      </c>
      <c r="N234" s="751">
        <f t="shared" si="374"/>
        <v>42060</v>
      </c>
      <c r="O234" s="751">
        <f t="shared" si="374"/>
        <v>554833.75</v>
      </c>
      <c r="P234" s="751">
        <f t="shared" si="374"/>
        <v>2210.2139999999999</v>
      </c>
      <c r="Q234" s="751">
        <f t="shared" si="374"/>
        <v>78</v>
      </c>
      <c r="R234" s="751">
        <f t="shared" si="374"/>
        <v>28732782</v>
      </c>
      <c r="S234" s="751">
        <f t="shared" si="374"/>
        <v>29287615.75</v>
      </c>
    </row>
    <row r="235" spans="1:19" x14ac:dyDescent="0.25">
      <c r="A235" s="422"/>
      <c r="C235" s="443" t="s">
        <v>713</v>
      </c>
      <c r="D235" s="422"/>
      <c r="E235" s="422"/>
      <c r="F235" s="443" t="s">
        <v>481</v>
      </c>
      <c r="G235" s="400">
        <f t="shared" si="368"/>
        <v>148</v>
      </c>
      <c r="H235" s="690"/>
      <c r="I235" s="422">
        <v>148</v>
      </c>
      <c r="J235" s="422">
        <v>4.38</v>
      </c>
      <c r="K235" s="422">
        <f t="shared" si="369"/>
        <v>3.9419999999999997</v>
      </c>
      <c r="L235" s="422">
        <v>0.1</v>
      </c>
      <c r="M235" s="400"/>
      <c r="N235" s="400"/>
      <c r="O235" s="400"/>
      <c r="P235" s="422">
        <f t="shared" si="370"/>
        <v>64.823999999999998</v>
      </c>
      <c r="Q235" s="400">
        <v>13</v>
      </c>
      <c r="R235" s="400">
        <f t="shared" si="371"/>
        <v>842712</v>
      </c>
      <c r="S235" s="400">
        <f t="shared" si="372"/>
        <v>842712</v>
      </c>
    </row>
    <row r="236" spans="1:19" x14ac:dyDescent="0.25">
      <c r="A236" s="422"/>
      <c r="B236" s="443"/>
      <c r="C236" s="443"/>
      <c r="D236" s="422"/>
      <c r="E236" s="422"/>
      <c r="F236" s="443" t="s">
        <v>481</v>
      </c>
      <c r="G236" s="400">
        <f t="shared" si="368"/>
        <v>277</v>
      </c>
      <c r="H236" s="690">
        <v>277</v>
      </c>
      <c r="I236" s="422"/>
      <c r="J236" s="422">
        <v>4.38</v>
      </c>
      <c r="K236" s="422">
        <f t="shared" si="369"/>
        <v>0</v>
      </c>
      <c r="L236" s="422">
        <v>1</v>
      </c>
      <c r="M236" s="400"/>
      <c r="N236" s="400"/>
      <c r="O236" s="400"/>
      <c r="P236" s="422">
        <f>H236*J236*L236</f>
        <v>1213.26</v>
      </c>
      <c r="Q236" s="400">
        <v>13</v>
      </c>
      <c r="R236" s="400">
        <f t="shared" si="371"/>
        <v>15772380</v>
      </c>
      <c r="S236" s="400">
        <f t="shared" si="372"/>
        <v>15772380</v>
      </c>
    </row>
    <row r="237" spans="1:19" x14ac:dyDescent="0.25">
      <c r="A237" s="422"/>
      <c r="B237" s="443"/>
      <c r="C237" s="443"/>
      <c r="D237" s="422"/>
      <c r="E237" s="422"/>
      <c r="F237" s="443" t="s">
        <v>482</v>
      </c>
      <c r="G237" s="400">
        <f t="shared" si="368"/>
        <v>25</v>
      </c>
      <c r="H237" s="690"/>
      <c r="I237" s="422">
        <v>25</v>
      </c>
      <c r="J237" s="422">
        <v>4.38</v>
      </c>
      <c r="K237" s="422">
        <f t="shared" si="369"/>
        <v>3.504</v>
      </c>
      <c r="L237" s="422">
        <v>0.2</v>
      </c>
      <c r="M237" s="400"/>
      <c r="N237" s="400">
        <v>1400</v>
      </c>
      <c r="O237" s="400">
        <f>N237*L237*I237</f>
        <v>7000</v>
      </c>
      <c r="P237" s="422"/>
      <c r="Q237" s="400"/>
      <c r="R237" s="400"/>
      <c r="S237" s="400">
        <f t="shared" si="372"/>
        <v>7000</v>
      </c>
    </row>
    <row r="238" spans="1:19" x14ac:dyDescent="0.25">
      <c r="A238" s="422"/>
      <c r="B238" s="443"/>
      <c r="C238" s="443"/>
      <c r="D238" s="422"/>
      <c r="E238" s="422"/>
      <c r="F238" s="443" t="s">
        <v>482</v>
      </c>
      <c r="G238" s="400">
        <f t="shared" si="368"/>
        <v>25</v>
      </c>
      <c r="H238" s="690">
        <v>25</v>
      </c>
      <c r="I238" s="422"/>
      <c r="J238" s="422">
        <v>4.38</v>
      </c>
      <c r="K238" s="422">
        <f t="shared" si="369"/>
        <v>0</v>
      </c>
      <c r="L238" s="422">
        <v>1</v>
      </c>
      <c r="M238" s="400"/>
      <c r="N238" s="400">
        <v>1400</v>
      </c>
      <c r="O238" s="400">
        <f>N238*L238*H238</f>
        <v>35000</v>
      </c>
      <c r="P238" s="422"/>
      <c r="Q238" s="400"/>
      <c r="R238" s="400"/>
      <c r="S238" s="400">
        <f t="shared" si="372"/>
        <v>35000</v>
      </c>
    </row>
    <row r="239" spans="1:19" x14ac:dyDescent="0.25">
      <c r="A239" s="422"/>
      <c r="B239" s="443"/>
      <c r="C239" s="443"/>
      <c r="D239" s="422"/>
      <c r="E239" s="422"/>
      <c r="F239" s="443" t="s">
        <v>588</v>
      </c>
      <c r="G239" s="400">
        <f t="shared" si="368"/>
        <v>31</v>
      </c>
      <c r="H239" s="690"/>
      <c r="I239" s="422">
        <v>31</v>
      </c>
      <c r="J239" s="422">
        <v>4.38</v>
      </c>
      <c r="K239" s="422">
        <f t="shared" si="369"/>
        <v>3.7229999999999999</v>
      </c>
      <c r="L239" s="422">
        <v>0.15</v>
      </c>
      <c r="M239" s="400">
        <f>L239*J239*I239</f>
        <v>20.366999999999997</v>
      </c>
      <c r="N239" s="400">
        <v>9815</v>
      </c>
      <c r="O239" s="400">
        <f>N239*L239*I239</f>
        <v>45639.75</v>
      </c>
      <c r="P239" s="422"/>
      <c r="Q239" s="400"/>
      <c r="R239" s="400"/>
      <c r="S239" s="400">
        <f t="shared" si="372"/>
        <v>45639.75</v>
      </c>
    </row>
    <row r="240" spans="1:19" x14ac:dyDescent="0.25">
      <c r="A240" s="422"/>
      <c r="B240" s="443"/>
      <c r="C240" s="443"/>
      <c r="D240" s="422"/>
      <c r="E240" s="422"/>
      <c r="F240" s="443" t="s">
        <v>588</v>
      </c>
      <c r="G240" s="400">
        <f t="shared" si="368"/>
        <v>32</v>
      </c>
      <c r="H240" s="690">
        <v>32</v>
      </c>
      <c r="I240" s="422"/>
      <c r="J240" s="422">
        <v>4.38</v>
      </c>
      <c r="K240" s="422">
        <f t="shared" si="369"/>
        <v>0</v>
      </c>
      <c r="L240" s="422">
        <v>1</v>
      </c>
      <c r="M240" s="400">
        <f>L240*J240*H240</f>
        <v>140.16</v>
      </c>
      <c r="N240" s="400">
        <v>9815</v>
      </c>
      <c r="O240" s="400">
        <f>N240*L240*H240</f>
        <v>314080</v>
      </c>
      <c r="P240" s="422"/>
      <c r="Q240" s="400"/>
      <c r="R240" s="400"/>
      <c r="S240" s="400">
        <f t="shared" si="372"/>
        <v>314080</v>
      </c>
    </row>
    <row r="241" spans="1:19" x14ac:dyDescent="0.25">
      <c r="A241" s="422"/>
      <c r="B241" s="443"/>
      <c r="C241" s="443"/>
      <c r="D241" s="422"/>
      <c r="E241" s="422"/>
      <c r="F241" s="443" t="s">
        <v>487</v>
      </c>
      <c r="G241" s="400">
        <f t="shared" si="368"/>
        <v>60</v>
      </c>
      <c r="H241" s="690">
        <v>60</v>
      </c>
      <c r="I241" s="422"/>
      <c r="J241" s="422">
        <v>4.38</v>
      </c>
      <c r="K241" s="422">
        <f t="shared" si="369"/>
        <v>0</v>
      </c>
      <c r="L241" s="422">
        <v>1</v>
      </c>
      <c r="M241" s="400"/>
      <c r="N241" s="400"/>
      <c r="O241" s="400"/>
      <c r="P241" s="422">
        <f>H241*J241*L241</f>
        <v>262.8</v>
      </c>
      <c r="Q241" s="400">
        <v>13</v>
      </c>
      <c r="R241" s="400">
        <f>P241*Q241*1000</f>
        <v>3416400</v>
      </c>
      <c r="S241" s="400">
        <f t="shared" si="372"/>
        <v>3416400</v>
      </c>
    </row>
    <row r="242" spans="1:19" x14ac:dyDescent="0.25">
      <c r="A242" s="422"/>
      <c r="B242" s="443"/>
      <c r="C242" s="443" t="s">
        <v>716</v>
      </c>
      <c r="D242" s="422"/>
      <c r="E242" s="422"/>
      <c r="F242" s="443" t="s">
        <v>588</v>
      </c>
      <c r="G242" s="400">
        <f t="shared" si="368"/>
        <v>13</v>
      </c>
      <c r="H242" s="690">
        <v>13</v>
      </c>
      <c r="I242" s="422"/>
      <c r="J242" s="422">
        <v>3.7</v>
      </c>
      <c r="K242" s="422">
        <f t="shared" si="369"/>
        <v>0</v>
      </c>
      <c r="L242" s="422">
        <v>1</v>
      </c>
      <c r="M242" s="400">
        <f>L242*J242*H242</f>
        <v>48.1</v>
      </c>
      <c r="N242" s="400">
        <v>9815</v>
      </c>
      <c r="O242" s="400">
        <f>N242*L242*H242</f>
        <v>127595</v>
      </c>
      <c r="P242" s="422"/>
      <c r="Q242" s="400"/>
      <c r="R242" s="400">
        <f>P242*Q242*1000</f>
        <v>0</v>
      </c>
      <c r="S242" s="400">
        <f t="shared" si="372"/>
        <v>127595</v>
      </c>
    </row>
    <row r="243" spans="1:19" x14ac:dyDescent="0.25">
      <c r="A243" s="422"/>
      <c r="B243" s="443"/>
      <c r="C243" s="443"/>
      <c r="D243" s="422"/>
      <c r="E243" s="422"/>
      <c r="F243" s="443" t="s">
        <v>481</v>
      </c>
      <c r="G243" s="400">
        <f t="shared" si="368"/>
        <v>59</v>
      </c>
      <c r="H243" s="690"/>
      <c r="I243" s="422">
        <v>59</v>
      </c>
      <c r="J243" s="422">
        <v>3.7</v>
      </c>
      <c r="K243" s="422">
        <f t="shared" si="369"/>
        <v>3.33</v>
      </c>
      <c r="L243" s="422">
        <v>0.1</v>
      </c>
      <c r="M243" s="400"/>
      <c r="N243" s="400"/>
      <c r="O243" s="400"/>
      <c r="P243" s="422">
        <f>I243*J243*L243</f>
        <v>21.830000000000002</v>
      </c>
      <c r="Q243" s="400">
        <v>13</v>
      </c>
      <c r="R243" s="400">
        <f>P243*Q243*1000</f>
        <v>283790</v>
      </c>
      <c r="S243" s="400">
        <f t="shared" si="372"/>
        <v>283790</v>
      </c>
    </row>
    <row r="244" spans="1:19" x14ac:dyDescent="0.25">
      <c r="A244" s="422"/>
      <c r="B244" s="443"/>
      <c r="C244" s="443"/>
      <c r="D244" s="422"/>
      <c r="E244" s="422"/>
      <c r="F244" s="443" t="s">
        <v>481</v>
      </c>
      <c r="G244" s="400">
        <f t="shared" si="368"/>
        <v>112</v>
      </c>
      <c r="H244" s="690">
        <v>112</v>
      </c>
      <c r="I244" s="422"/>
      <c r="J244" s="422">
        <v>3.7</v>
      </c>
      <c r="K244" s="422">
        <f t="shared" si="369"/>
        <v>0</v>
      </c>
      <c r="L244" s="422">
        <v>1</v>
      </c>
      <c r="M244" s="400"/>
      <c r="N244" s="400"/>
      <c r="O244" s="400"/>
      <c r="P244" s="422">
        <f>H244*J244*L244</f>
        <v>414.40000000000003</v>
      </c>
      <c r="Q244" s="400">
        <v>13</v>
      </c>
      <c r="R244" s="400">
        <f>P244*Q244*1000</f>
        <v>5387200.0000000009</v>
      </c>
      <c r="S244" s="400">
        <f t="shared" si="372"/>
        <v>5387200.0000000009</v>
      </c>
    </row>
    <row r="245" spans="1:19" x14ac:dyDescent="0.25">
      <c r="A245" s="422"/>
      <c r="B245" s="443"/>
      <c r="C245" s="443"/>
      <c r="D245" s="422"/>
      <c r="E245" s="422"/>
      <c r="F245" s="443" t="s">
        <v>588</v>
      </c>
      <c r="G245" s="400">
        <f t="shared" si="368"/>
        <v>13</v>
      </c>
      <c r="H245" s="690"/>
      <c r="I245" s="422">
        <v>13</v>
      </c>
      <c r="J245" s="422">
        <v>3.7</v>
      </c>
      <c r="K245" s="422">
        <f t="shared" si="369"/>
        <v>2.96</v>
      </c>
      <c r="L245" s="422">
        <v>0.2</v>
      </c>
      <c r="M245" s="400">
        <f>L245*J245*I245</f>
        <v>9.620000000000001</v>
      </c>
      <c r="N245" s="400">
        <v>9815</v>
      </c>
      <c r="O245" s="400">
        <f>N245*L245*I245</f>
        <v>25519</v>
      </c>
      <c r="P245" s="422"/>
      <c r="Q245" s="400"/>
      <c r="R245" s="400"/>
      <c r="S245" s="400">
        <f t="shared" si="372"/>
        <v>25519</v>
      </c>
    </row>
    <row r="246" spans="1:19" x14ac:dyDescent="0.25">
      <c r="A246" s="422"/>
      <c r="B246" s="443"/>
      <c r="C246" s="443"/>
      <c r="D246" s="422"/>
      <c r="E246" s="422"/>
      <c r="F246" s="443" t="s">
        <v>487</v>
      </c>
      <c r="G246" s="400">
        <f t="shared" si="368"/>
        <v>63</v>
      </c>
      <c r="H246" s="690">
        <v>63</v>
      </c>
      <c r="I246" s="422"/>
      <c r="J246" s="422">
        <v>3.7</v>
      </c>
      <c r="K246" s="422">
        <f t="shared" si="369"/>
        <v>0</v>
      </c>
      <c r="L246" s="422">
        <v>1</v>
      </c>
      <c r="M246" s="400"/>
      <c r="N246" s="400"/>
      <c r="O246" s="400"/>
      <c r="P246" s="422">
        <f>H246*J246*L246</f>
        <v>233.10000000000002</v>
      </c>
      <c r="Q246" s="400">
        <v>13</v>
      </c>
      <c r="R246" s="400">
        <f>Q246*P246*1000</f>
        <v>3030300</v>
      </c>
      <c r="S246" s="400">
        <f t="shared" si="372"/>
        <v>3030300</v>
      </c>
    </row>
    <row r="247" spans="1:19" s="515" customFormat="1" x14ac:dyDescent="0.25">
      <c r="A247" s="751"/>
      <c r="B247" s="443" t="s">
        <v>483</v>
      </c>
      <c r="C247" s="748"/>
      <c r="D247" s="751"/>
      <c r="E247" s="751">
        <f>SUM(E248:E255)</f>
        <v>0</v>
      </c>
      <c r="F247" s="751">
        <f t="shared" ref="F247:S247" si="375">SUM(F248:F255)</f>
        <v>0</v>
      </c>
      <c r="G247" s="751">
        <f t="shared" si="375"/>
        <v>1300</v>
      </c>
      <c r="H247" s="751">
        <f t="shared" si="375"/>
        <v>650</v>
      </c>
      <c r="I247" s="751">
        <f t="shared" si="375"/>
        <v>650</v>
      </c>
      <c r="J247" s="751">
        <f t="shared" si="375"/>
        <v>32.32</v>
      </c>
      <c r="K247" s="751">
        <f t="shared" si="375"/>
        <v>14.358999999999998</v>
      </c>
      <c r="L247" s="751">
        <f t="shared" si="375"/>
        <v>4.45</v>
      </c>
      <c r="M247" s="751">
        <f t="shared" si="375"/>
        <v>0</v>
      </c>
      <c r="N247" s="751">
        <f t="shared" si="375"/>
        <v>0</v>
      </c>
      <c r="O247" s="751">
        <f t="shared" si="375"/>
        <v>0</v>
      </c>
      <c r="P247" s="751">
        <f t="shared" si="375"/>
        <v>2711.6</v>
      </c>
      <c r="Q247" s="751">
        <f t="shared" si="375"/>
        <v>104</v>
      </c>
      <c r="R247" s="751">
        <f t="shared" si="375"/>
        <v>35250800</v>
      </c>
      <c r="S247" s="751">
        <f t="shared" si="375"/>
        <v>35250800</v>
      </c>
    </row>
    <row r="248" spans="1:19" x14ac:dyDescent="0.25">
      <c r="A248" s="422"/>
      <c r="C248" s="443" t="s">
        <v>713</v>
      </c>
      <c r="D248" s="422"/>
      <c r="E248" s="422"/>
      <c r="F248" s="443" t="s">
        <v>586</v>
      </c>
      <c r="G248" s="400">
        <f t="shared" si="368"/>
        <v>50</v>
      </c>
      <c r="H248" s="690"/>
      <c r="I248" s="422">
        <v>50</v>
      </c>
      <c r="J248" s="422">
        <v>4.38</v>
      </c>
      <c r="K248" s="422">
        <f t="shared" si="369"/>
        <v>3.9419999999999997</v>
      </c>
      <c r="L248" s="422">
        <v>0.1</v>
      </c>
      <c r="M248" s="400"/>
      <c r="N248" s="400"/>
      <c r="O248" s="400"/>
      <c r="P248" s="422">
        <f>I248*J248*L248</f>
        <v>21.900000000000002</v>
      </c>
      <c r="Q248" s="400">
        <v>13</v>
      </c>
      <c r="R248" s="400">
        <f t="shared" ref="R248:R263" si="376">P248*Q248*1000</f>
        <v>284700.00000000006</v>
      </c>
      <c r="S248" s="400">
        <f t="shared" si="372"/>
        <v>284700.00000000006</v>
      </c>
    </row>
    <row r="249" spans="1:19" x14ac:dyDescent="0.25">
      <c r="A249" s="422"/>
      <c r="B249" s="443"/>
      <c r="C249" s="443"/>
      <c r="D249" s="422"/>
      <c r="E249" s="422"/>
      <c r="F249" s="443"/>
      <c r="G249" s="400">
        <f t="shared" si="368"/>
        <v>50</v>
      </c>
      <c r="H249" s="690">
        <v>50</v>
      </c>
      <c r="I249" s="422"/>
      <c r="J249" s="422">
        <v>4.38</v>
      </c>
      <c r="K249" s="422">
        <f t="shared" si="369"/>
        <v>0</v>
      </c>
      <c r="L249" s="422">
        <v>1</v>
      </c>
      <c r="M249" s="400"/>
      <c r="N249" s="400"/>
      <c r="O249" s="400"/>
      <c r="P249" s="422">
        <f>H249*J249*L249</f>
        <v>219</v>
      </c>
      <c r="Q249" s="400">
        <v>13</v>
      </c>
      <c r="R249" s="400">
        <f t="shared" si="376"/>
        <v>2847000</v>
      </c>
      <c r="S249" s="400">
        <f t="shared" si="372"/>
        <v>2847000</v>
      </c>
    </row>
    <row r="250" spans="1:19" x14ac:dyDescent="0.25">
      <c r="A250" s="422"/>
      <c r="B250" s="443"/>
      <c r="C250" s="443"/>
      <c r="D250" s="422"/>
      <c r="E250" s="422"/>
      <c r="F250" s="443" t="s">
        <v>474</v>
      </c>
      <c r="G250" s="400">
        <f t="shared" si="368"/>
        <v>150</v>
      </c>
      <c r="H250" s="1043"/>
      <c r="I250" s="1044">
        <v>150</v>
      </c>
      <c r="J250" s="1044">
        <v>4.38</v>
      </c>
      <c r="K250" s="1044">
        <f>J251-(J251*L250)</f>
        <v>3.9419999999999997</v>
      </c>
      <c r="L250" s="1044">
        <v>0.1</v>
      </c>
      <c r="M250" s="491"/>
      <c r="N250" s="491"/>
      <c r="O250" s="491"/>
      <c r="P250" s="422">
        <f>I250*J251*L250</f>
        <v>65.7</v>
      </c>
      <c r="Q250" s="400">
        <v>13</v>
      </c>
      <c r="R250" s="491">
        <f>P250*Q250*1000</f>
        <v>854100</v>
      </c>
      <c r="S250" s="491">
        <f t="shared" si="372"/>
        <v>854100</v>
      </c>
    </row>
    <row r="251" spans="1:19" x14ac:dyDescent="0.25">
      <c r="A251" s="422"/>
      <c r="B251" s="443"/>
      <c r="C251" s="443"/>
      <c r="D251" s="422"/>
      <c r="E251" s="422"/>
      <c r="F251" s="443" t="s">
        <v>474</v>
      </c>
      <c r="G251" s="400">
        <f t="shared" si="368"/>
        <v>150</v>
      </c>
      <c r="H251" s="1043">
        <v>150</v>
      </c>
      <c r="I251" s="1044"/>
      <c r="J251" s="1044">
        <v>4.38</v>
      </c>
      <c r="K251" s="1044"/>
      <c r="L251" s="1044">
        <v>1</v>
      </c>
      <c r="M251" s="491"/>
      <c r="N251" s="491"/>
      <c r="O251" s="491"/>
      <c r="P251" s="422">
        <f>H251*J252*L251</f>
        <v>555</v>
      </c>
      <c r="Q251" s="400">
        <v>13</v>
      </c>
      <c r="R251" s="491">
        <f t="shared" si="376"/>
        <v>7215000</v>
      </c>
      <c r="S251" s="491">
        <f t="shared" si="372"/>
        <v>7215000</v>
      </c>
    </row>
    <row r="252" spans="1:19" x14ac:dyDescent="0.25">
      <c r="A252" s="422"/>
      <c r="B252" s="443"/>
      <c r="C252" s="443" t="s">
        <v>716</v>
      </c>
      <c r="D252" s="422"/>
      <c r="E252" s="422"/>
      <c r="F252" s="443" t="s">
        <v>474</v>
      </c>
      <c r="G252" s="400">
        <f t="shared" si="368"/>
        <v>350</v>
      </c>
      <c r="H252" s="1043"/>
      <c r="I252" s="1044">
        <v>350</v>
      </c>
      <c r="J252" s="1044">
        <v>3.7</v>
      </c>
      <c r="K252" s="1044">
        <f t="shared" si="369"/>
        <v>3.33</v>
      </c>
      <c r="L252" s="1044">
        <v>0.1</v>
      </c>
      <c r="M252" s="491"/>
      <c r="N252" s="491"/>
      <c r="O252" s="491"/>
      <c r="P252" s="422">
        <f>I252*J252*L252</f>
        <v>129.5</v>
      </c>
      <c r="Q252" s="400">
        <v>13</v>
      </c>
      <c r="R252" s="491">
        <f t="shared" si="376"/>
        <v>1683500</v>
      </c>
      <c r="S252" s="491">
        <f t="shared" si="372"/>
        <v>1683500</v>
      </c>
    </row>
    <row r="253" spans="1:19" x14ac:dyDescent="0.25">
      <c r="A253" s="422"/>
      <c r="B253" s="443"/>
      <c r="C253" s="443"/>
      <c r="D253" s="422"/>
      <c r="E253" s="422"/>
      <c r="F253" s="443" t="s">
        <v>474</v>
      </c>
      <c r="G253" s="400">
        <f t="shared" si="368"/>
        <v>250</v>
      </c>
      <c r="H253" s="1043">
        <v>250</v>
      </c>
      <c r="I253" s="1044"/>
      <c r="J253" s="1044">
        <v>3.7</v>
      </c>
      <c r="K253" s="1044"/>
      <c r="L253" s="1044">
        <v>1</v>
      </c>
      <c r="M253" s="491"/>
      <c r="N253" s="491"/>
      <c r="O253" s="491"/>
      <c r="P253" s="422">
        <f>H253*J253*L253</f>
        <v>925</v>
      </c>
      <c r="Q253" s="400">
        <v>13</v>
      </c>
      <c r="R253" s="491">
        <f t="shared" si="376"/>
        <v>12025000</v>
      </c>
      <c r="S253" s="491">
        <f t="shared" si="372"/>
        <v>12025000</v>
      </c>
    </row>
    <row r="254" spans="1:19" x14ac:dyDescent="0.25">
      <c r="A254" s="422"/>
      <c r="B254" s="443"/>
      <c r="C254" s="443"/>
      <c r="D254" s="422"/>
      <c r="E254" s="422"/>
      <c r="F254" s="443" t="s">
        <v>586</v>
      </c>
      <c r="G254" s="400">
        <f t="shared" si="368"/>
        <v>100</v>
      </c>
      <c r="H254" s="1043"/>
      <c r="I254" s="1044">
        <v>100</v>
      </c>
      <c r="J254" s="1044">
        <v>3.7</v>
      </c>
      <c r="K254" s="1044">
        <f t="shared" si="369"/>
        <v>3.145</v>
      </c>
      <c r="L254" s="1044">
        <v>0.15</v>
      </c>
      <c r="M254" s="491"/>
      <c r="N254" s="491"/>
      <c r="O254" s="491"/>
      <c r="P254" s="422">
        <f>I254*J254*L254</f>
        <v>55.5</v>
      </c>
      <c r="Q254" s="400">
        <v>13</v>
      </c>
      <c r="R254" s="491">
        <f t="shared" si="376"/>
        <v>721500</v>
      </c>
      <c r="S254" s="491">
        <f t="shared" si="372"/>
        <v>721500</v>
      </c>
    </row>
    <row r="255" spans="1:19" x14ac:dyDescent="0.25">
      <c r="A255" s="422"/>
      <c r="B255" s="443"/>
      <c r="C255" s="443"/>
      <c r="D255" s="422"/>
      <c r="E255" s="422"/>
      <c r="F255" s="443" t="s">
        <v>586</v>
      </c>
      <c r="G255" s="400">
        <f t="shared" si="368"/>
        <v>200</v>
      </c>
      <c r="H255" s="1043">
        <v>200</v>
      </c>
      <c r="I255" s="1044"/>
      <c r="J255" s="1044">
        <v>3.7</v>
      </c>
      <c r="K255" s="1044"/>
      <c r="L255" s="1044">
        <v>1</v>
      </c>
      <c r="M255" s="491"/>
      <c r="N255" s="491"/>
      <c r="O255" s="491"/>
      <c r="P255" s="422">
        <f>H255*J255*L255</f>
        <v>740</v>
      </c>
      <c r="Q255" s="400">
        <v>13</v>
      </c>
      <c r="R255" s="491">
        <f t="shared" si="376"/>
        <v>9620000</v>
      </c>
      <c r="S255" s="491">
        <f t="shared" si="372"/>
        <v>9620000</v>
      </c>
    </row>
    <row r="256" spans="1:19" s="515" customFormat="1" x14ac:dyDescent="0.25">
      <c r="A256" s="751"/>
      <c r="B256" s="443" t="s">
        <v>909</v>
      </c>
      <c r="C256" s="748"/>
      <c r="D256" s="751"/>
      <c r="E256" s="751">
        <f>SUM(E257:E261)</f>
        <v>0</v>
      </c>
      <c r="F256" s="751">
        <f t="shared" ref="F256:S256" si="377">SUM(F257:F261)</f>
        <v>0</v>
      </c>
      <c r="G256" s="751">
        <f t="shared" si="377"/>
        <v>2463</v>
      </c>
      <c r="H256" s="751">
        <f t="shared" si="377"/>
        <v>2438</v>
      </c>
      <c r="I256" s="751">
        <f t="shared" si="377"/>
        <v>25</v>
      </c>
      <c r="J256" s="751">
        <f t="shared" si="377"/>
        <v>21.22</v>
      </c>
      <c r="K256" s="751">
        <f t="shared" si="377"/>
        <v>7.2720000000000002</v>
      </c>
      <c r="L256" s="751">
        <f t="shared" si="377"/>
        <v>3.2</v>
      </c>
      <c r="M256" s="751">
        <f t="shared" si="377"/>
        <v>0</v>
      </c>
      <c r="N256" s="751">
        <f t="shared" si="377"/>
        <v>0</v>
      </c>
      <c r="O256" s="751">
        <f t="shared" si="377"/>
        <v>0</v>
      </c>
      <c r="P256" s="751">
        <f t="shared" si="377"/>
        <v>10689.050000000001</v>
      </c>
      <c r="Q256" s="751">
        <f t="shared" si="377"/>
        <v>65</v>
      </c>
      <c r="R256" s="751">
        <f t="shared" si="377"/>
        <v>138957650</v>
      </c>
      <c r="S256" s="751">
        <f t="shared" si="377"/>
        <v>138957650</v>
      </c>
    </row>
    <row r="257" spans="1:19" x14ac:dyDescent="0.25">
      <c r="A257" s="422"/>
      <c r="C257" s="443" t="s">
        <v>713</v>
      </c>
      <c r="D257" s="422"/>
      <c r="E257" s="422"/>
      <c r="F257" s="443" t="s">
        <v>474</v>
      </c>
      <c r="G257" s="400">
        <f t="shared" si="368"/>
        <v>20</v>
      </c>
      <c r="H257" s="690"/>
      <c r="I257" s="422">
        <v>20</v>
      </c>
      <c r="J257" s="422">
        <v>4.38</v>
      </c>
      <c r="K257" s="422">
        <f t="shared" si="369"/>
        <v>3.9419999999999997</v>
      </c>
      <c r="L257" s="422">
        <v>0.1</v>
      </c>
      <c r="M257" s="400"/>
      <c r="N257" s="400"/>
      <c r="O257" s="400"/>
      <c r="P257" s="422">
        <f>I257*J257*L257</f>
        <v>8.76</v>
      </c>
      <c r="Q257" s="400">
        <v>13</v>
      </c>
      <c r="R257" s="400">
        <f>P257*Q257*1000</f>
        <v>113880</v>
      </c>
      <c r="S257" s="400">
        <f>R257+O257</f>
        <v>113880</v>
      </c>
    </row>
    <row r="258" spans="1:19" x14ac:dyDescent="0.25">
      <c r="A258" s="422"/>
      <c r="B258" s="443"/>
      <c r="C258" s="443" t="s">
        <v>716</v>
      </c>
      <c r="D258" s="422"/>
      <c r="E258" s="422"/>
      <c r="F258" s="443" t="s">
        <v>474</v>
      </c>
      <c r="G258" s="400">
        <f t="shared" si="368"/>
        <v>5</v>
      </c>
      <c r="H258" s="690"/>
      <c r="I258" s="422">
        <v>5</v>
      </c>
      <c r="J258" s="422">
        <v>3.7</v>
      </c>
      <c r="K258" s="422">
        <f t="shared" si="369"/>
        <v>3.33</v>
      </c>
      <c r="L258" s="422">
        <v>0.1</v>
      </c>
      <c r="M258" s="400"/>
      <c r="N258" s="400"/>
      <c r="O258" s="400"/>
      <c r="P258" s="422">
        <f>I258*J258*L258</f>
        <v>1.85</v>
      </c>
      <c r="Q258" s="400">
        <v>13</v>
      </c>
      <c r="R258" s="400">
        <f>P258*Q258*1000</f>
        <v>24050</v>
      </c>
      <c r="S258" s="400">
        <f>R258+O258</f>
        <v>24050</v>
      </c>
    </row>
    <row r="259" spans="1:19" x14ac:dyDescent="0.25">
      <c r="A259" s="422"/>
      <c r="B259" s="443"/>
      <c r="C259" s="443"/>
      <c r="D259" s="422"/>
      <c r="E259" s="422"/>
      <c r="F259" s="443" t="s">
        <v>474</v>
      </c>
      <c r="G259" s="400">
        <f t="shared" si="368"/>
        <v>4</v>
      </c>
      <c r="H259" s="690">
        <v>4</v>
      </c>
      <c r="I259" s="422"/>
      <c r="J259" s="422">
        <v>4.38</v>
      </c>
      <c r="K259" s="422">
        <f t="shared" si="369"/>
        <v>0</v>
      </c>
      <c r="L259" s="422">
        <v>1</v>
      </c>
      <c r="M259" s="400"/>
      <c r="N259" s="400"/>
      <c r="O259" s="400"/>
      <c r="P259" s="422">
        <f>H259*J259*L259</f>
        <v>17.52</v>
      </c>
      <c r="Q259" s="400">
        <v>13</v>
      </c>
      <c r="R259" s="400">
        <f t="shared" si="376"/>
        <v>227760</v>
      </c>
      <c r="S259" s="400">
        <f t="shared" si="372"/>
        <v>227760</v>
      </c>
    </row>
    <row r="260" spans="1:19" x14ac:dyDescent="0.25">
      <c r="A260" s="422"/>
      <c r="B260" s="443"/>
      <c r="C260" s="443"/>
      <c r="D260" s="422"/>
      <c r="E260" s="422"/>
      <c r="F260" s="443" t="s">
        <v>586</v>
      </c>
      <c r="G260" s="400">
        <f t="shared" si="368"/>
        <v>5</v>
      </c>
      <c r="H260" s="690">
        <v>5</v>
      </c>
      <c r="I260" s="422"/>
      <c r="J260" s="422">
        <v>4.38</v>
      </c>
      <c r="K260" s="422">
        <f t="shared" si="369"/>
        <v>0</v>
      </c>
      <c r="L260" s="422">
        <v>1</v>
      </c>
      <c r="M260" s="400"/>
      <c r="N260" s="400"/>
      <c r="O260" s="400"/>
      <c r="P260" s="422">
        <f>H260*J260*L260</f>
        <v>21.9</v>
      </c>
      <c r="Q260" s="400">
        <v>13</v>
      </c>
      <c r="R260" s="400">
        <f t="shared" si="376"/>
        <v>284700</v>
      </c>
      <c r="S260" s="400">
        <f t="shared" si="372"/>
        <v>284700</v>
      </c>
    </row>
    <row r="261" spans="1:19" x14ac:dyDescent="0.25">
      <c r="A261" s="422"/>
      <c r="B261" s="443" t="s">
        <v>882</v>
      </c>
      <c r="C261" s="443"/>
      <c r="D261" s="422"/>
      <c r="E261" s="422"/>
      <c r="F261" s="443" t="s">
        <v>474</v>
      </c>
      <c r="G261" s="400">
        <f t="shared" si="368"/>
        <v>2429</v>
      </c>
      <c r="H261" s="690">
        <v>2429</v>
      </c>
      <c r="I261" s="422"/>
      <c r="J261" s="422">
        <v>4.38</v>
      </c>
      <c r="K261" s="422">
        <f t="shared" si="369"/>
        <v>0</v>
      </c>
      <c r="L261" s="422">
        <v>1</v>
      </c>
      <c r="M261" s="400"/>
      <c r="N261" s="400"/>
      <c r="O261" s="400"/>
      <c r="P261" s="422">
        <f>H261*J261*L261</f>
        <v>10639.02</v>
      </c>
      <c r="Q261" s="400">
        <v>13</v>
      </c>
      <c r="R261" s="400">
        <f t="shared" si="376"/>
        <v>138307260</v>
      </c>
      <c r="S261" s="400">
        <f t="shared" si="372"/>
        <v>138307260</v>
      </c>
    </row>
    <row r="262" spans="1:19" s="515" customFormat="1" x14ac:dyDescent="0.25">
      <c r="A262" s="751"/>
      <c r="B262" s="443" t="s">
        <v>624</v>
      </c>
      <c r="C262" s="748"/>
      <c r="D262" s="751"/>
      <c r="E262" s="751">
        <f>SUM(E263:E269)</f>
        <v>0</v>
      </c>
      <c r="F262" s="751">
        <f t="shared" ref="F262:S262" si="378">SUM(F263:F269)</f>
        <v>0</v>
      </c>
      <c r="G262" s="751">
        <f t="shared" si="378"/>
        <v>4986.7</v>
      </c>
      <c r="H262" s="751">
        <f t="shared" si="378"/>
        <v>1090.3</v>
      </c>
      <c r="I262" s="751">
        <f t="shared" si="378"/>
        <v>3896.4</v>
      </c>
      <c r="J262" s="751">
        <f t="shared" si="378"/>
        <v>28.619999999999997</v>
      </c>
      <c r="K262" s="751">
        <f t="shared" si="378"/>
        <v>20.823</v>
      </c>
      <c r="L262" s="751">
        <f t="shared" si="378"/>
        <v>1.85</v>
      </c>
      <c r="M262" s="751">
        <f t="shared" si="378"/>
        <v>1304.1764000000003</v>
      </c>
      <c r="N262" s="751">
        <f t="shared" si="378"/>
        <v>32215</v>
      </c>
      <c r="O262" s="751">
        <f t="shared" si="378"/>
        <v>7563768</v>
      </c>
      <c r="P262" s="751">
        <f t="shared" si="378"/>
        <v>1045.643</v>
      </c>
      <c r="Q262" s="751">
        <f t="shared" si="378"/>
        <v>52</v>
      </c>
      <c r="R262" s="751">
        <f t="shared" si="378"/>
        <v>13593359</v>
      </c>
      <c r="S262" s="751">
        <f t="shared" si="378"/>
        <v>21157127</v>
      </c>
    </row>
    <row r="263" spans="1:19" x14ac:dyDescent="0.25">
      <c r="A263" s="422"/>
      <c r="C263" s="443" t="s">
        <v>713</v>
      </c>
      <c r="D263" s="422"/>
      <c r="E263" s="422"/>
      <c r="F263" s="443" t="s">
        <v>474</v>
      </c>
      <c r="G263" s="400">
        <f t="shared" si="368"/>
        <v>851</v>
      </c>
      <c r="H263" s="690"/>
      <c r="I263" s="422">
        <v>851</v>
      </c>
      <c r="J263" s="422">
        <v>4.38</v>
      </c>
      <c r="K263" s="422">
        <f t="shared" si="369"/>
        <v>3.9419999999999997</v>
      </c>
      <c r="L263" s="422">
        <v>0.1</v>
      </c>
      <c r="M263" s="400"/>
      <c r="N263" s="400"/>
      <c r="O263" s="400"/>
      <c r="P263" s="422">
        <f>I263*J263*L263</f>
        <v>372.73800000000006</v>
      </c>
      <c r="Q263" s="400">
        <v>13</v>
      </c>
      <c r="R263" s="400">
        <f t="shared" si="376"/>
        <v>4845594.0000000009</v>
      </c>
      <c r="S263" s="400">
        <f t="shared" si="372"/>
        <v>4845594.0000000009</v>
      </c>
    </row>
    <row r="264" spans="1:19" x14ac:dyDescent="0.25">
      <c r="A264" s="422"/>
      <c r="B264" s="443"/>
      <c r="C264" s="443"/>
      <c r="D264" s="422"/>
      <c r="E264" s="422"/>
      <c r="F264" s="443" t="s">
        <v>482</v>
      </c>
      <c r="G264" s="400">
        <f t="shared" si="368"/>
        <v>1090.3</v>
      </c>
      <c r="H264" s="690">
        <v>1090.3</v>
      </c>
      <c r="I264" s="422"/>
      <c r="J264" s="422">
        <v>4.38</v>
      </c>
      <c r="K264" s="422">
        <f t="shared" si="369"/>
        <v>0</v>
      </c>
      <c r="L264" s="422">
        <v>1</v>
      </c>
      <c r="M264" s="400"/>
      <c r="N264" s="400">
        <v>1400</v>
      </c>
      <c r="O264" s="400">
        <f>N264*L264*H264</f>
        <v>1526420</v>
      </c>
      <c r="P264" s="422"/>
      <c r="Q264" s="400"/>
      <c r="R264" s="400"/>
      <c r="S264" s="400">
        <f t="shared" si="372"/>
        <v>1526420</v>
      </c>
    </row>
    <row r="265" spans="1:19" x14ac:dyDescent="0.25">
      <c r="A265" s="422"/>
      <c r="B265" s="443"/>
      <c r="C265" s="443"/>
      <c r="D265" s="422"/>
      <c r="E265" s="422"/>
      <c r="F265" s="443" t="s">
        <v>539</v>
      </c>
      <c r="G265" s="400">
        <f t="shared" si="368"/>
        <v>1373.9</v>
      </c>
      <c r="H265" s="690"/>
      <c r="I265" s="422">
        <v>1373.9</v>
      </c>
      <c r="J265" s="422">
        <v>4.38</v>
      </c>
      <c r="K265" s="422">
        <f t="shared" si="369"/>
        <v>3.504</v>
      </c>
      <c r="L265" s="422">
        <v>0.2</v>
      </c>
      <c r="M265" s="400">
        <f>I265*J265*L265</f>
        <v>1203.5364000000002</v>
      </c>
      <c r="N265" s="400">
        <v>21000</v>
      </c>
      <c r="O265" s="400">
        <f>N265*L265*I265</f>
        <v>5770380</v>
      </c>
      <c r="P265" s="422"/>
      <c r="Q265" s="400"/>
      <c r="R265" s="400"/>
      <c r="S265" s="400">
        <f t="shared" si="372"/>
        <v>5770380</v>
      </c>
    </row>
    <row r="266" spans="1:19" x14ac:dyDescent="0.25">
      <c r="A266" s="422"/>
      <c r="B266" s="443"/>
      <c r="C266" s="443"/>
      <c r="D266" s="422"/>
      <c r="E266" s="422"/>
      <c r="F266" s="443" t="s">
        <v>586</v>
      </c>
      <c r="G266" s="400">
        <f t="shared" si="368"/>
        <v>822.5</v>
      </c>
      <c r="H266" s="690"/>
      <c r="I266" s="422">
        <v>822.5</v>
      </c>
      <c r="J266" s="422">
        <v>4.38</v>
      </c>
      <c r="K266" s="422">
        <f t="shared" si="369"/>
        <v>3.9419999999999997</v>
      </c>
      <c r="L266" s="422">
        <v>0.1</v>
      </c>
      <c r="M266" s="400"/>
      <c r="N266" s="400"/>
      <c r="O266" s="400"/>
      <c r="P266" s="422">
        <f>I266*J266*L266</f>
        <v>360.255</v>
      </c>
      <c r="Q266" s="400">
        <v>13</v>
      </c>
      <c r="R266" s="400">
        <f t="shared" ref="R266" si="379">P266*Q266*1000</f>
        <v>4683315</v>
      </c>
      <c r="S266" s="400">
        <f t="shared" si="372"/>
        <v>4683315</v>
      </c>
    </row>
    <row r="267" spans="1:19" x14ac:dyDescent="0.25">
      <c r="A267" s="422"/>
      <c r="B267" s="443"/>
      <c r="C267" s="443" t="s">
        <v>716</v>
      </c>
      <c r="D267" s="422"/>
      <c r="E267" s="422"/>
      <c r="F267" s="443" t="s">
        <v>539</v>
      </c>
      <c r="G267" s="400">
        <f t="shared" si="368"/>
        <v>136</v>
      </c>
      <c r="H267" s="690"/>
      <c r="I267" s="422">
        <v>136</v>
      </c>
      <c r="J267" s="422">
        <v>3.7</v>
      </c>
      <c r="K267" s="422">
        <f t="shared" si="369"/>
        <v>2.96</v>
      </c>
      <c r="L267" s="422">
        <v>0.2</v>
      </c>
      <c r="M267" s="400">
        <f>I267*J267*L267</f>
        <v>100.64000000000001</v>
      </c>
      <c r="N267" s="400">
        <v>9815</v>
      </c>
      <c r="O267" s="400">
        <f>N267*L267*I267</f>
        <v>266968</v>
      </c>
      <c r="P267" s="422"/>
      <c r="Q267" s="400"/>
      <c r="R267" s="400"/>
      <c r="S267" s="400">
        <f t="shared" si="372"/>
        <v>266968</v>
      </c>
    </row>
    <row r="268" spans="1:19" x14ac:dyDescent="0.25">
      <c r="A268" s="422"/>
      <c r="B268" s="443"/>
      <c r="C268" s="443"/>
      <c r="D268" s="422"/>
      <c r="E268" s="422"/>
      <c r="F268" s="443" t="s">
        <v>586</v>
      </c>
      <c r="G268" s="400">
        <f t="shared" si="368"/>
        <v>264</v>
      </c>
      <c r="H268" s="690"/>
      <c r="I268" s="422">
        <v>264</v>
      </c>
      <c r="J268" s="422">
        <v>3.7</v>
      </c>
      <c r="K268" s="422">
        <f t="shared" si="369"/>
        <v>3.145</v>
      </c>
      <c r="L268" s="422">
        <v>0.15</v>
      </c>
      <c r="M268" s="400"/>
      <c r="N268" s="400"/>
      <c r="O268" s="400"/>
      <c r="P268" s="422">
        <f>I268*J268*L268</f>
        <v>146.52000000000001</v>
      </c>
      <c r="Q268" s="400">
        <v>13</v>
      </c>
      <c r="R268" s="400">
        <f t="shared" ref="R268:R269" si="380">P268*Q268*1000</f>
        <v>1904760.0000000002</v>
      </c>
      <c r="S268" s="400">
        <f t="shared" si="372"/>
        <v>1904760.0000000002</v>
      </c>
    </row>
    <row r="269" spans="1:19" x14ac:dyDescent="0.25">
      <c r="A269" s="422"/>
      <c r="B269" s="443"/>
      <c r="C269" s="443"/>
      <c r="D269" s="422"/>
      <c r="E269" s="422"/>
      <c r="F269" s="443" t="s">
        <v>474</v>
      </c>
      <c r="G269" s="400">
        <f t="shared" si="368"/>
        <v>449</v>
      </c>
      <c r="H269" s="690"/>
      <c r="I269" s="422">
        <v>449</v>
      </c>
      <c r="J269" s="422">
        <v>3.7</v>
      </c>
      <c r="K269" s="422">
        <f t="shared" si="369"/>
        <v>3.33</v>
      </c>
      <c r="L269" s="422">
        <v>0.1</v>
      </c>
      <c r="M269" s="400"/>
      <c r="N269" s="400"/>
      <c r="O269" s="400"/>
      <c r="P269" s="422">
        <f>I269*J269*L269</f>
        <v>166.13000000000002</v>
      </c>
      <c r="Q269" s="400">
        <v>13</v>
      </c>
      <c r="R269" s="400">
        <f t="shared" si="380"/>
        <v>2159690.0000000005</v>
      </c>
      <c r="S269" s="400">
        <f t="shared" si="372"/>
        <v>2159690.0000000005</v>
      </c>
    </row>
    <row r="270" spans="1:19" s="515" customFormat="1" x14ac:dyDescent="0.25">
      <c r="A270" s="751"/>
      <c r="B270" s="443" t="s">
        <v>623</v>
      </c>
      <c r="C270" s="748"/>
      <c r="D270" s="751"/>
      <c r="E270" s="751">
        <f>SUM(E271:E275)</f>
        <v>0</v>
      </c>
      <c r="F270" s="751">
        <f t="shared" ref="F270:S270" si="381">SUM(F271:F275)</f>
        <v>0</v>
      </c>
      <c r="G270" s="751">
        <f t="shared" si="381"/>
        <v>1110</v>
      </c>
      <c r="H270" s="751">
        <f t="shared" si="381"/>
        <v>250</v>
      </c>
      <c r="I270" s="751">
        <f t="shared" si="381"/>
        <v>860</v>
      </c>
      <c r="J270" s="751">
        <f t="shared" si="381"/>
        <v>21.9</v>
      </c>
      <c r="K270" s="751">
        <f t="shared" si="381"/>
        <v>10.95</v>
      </c>
      <c r="L270" s="751">
        <f t="shared" si="381"/>
        <v>2.5000000000000004</v>
      </c>
      <c r="M270" s="751">
        <f t="shared" si="381"/>
        <v>0</v>
      </c>
      <c r="N270" s="751">
        <f t="shared" si="381"/>
        <v>24000</v>
      </c>
      <c r="O270" s="751">
        <f t="shared" si="381"/>
        <v>2640000</v>
      </c>
      <c r="P270" s="751">
        <f t="shared" si="381"/>
        <v>374.49</v>
      </c>
      <c r="Q270" s="751">
        <f t="shared" si="381"/>
        <v>26</v>
      </c>
      <c r="R270" s="751">
        <f t="shared" si="381"/>
        <v>4868370</v>
      </c>
      <c r="S270" s="751">
        <f t="shared" si="381"/>
        <v>7508370</v>
      </c>
    </row>
    <row r="271" spans="1:19" x14ac:dyDescent="0.25">
      <c r="A271" s="422"/>
      <c r="C271" s="443"/>
      <c r="D271" s="422"/>
      <c r="E271" s="422"/>
      <c r="F271" s="443" t="s">
        <v>586</v>
      </c>
      <c r="G271" s="400">
        <f t="shared" si="368"/>
        <v>215</v>
      </c>
      <c r="H271" s="690"/>
      <c r="I271" s="422">
        <v>215</v>
      </c>
      <c r="J271" s="422">
        <v>4.38</v>
      </c>
      <c r="K271" s="422">
        <f t="shared" si="369"/>
        <v>3.504</v>
      </c>
      <c r="L271" s="422">
        <v>0.2</v>
      </c>
      <c r="M271" s="400"/>
      <c r="N271" s="400"/>
      <c r="O271" s="400"/>
      <c r="P271" s="422">
        <f>I271*J271*L271</f>
        <v>188.34</v>
      </c>
      <c r="Q271" s="400">
        <v>13</v>
      </c>
      <c r="R271" s="400">
        <f>P271*Q271*1000</f>
        <v>2448420</v>
      </c>
      <c r="S271" s="400">
        <f t="shared" si="372"/>
        <v>2448420</v>
      </c>
    </row>
    <row r="272" spans="1:19" x14ac:dyDescent="0.25">
      <c r="A272" s="422"/>
      <c r="B272" s="443"/>
      <c r="C272" s="443"/>
      <c r="D272" s="422"/>
      <c r="E272" s="422"/>
      <c r="F272" s="443" t="s">
        <v>482</v>
      </c>
      <c r="G272" s="400">
        <f t="shared" si="368"/>
        <v>50</v>
      </c>
      <c r="H272" s="690">
        <v>50</v>
      </c>
      <c r="I272" s="422">
        <v>0</v>
      </c>
      <c r="J272" s="422">
        <v>4.38</v>
      </c>
      <c r="K272" s="422">
        <f t="shared" si="369"/>
        <v>0</v>
      </c>
      <c r="L272" s="422">
        <v>1</v>
      </c>
      <c r="M272" s="400"/>
      <c r="N272" s="400">
        <v>4000</v>
      </c>
      <c r="O272" s="400">
        <f>N272*H272*L272</f>
        <v>200000</v>
      </c>
      <c r="P272" s="422"/>
      <c r="Q272" s="400"/>
      <c r="R272" s="400"/>
      <c r="S272" s="400">
        <f t="shared" si="372"/>
        <v>200000</v>
      </c>
    </row>
    <row r="273" spans="1:19" x14ac:dyDescent="0.25">
      <c r="A273" s="422"/>
      <c r="B273" s="443"/>
      <c r="C273" s="443"/>
      <c r="D273" s="422"/>
      <c r="E273" s="422"/>
      <c r="F273" s="443" t="s">
        <v>799</v>
      </c>
      <c r="G273" s="400">
        <f t="shared" si="368"/>
        <v>200</v>
      </c>
      <c r="H273" s="690">
        <v>200</v>
      </c>
      <c r="I273" s="422"/>
      <c r="J273" s="422">
        <v>4.38</v>
      </c>
      <c r="K273" s="422">
        <f t="shared" si="369"/>
        <v>0</v>
      </c>
      <c r="L273" s="422">
        <v>1</v>
      </c>
      <c r="M273" s="400"/>
      <c r="N273" s="400">
        <v>10000</v>
      </c>
      <c r="O273" s="400">
        <f t="shared" ref="O273" si="382">N273*H273*L273</f>
        <v>2000000</v>
      </c>
      <c r="P273" s="422"/>
      <c r="Q273" s="400"/>
      <c r="R273" s="400"/>
      <c r="S273" s="400">
        <f t="shared" si="372"/>
        <v>2000000</v>
      </c>
    </row>
    <row r="274" spans="1:19" x14ac:dyDescent="0.25">
      <c r="A274" s="422"/>
      <c r="B274" s="443"/>
      <c r="C274" s="443"/>
      <c r="D274" s="422"/>
      <c r="E274" s="422"/>
      <c r="F274" s="443" t="s">
        <v>799</v>
      </c>
      <c r="G274" s="400">
        <f t="shared" si="368"/>
        <v>220</v>
      </c>
      <c r="H274" s="690"/>
      <c r="I274" s="422">
        <v>220</v>
      </c>
      <c r="J274" s="422">
        <v>4.38</v>
      </c>
      <c r="K274" s="422">
        <f t="shared" si="369"/>
        <v>3.504</v>
      </c>
      <c r="L274" s="422">
        <v>0.2</v>
      </c>
      <c r="M274" s="400"/>
      <c r="N274" s="400">
        <v>10000</v>
      </c>
      <c r="O274" s="400">
        <f>N274*I274*L274</f>
        <v>440000</v>
      </c>
      <c r="P274" s="422"/>
      <c r="Q274" s="400"/>
      <c r="R274" s="400"/>
      <c r="S274" s="400">
        <f t="shared" si="372"/>
        <v>440000</v>
      </c>
    </row>
    <row r="275" spans="1:19" x14ac:dyDescent="0.25">
      <c r="A275" s="422"/>
      <c r="B275" s="443"/>
      <c r="C275" s="443"/>
      <c r="D275" s="422"/>
      <c r="E275" s="422"/>
      <c r="F275" s="443" t="s">
        <v>474</v>
      </c>
      <c r="G275" s="400">
        <f>H275+I275</f>
        <v>425</v>
      </c>
      <c r="H275" s="690"/>
      <c r="I275" s="422">
        <v>425</v>
      </c>
      <c r="J275" s="422">
        <v>4.38</v>
      </c>
      <c r="K275" s="422">
        <f t="shared" si="369"/>
        <v>3.9419999999999997</v>
      </c>
      <c r="L275" s="422">
        <v>0.1</v>
      </c>
      <c r="M275" s="400"/>
      <c r="N275" s="400"/>
      <c r="O275" s="400"/>
      <c r="P275" s="422">
        <f>I275*J275*L275</f>
        <v>186.15</v>
      </c>
      <c r="Q275" s="400">
        <v>13</v>
      </c>
      <c r="R275" s="400">
        <f>P275*Q275*1000</f>
        <v>2419950.0000000005</v>
      </c>
      <c r="S275" s="400">
        <f t="shared" si="372"/>
        <v>2419950.0000000005</v>
      </c>
    </row>
    <row r="276" spans="1:19" x14ac:dyDescent="0.25">
      <c r="A276" s="461"/>
      <c r="B276" s="464" t="s">
        <v>489</v>
      </c>
      <c r="C276" s="464"/>
      <c r="D276" s="691"/>
      <c r="E276" s="691"/>
      <c r="F276" s="464"/>
      <c r="G276" s="419">
        <f>SUM(G277:G294)</f>
        <v>25762.799999999999</v>
      </c>
      <c r="H276" s="419">
        <f>SUM(H277:H294)</f>
        <v>3042</v>
      </c>
      <c r="I276" s="419">
        <f>SUM(I277:I294)</f>
        <v>22720.799999999999</v>
      </c>
      <c r="J276" s="691"/>
      <c r="K276" s="691"/>
      <c r="L276" s="691"/>
      <c r="M276" s="419">
        <f>SUM(M277:M294)</f>
        <v>0</v>
      </c>
      <c r="N276" s="419"/>
      <c r="O276" s="419">
        <f>SUM(O277:O294)</f>
        <v>260000</v>
      </c>
      <c r="P276" s="419">
        <f>SUM(P277:P294)</f>
        <v>22741.550399999996</v>
      </c>
      <c r="Q276" s="419"/>
      <c r="R276" s="419">
        <f>SUM(R277:R294)</f>
        <v>295640155.19999999</v>
      </c>
      <c r="S276" s="419">
        <f>SUM(S277:S294)</f>
        <v>295900155.19999999</v>
      </c>
    </row>
    <row r="277" spans="1:19" x14ac:dyDescent="0.25">
      <c r="A277" s="422"/>
      <c r="B277" s="443" t="s">
        <v>628</v>
      </c>
      <c r="C277" s="443"/>
      <c r="D277" s="422"/>
      <c r="E277" s="422"/>
      <c r="F277" s="443" t="s">
        <v>481</v>
      </c>
      <c r="G277" s="400">
        <f t="shared" ref="G277:G294" si="383">H277+I277</f>
        <v>573</v>
      </c>
      <c r="H277" s="690"/>
      <c r="I277" s="422">
        <v>573</v>
      </c>
      <c r="J277" s="422">
        <v>4.38</v>
      </c>
      <c r="K277" s="422">
        <f t="shared" ref="K277:K294" si="384">J277-(J277*L277)</f>
        <v>3.9419999999999997</v>
      </c>
      <c r="L277" s="422">
        <v>0.1</v>
      </c>
      <c r="M277" s="400"/>
      <c r="N277" s="400"/>
      <c r="O277" s="400"/>
      <c r="P277" s="422">
        <f>I277*J277*L277</f>
        <v>250.97399999999999</v>
      </c>
      <c r="Q277" s="400">
        <v>13</v>
      </c>
      <c r="R277" s="400">
        <f t="shared" ref="R277:R294" si="385">P277*Q277*1000</f>
        <v>3262662</v>
      </c>
      <c r="S277" s="400">
        <f t="shared" ref="S277:S294" si="386">R277+O277</f>
        <v>3262662</v>
      </c>
    </row>
    <row r="278" spans="1:19" s="515" customFormat="1" x14ac:dyDescent="0.25">
      <c r="A278" s="751"/>
      <c r="B278" s="443" t="s">
        <v>631</v>
      </c>
      <c r="C278" s="748"/>
      <c r="D278" s="751"/>
      <c r="E278" s="751">
        <f>SUM(E279:E284)</f>
        <v>0</v>
      </c>
      <c r="F278" s="751">
        <f t="shared" ref="F278:S278" si="387">SUM(F279:F284)</f>
        <v>0</v>
      </c>
      <c r="G278" s="751">
        <f t="shared" si="387"/>
        <v>7205</v>
      </c>
      <c r="H278" s="751">
        <f t="shared" si="387"/>
        <v>1100</v>
      </c>
      <c r="I278" s="751">
        <f t="shared" si="387"/>
        <v>6105</v>
      </c>
      <c r="J278" s="751">
        <f t="shared" si="387"/>
        <v>24.919999999999998</v>
      </c>
      <c r="K278" s="751">
        <f t="shared" si="387"/>
        <v>11.214</v>
      </c>
      <c r="L278" s="751">
        <f t="shared" si="387"/>
        <v>3.3000000000000003</v>
      </c>
      <c r="M278" s="751">
        <f t="shared" si="387"/>
        <v>0</v>
      </c>
      <c r="N278" s="751">
        <f t="shared" si="387"/>
        <v>0</v>
      </c>
      <c r="O278" s="751">
        <f t="shared" si="387"/>
        <v>0</v>
      </c>
      <c r="P278" s="751">
        <f t="shared" si="387"/>
        <v>7281.8700000000008</v>
      </c>
      <c r="Q278" s="751">
        <f t="shared" si="387"/>
        <v>78</v>
      </c>
      <c r="R278" s="751">
        <f t="shared" si="387"/>
        <v>94664310</v>
      </c>
      <c r="S278" s="751">
        <f t="shared" si="387"/>
        <v>94664310</v>
      </c>
    </row>
    <row r="279" spans="1:19" x14ac:dyDescent="0.25">
      <c r="A279" s="422"/>
      <c r="C279" s="443" t="s">
        <v>713</v>
      </c>
      <c r="D279" s="422"/>
      <c r="E279" s="422"/>
      <c r="F279" s="443" t="s">
        <v>501</v>
      </c>
      <c r="G279" s="400">
        <f t="shared" si="383"/>
        <v>700</v>
      </c>
      <c r="H279" s="690">
        <v>700</v>
      </c>
      <c r="I279" s="422"/>
      <c r="J279" s="422">
        <v>4.38</v>
      </c>
      <c r="K279" s="422">
        <f t="shared" si="384"/>
        <v>0</v>
      </c>
      <c r="L279" s="422">
        <v>1</v>
      </c>
      <c r="M279" s="400"/>
      <c r="N279" s="400"/>
      <c r="O279" s="400"/>
      <c r="P279" s="422">
        <f>H279*J279*L279</f>
        <v>3066</v>
      </c>
      <c r="Q279" s="400">
        <v>13</v>
      </c>
      <c r="R279" s="400">
        <f t="shared" si="385"/>
        <v>39858000</v>
      </c>
      <c r="S279" s="400">
        <f t="shared" si="386"/>
        <v>39858000</v>
      </c>
    </row>
    <row r="280" spans="1:19" x14ac:dyDescent="0.25">
      <c r="A280" s="422"/>
      <c r="B280" s="443"/>
      <c r="C280" s="443"/>
      <c r="D280" s="422"/>
      <c r="E280" s="422"/>
      <c r="F280" s="443" t="s">
        <v>474</v>
      </c>
      <c r="G280" s="400">
        <f t="shared" si="383"/>
        <v>590</v>
      </c>
      <c r="H280" s="690"/>
      <c r="I280" s="422">
        <v>590</v>
      </c>
      <c r="J280" s="422">
        <v>4.38</v>
      </c>
      <c r="K280" s="422">
        <f t="shared" si="384"/>
        <v>3.9419999999999997</v>
      </c>
      <c r="L280" s="422">
        <v>0.1</v>
      </c>
      <c r="M280" s="400"/>
      <c r="N280" s="400"/>
      <c r="O280" s="400"/>
      <c r="P280" s="422">
        <f>I280*J280*L280</f>
        <v>258.42</v>
      </c>
      <c r="Q280" s="400">
        <v>13</v>
      </c>
      <c r="R280" s="400">
        <f t="shared" si="385"/>
        <v>3359460</v>
      </c>
      <c r="S280" s="400">
        <f t="shared" si="386"/>
        <v>3359460</v>
      </c>
    </row>
    <row r="281" spans="1:19" x14ac:dyDescent="0.25">
      <c r="A281" s="422"/>
      <c r="B281" s="443"/>
      <c r="C281" s="443" t="s">
        <v>716</v>
      </c>
      <c r="D281" s="422"/>
      <c r="E281" s="422"/>
      <c r="F281" s="443" t="s">
        <v>501</v>
      </c>
      <c r="G281" s="400">
        <f t="shared" si="383"/>
        <v>200</v>
      </c>
      <c r="H281" s="690">
        <v>200</v>
      </c>
      <c r="I281" s="422"/>
      <c r="J281" s="422">
        <v>3.7</v>
      </c>
      <c r="K281" s="422">
        <f t="shared" si="384"/>
        <v>0</v>
      </c>
      <c r="L281" s="422">
        <v>1</v>
      </c>
      <c r="M281" s="400"/>
      <c r="N281" s="400"/>
      <c r="O281" s="400"/>
      <c r="P281" s="422">
        <f t="shared" ref="P281" si="388">H281*J281*L281</f>
        <v>740</v>
      </c>
      <c r="Q281" s="400">
        <v>13</v>
      </c>
      <c r="R281" s="400">
        <f t="shared" si="385"/>
        <v>9620000</v>
      </c>
      <c r="S281" s="400">
        <f t="shared" si="386"/>
        <v>9620000</v>
      </c>
    </row>
    <row r="282" spans="1:19" x14ac:dyDescent="0.25">
      <c r="A282" s="422"/>
      <c r="B282" s="443"/>
      <c r="C282" s="443"/>
      <c r="D282" s="422"/>
      <c r="E282" s="422"/>
      <c r="F282" s="443" t="s">
        <v>474</v>
      </c>
      <c r="G282" s="400">
        <f t="shared" si="383"/>
        <v>1090</v>
      </c>
      <c r="H282" s="690"/>
      <c r="I282" s="422">
        <v>1090</v>
      </c>
      <c r="J282" s="422">
        <v>3.7</v>
      </c>
      <c r="K282" s="422">
        <f t="shared" si="384"/>
        <v>3.33</v>
      </c>
      <c r="L282" s="422">
        <v>0.1</v>
      </c>
      <c r="M282" s="400"/>
      <c r="N282" s="400"/>
      <c r="O282" s="400"/>
      <c r="P282" s="422">
        <f>I282*J282*L282</f>
        <v>403.3</v>
      </c>
      <c r="Q282" s="400">
        <v>13</v>
      </c>
      <c r="R282" s="400">
        <f t="shared" si="385"/>
        <v>5242900.0000000009</v>
      </c>
      <c r="S282" s="400">
        <f t="shared" si="386"/>
        <v>5242900.0000000009</v>
      </c>
    </row>
    <row r="283" spans="1:19" ht="15.75" customHeight="1" x14ac:dyDescent="0.25">
      <c r="A283" s="422"/>
      <c r="B283" s="443" t="s">
        <v>629</v>
      </c>
      <c r="C283" s="443"/>
      <c r="D283" s="422"/>
      <c r="E283" s="422"/>
      <c r="F283" s="443" t="s">
        <v>474</v>
      </c>
      <c r="G283" s="400">
        <f t="shared" si="383"/>
        <v>4425</v>
      </c>
      <c r="H283" s="690"/>
      <c r="I283" s="422">
        <v>4425</v>
      </c>
      <c r="J283" s="422">
        <v>4.38</v>
      </c>
      <c r="K283" s="422">
        <f t="shared" si="384"/>
        <v>3.9419999999999997</v>
      </c>
      <c r="L283" s="422">
        <v>0.1</v>
      </c>
      <c r="M283" s="400"/>
      <c r="N283" s="400"/>
      <c r="O283" s="400"/>
      <c r="P283" s="422">
        <f t="shared" ref="P283:P293" si="389">I283*J283*L283</f>
        <v>1938.15</v>
      </c>
      <c r="Q283" s="400">
        <v>13</v>
      </c>
      <c r="R283" s="400">
        <f t="shared" si="385"/>
        <v>25195950</v>
      </c>
      <c r="S283" s="400">
        <f t="shared" si="386"/>
        <v>25195950</v>
      </c>
    </row>
    <row r="284" spans="1:19" ht="15.75" customHeight="1" x14ac:dyDescent="0.25">
      <c r="A284" s="422"/>
      <c r="B284" s="443"/>
      <c r="C284" s="443"/>
      <c r="D284" s="422"/>
      <c r="E284" s="422"/>
      <c r="F284" s="443" t="s">
        <v>474</v>
      </c>
      <c r="G284" s="400">
        <f t="shared" si="383"/>
        <v>200</v>
      </c>
      <c r="H284" s="690">
        <v>200</v>
      </c>
      <c r="I284" s="422"/>
      <c r="J284" s="422">
        <v>4.38</v>
      </c>
      <c r="K284" s="422">
        <f t="shared" si="384"/>
        <v>0</v>
      </c>
      <c r="L284" s="422">
        <v>1</v>
      </c>
      <c r="M284" s="400"/>
      <c r="N284" s="400"/>
      <c r="O284" s="400"/>
      <c r="P284" s="422">
        <f>H284*J284*L284</f>
        <v>876</v>
      </c>
      <c r="Q284" s="400">
        <v>13</v>
      </c>
      <c r="R284" s="400">
        <f t="shared" si="385"/>
        <v>11388000</v>
      </c>
      <c r="S284" s="400">
        <f t="shared" si="386"/>
        <v>11388000</v>
      </c>
    </row>
    <row r="285" spans="1:19" s="515" customFormat="1" ht="15.75" customHeight="1" x14ac:dyDescent="0.25">
      <c r="A285" s="751"/>
      <c r="B285" s="443" t="s">
        <v>385</v>
      </c>
      <c r="C285" s="748"/>
      <c r="D285" s="751"/>
      <c r="E285" s="751">
        <f>SUM(E286:E290)</f>
        <v>0</v>
      </c>
      <c r="F285" s="751">
        <f t="shared" ref="F285:S285" si="390">SUM(F286:F290)</f>
        <v>0</v>
      </c>
      <c r="G285" s="751">
        <f t="shared" si="390"/>
        <v>1694</v>
      </c>
      <c r="H285" s="751">
        <f t="shared" si="390"/>
        <v>204</v>
      </c>
      <c r="I285" s="751">
        <f t="shared" si="390"/>
        <v>1490</v>
      </c>
      <c r="J285" s="751">
        <f t="shared" si="390"/>
        <v>21.9</v>
      </c>
      <c r="K285" s="751">
        <f t="shared" si="390"/>
        <v>7.8839999999999995</v>
      </c>
      <c r="L285" s="751">
        <f t="shared" si="390"/>
        <v>3.2</v>
      </c>
      <c r="M285" s="751">
        <f t="shared" si="390"/>
        <v>0</v>
      </c>
      <c r="N285" s="751">
        <f t="shared" si="390"/>
        <v>10000</v>
      </c>
      <c r="O285" s="751">
        <f t="shared" si="390"/>
        <v>130000</v>
      </c>
      <c r="P285" s="751">
        <f t="shared" si="390"/>
        <v>1489.2</v>
      </c>
      <c r="Q285" s="751">
        <f t="shared" si="390"/>
        <v>52</v>
      </c>
      <c r="R285" s="751">
        <f t="shared" si="390"/>
        <v>19359600</v>
      </c>
      <c r="S285" s="751">
        <f t="shared" si="390"/>
        <v>19489600</v>
      </c>
    </row>
    <row r="286" spans="1:19" x14ac:dyDescent="0.25">
      <c r="A286" s="422"/>
      <c r="C286" s="443" t="s">
        <v>713</v>
      </c>
      <c r="D286" s="422"/>
      <c r="E286" s="422"/>
      <c r="F286" s="443" t="s">
        <v>474</v>
      </c>
      <c r="G286" s="400">
        <f t="shared" si="383"/>
        <v>1405</v>
      </c>
      <c r="H286" s="690"/>
      <c r="I286" s="422">
        <v>1405</v>
      </c>
      <c r="J286" s="422">
        <v>4.38</v>
      </c>
      <c r="K286" s="422">
        <f t="shared" si="384"/>
        <v>3.9419999999999997</v>
      </c>
      <c r="L286" s="422">
        <v>0.1</v>
      </c>
      <c r="M286" s="400"/>
      <c r="N286" s="400"/>
      <c r="O286" s="400"/>
      <c r="P286" s="422">
        <f>I286*J286*L286</f>
        <v>615.39</v>
      </c>
      <c r="Q286" s="400">
        <v>13</v>
      </c>
      <c r="R286" s="400">
        <f t="shared" si="385"/>
        <v>8000070</v>
      </c>
      <c r="S286" s="400">
        <f t="shared" si="386"/>
        <v>8000070</v>
      </c>
    </row>
    <row r="287" spans="1:19" x14ac:dyDescent="0.25">
      <c r="A287" s="422"/>
      <c r="B287" s="443"/>
      <c r="C287" s="443"/>
      <c r="D287" s="422"/>
      <c r="E287" s="422"/>
      <c r="F287" s="443" t="s">
        <v>474</v>
      </c>
      <c r="G287" s="400">
        <f t="shared" si="383"/>
        <v>103</v>
      </c>
      <c r="H287" s="690">
        <v>103</v>
      </c>
      <c r="I287" s="422"/>
      <c r="J287" s="422">
        <v>4.38</v>
      </c>
      <c r="K287" s="422">
        <f t="shared" si="384"/>
        <v>0</v>
      </c>
      <c r="L287" s="422">
        <v>1</v>
      </c>
      <c r="M287" s="400"/>
      <c r="N287" s="400"/>
      <c r="O287" s="400"/>
      <c r="P287" s="422">
        <f>H287*J287*L287</f>
        <v>451.14</v>
      </c>
      <c r="Q287" s="400">
        <v>13</v>
      </c>
      <c r="R287" s="400">
        <f t="shared" si="385"/>
        <v>5864820</v>
      </c>
      <c r="S287" s="400">
        <f t="shared" si="386"/>
        <v>5864820</v>
      </c>
    </row>
    <row r="288" spans="1:19" x14ac:dyDescent="0.25">
      <c r="A288" s="422"/>
      <c r="B288" s="443"/>
      <c r="C288" s="443"/>
      <c r="D288" s="422"/>
      <c r="E288" s="422"/>
      <c r="F288" s="443" t="s">
        <v>910</v>
      </c>
      <c r="G288" s="400">
        <f t="shared" si="383"/>
        <v>85</v>
      </c>
      <c r="H288" s="690"/>
      <c r="I288" s="422">
        <v>85</v>
      </c>
      <c r="J288" s="422">
        <v>4.38</v>
      </c>
      <c r="K288" s="422">
        <f t="shared" si="384"/>
        <v>3.9419999999999997</v>
      </c>
      <c r="L288" s="422">
        <v>0.1</v>
      </c>
      <c r="M288" s="400"/>
      <c r="N288" s="400"/>
      <c r="O288" s="400"/>
      <c r="P288" s="422">
        <f>I288*J288*L288</f>
        <v>37.230000000000004</v>
      </c>
      <c r="Q288" s="400">
        <v>13</v>
      </c>
      <c r="R288" s="400">
        <f t="shared" si="385"/>
        <v>483990.00000000006</v>
      </c>
      <c r="S288" s="400">
        <f t="shared" si="386"/>
        <v>483990.00000000006</v>
      </c>
    </row>
    <row r="289" spans="1:19" x14ac:dyDescent="0.25">
      <c r="A289" s="422"/>
      <c r="B289" s="443"/>
      <c r="C289" s="443"/>
      <c r="D289" s="422"/>
      <c r="E289" s="422"/>
      <c r="F289" s="443" t="s">
        <v>504</v>
      </c>
      <c r="G289" s="400">
        <f t="shared" si="383"/>
        <v>88</v>
      </c>
      <c r="H289" s="690">
        <v>88</v>
      </c>
      <c r="I289" s="422"/>
      <c r="J289" s="422">
        <v>4.38</v>
      </c>
      <c r="K289" s="422">
        <f t="shared" si="384"/>
        <v>0</v>
      </c>
      <c r="L289" s="422">
        <v>1</v>
      </c>
      <c r="M289" s="400"/>
      <c r="N289" s="400"/>
      <c r="O289" s="400"/>
      <c r="P289" s="422">
        <f>H289*J289*L289</f>
        <v>385.44</v>
      </c>
      <c r="Q289" s="400">
        <v>13</v>
      </c>
      <c r="R289" s="400">
        <f t="shared" si="385"/>
        <v>5010720</v>
      </c>
      <c r="S289" s="400">
        <f t="shared" si="386"/>
        <v>5010720</v>
      </c>
    </row>
    <row r="290" spans="1:19" x14ac:dyDescent="0.25">
      <c r="A290" s="422"/>
      <c r="B290" s="443"/>
      <c r="C290" s="443"/>
      <c r="D290" s="422"/>
      <c r="E290" s="422"/>
      <c r="F290" s="443" t="s">
        <v>799</v>
      </c>
      <c r="G290" s="400">
        <f t="shared" si="383"/>
        <v>13</v>
      </c>
      <c r="H290" s="690">
        <v>13</v>
      </c>
      <c r="I290" s="422"/>
      <c r="J290" s="422">
        <v>4.38</v>
      </c>
      <c r="K290" s="422">
        <f t="shared" si="384"/>
        <v>0</v>
      </c>
      <c r="L290" s="422">
        <v>1</v>
      </c>
      <c r="M290" s="400"/>
      <c r="N290" s="400">
        <v>10000</v>
      </c>
      <c r="O290" s="400">
        <f>N290*H290*L290</f>
        <v>130000</v>
      </c>
      <c r="P290" s="422"/>
      <c r="Q290" s="400"/>
      <c r="R290" s="400"/>
      <c r="S290" s="400">
        <f t="shared" si="386"/>
        <v>130000</v>
      </c>
    </row>
    <row r="291" spans="1:19" x14ac:dyDescent="0.25">
      <c r="A291" s="422"/>
      <c r="B291" s="443" t="s">
        <v>911</v>
      </c>
      <c r="C291" s="443"/>
      <c r="D291" s="422"/>
      <c r="E291" s="422"/>
      <c r="F291" s="443" t="s">
        <v>474</v>
      </c>
      <c r="G291" s="400">
        <f t="shared" si="383"/>
        <v>1833.8</v>
      </c>
      <c r="H291" s="690"/>
      <c r="I291" s="422">
        <v>1833.8</v>
      </c>
      <c r="J291" s="422">
        <v>4.38</v>
      </c>
      <c r="K291" s="422">
        <f t="shared" si="384"/>
        <v>3.9419999999999997</v>
      </c>
      <c r="L291" s="422">
        <v>0.1</v>
      </c>
      <c r="M291" s="400"/>
      <c r="N291" s="400"/>
      <c r="O291" s="400"/>
      <c r="P291" s="422">
        <f t="shared" si="389"/>
        <v>803.20440000000008</v>
      </c>
      <c r="Q291" s="400">
        <v>13</v>
      </c>
      <c r="R291" s="400">
        <f t="shared" si="385"/>
        <v>10441657.200000001</v>
      </c>
      <c r="S291" s="400">
        <f t="shared" si="386"/>
        <v>10441657.200000001</v>
      </c>
    </row>
    <row r="292" spans="1:19" s="515" customFormat="1" x14ac:dyDescent="0.25">
      <c r="A292" s="751"/>
      <c r="B292" s="443" t="s">
        <v>627</v>
      </c>
      <c r="C292" s="748"/>
      <c r="D292" s="751"/>
      <c r="E292" s="751">
        <f>SUM(E293:E294)</f>
        <v>0</v>
      </c>
      <c r="F292" s="751">
        <f t="shared" ref="F292:S292" si="391">SUM(F293:F294)</f>
        <v>0</v>
      </c>
      <c r="G292" s="751">
        <f t="shared" si="391"/>
        <v>2779</v>
      </c>
      <c r="H292" s="751">
        <f t="shared" si="391"/>
        <v>217</v>
      </c>
      <c r="I292" s="751">
        <f t="shared" si="391"/>
        <v>2562</v>
      </c>
      <c r="J292" s="751">
        <f t="shared" si="391"/>
        <v>8.76</v>
      </c>
      <c r="K292" s="751">
        <f t="shared" si="391"/>
        <v>3.9419999999999997</v>
      </c>
      <c r="L292" s="751">
        <f t="shared" si="391"/>
        <v>1.1000000000000001</v>
      </c>
      <c r="M292" s="751">
        <f t="shared" si="391"/>
        <v>0</v>
      </c>
      <c r="N292" s="751">
        <f t="shared" si="391"/>
        <v>0</v>
      </c>
      <c r="O292" s="751">
        <f t="shared" si="391"/>
        <v>0</v>
      </c>
      <c r="P292" s="751">
        <f t="shared" si="391"/>
        <v>2072.616</v>
      </c>
      <c r="Q292" s="751">
        <f t="shared" si="391"/>
        <v>26</v>
      </c>
      <c r="R292" s="751">
        <f t="shared" si="391"/>
        <v>26944008</v>
      </c>
      <c r="S292" s="751">
        <f t="shared" si="391"/>
        <v>26944008</v>
      </c>
    </row>
    <row r="293" spans="1:19" x14ac:dyDescent="0.25">
      <c r="A293" s="422"/>
      <c r="C293" s="443"/>
      <c r="D293" s="422"/>
      <c r="E293" s="422"/>
      <c r="F293" s="443" t="s">
        <v>474</v>
      </c>
      <c r="G293" s="400">
        <f t="shared" si="383"/>
        <v>2562</v>
      </c>
      <c r="H293" s="690"/>
      <c r="I293" s="422">
        <v>2562</v>
      </c>
      <c r="J293" s="422">
        <v>4.38</v>
      </c>
      <c r="K293" s="422">
        <f t="shared" si="384"/>
        <v>3.9419999999999997</v>
      </c>
      <c r="L293" s="422">
        <v>0.1</v>
      </c>
      <c r="M293" s="400"/>
      <c r="N293" s="400"/>
      <c r="O293" s="400"/>
      <c r="P293" s="422">
        <f t="shared" si="389"/>
        <v>1122.1559999999999</v>
      </c>
      <c r="Q293" s="400">
        <v>13</v>
      </c>
      <c r="R293" s="400">
        <f t="shared" si="385"/>
        <v>14588027.999999998</v>
      </c>
      <c r="S293" s="400">
        <f t="shared" si="386"/>
        <v>14588027.999999998</v>
      </c>
    </row>
    <row r="294" spans="1:19" x14ac:dyDescent="0.25">
      <c r="A294" s="422"/>
      <c r="B294" s="443"/>
      <c r="C294" s="443"/>
      <c r="D294" s="422"/>
      <c r="E294" s="422"/>
      <c r="F294" s="443" t="s">
        <v>474</v>
      </c>
      <c r="G294" s="400">
        <f t="shared" si="383"/>
        <v>217</v>
      </c>
      <c r="H294" s="690">
        <v>217</v>
      </c>
      <c r="I294" s="422"/>
      <c r="J294" s="422">
        <v>4.38</v>
      </c>
      <c r="K294" s="422">
        <f t="shared" si="384"/>
        <v>0</v>
      </c>
      <c r="L294" s="422">
        <v>1</v>
      </c>
      <c r="M294" s="400"/>
      <c r="N294" s="400"/>
      <c r="O294" s="400"/>
      <c r="P294" s="422">
        <f>H294*J294*L294</f>
        <v>950.45999999999992</v>
      </c>
      <c r="Q294" s="400">
        <v>13</v>
      </c>
      <c r="R294" s="400">
        <f t="shared" si="385"/>
        <v>12355980</v>
      </c>
      <c r="S294" s="400">
        <f t="shared" si="386"/>
        <v>12355980</v>
      </c>
    </row>
    <row r="295" spans="1:19" x14ac:dyDescent="0.25">
      <c r="A295" s="422"/>
      <c r="B295" s="464" t="s">
        <v>491</v>
      </c>
      <c r="C295" s="464"/>
      <c r="D295" s="691"/>
      <c r="E295" s="691"/>
      <c r="F295" s="464"/>
      <c r="G295" s="419">
        <f>SUM(G297:G314)</f>
        <v>9074.64</v>
      </c>
      <c r="H295" s="419">
        <f>SUM(H297:H314)</f>
        <v>1707.5000000000002</v>
      </c>
      <c r="I295" s="419">
        <f>SUM(I297:I314)</f>
        <v>7367.14</v>
      </c>
      <c r="J295" s="691"/>
      <c r="K295" s="691"/>
      <c r="L295" s="691"/>
      <c r="M295" s="419">
        <f>SUM(M297:M314)</f>
        <v>0</v>
      </c>
      <c r="N295" s="419"/>
      <c r="O295" s="419">
        <f>SUM(O297:O314)</f>
        <v>0</v>
      </c>
      <c r="P295" s="419">
        <f>SUM(P297:P314)</f>
        <v>10503.512000000001</v>
      </c>
      <c r="Q295" s="419"/>
      <c r="R295" s="419">
        <f>SUM(R297:R314)</f>
        <v>136545656</v>
      </c>
      <c r="S295" s="419">
        <f>SUM(S297:S314)</f>
        <v>136545656</v>
      </c>
    </row>
    <row r="296" spans="1:19" s="515" customFormat="1" x14ac:dyDescent="0.25">
      <c r="A296" s="751"/>
      <c r="B296" s="443" t="s">
        <v>637</v>
      </c>
      <c r="C296" s="750"/>
      <c r="D296" s="1072"/>
      <c r="E296" s="1072">
        <f>SUM(E297:E299)</f>
        <v>0</v>
      </c>
      <c r="F296" s="1072">
        <f t="shared" ref="F296:S296" si="392">SUM(F297:F299)</f>
        <v>0</v>
      </c>
      <c r="G296" s="1072">
        <f t="shared" si="392"/>
        <v>1702.5</v>
      </c>
      <c r="H296" s="1072">
        <f t="shared" si="392"/>
        <v>0</v>
      </c>
      <c r="I296" s="1072">
        <f t="shared" si="392"/>
        <v>1702.5</v>
      </c>
      <c r="J296" s="1072">
        <f t="shared" si="392"/>
        <v>12.46</v>
      </c>
      <c r="K296" s="1072">
        <f t="shared" si="392"/>
        <v>10.994999999999999</v>
      </c>
      <c r="L296" s="1072">
        <f t="shared" si="392"/>
        <v>0.35</v>
      </c>
      <c r="M296" s="1072">
        <f t="shared" si="392"/>
        <v>0</v>
      </c>
      <c r="N296" s="1072">
        <f t="shared" si="392"/>
        <v>0</v>
      </c>
      <c r="O296" s="1072">
        <f t="shared" si="392"/>
        <v>0</v>
      </c>
      <c r="P296" s="1072">
        <f t="shared" si="392"/>
        <v>734.61199999999997</v>
      </c>
      <c r="Q296" s="1072">
        <f t="shared" si="392"/>
        <v>39</v>
      </c>
      <c r="R296" s="1072">
        <f t="shared" si="392"/>
        <v>9549956</v>
      </c>
      <c r="S296" s="1072">
        <f t="shared" si="392"/>
        <v>9549956</v>
      </c>
    </row>
    <row r="297" spans="1:19" ht="15.75" customHeight="1" x14ac:dyDescent="0.25">
      <c r="A297" s="422"/>
      <c r="C297" s="443" t="s">
        <v>713</v>
      </c>
      <c r="D297" s="422"/>
      <c r="E297" s="422"/>
      <c r="F297" s="443" t="s">
        <v>501</v>
      </c>
      <c r="G297" s="400">
        <f>H297+I297</f>
        <v>1290.5</v>
      </c>
      <c r="H297" s="690"/>
      <c r="I297" s="422">
        <v>1290.5</v>
      </c>
      <c r="J297" s="422">
        <v>4.38</v>
      </c>
      <c r="K297" s="422">
        <f t="shared" ref="K297:K303" si="393">J297-(J297*L297)</f>
        <v>3.9419999999999997</v>
      </c>
      <c r="L297" s="422">
        <v>0.1</v>
      </c>
      <c r="M297" s="400"/>
      <c r="N297" s="400"/>
      <c r="O297" s="400"/>
      <c r="P297" s="422">
        <f>I297*J297*L297</f>
        <v>565.23899999999992</v>
      </c>
      <c r="Q297" s="400">
        <v>13</v>
      </c>
      <c r="R297" s="400">
        <f>P297*Q297*1000</f>
        <v>7348106.9999999991</v>
      </c>
      <c r="S297" s="400">
        <f>R297+O297</f>
        <v>7348106.9999999991</v>
      </c>
    </row>
    <row r="298" spans="1:19" ht="15.75" customHeight="1" x14ac:dyDescent="0.25">
      <c r="A298" s="422"/>
      <c r="B298" s="443"/>
      <c r="C298" s="443"/>
      <c r="D298" s="422"/>
      <c r="E298" s="422"/>
      <c r="F298" s="443" t="s">
        <v>504</v>
      </c>
      <c r="G298" s="400">
        <f>H298+I298</f>
        <v>59</v>
      </c>
      <c r="H298" s="690"/>
      <c r="I298" s="422">
        <v>59</v>
      </c>
      <c r="J298" s="422">
        <v>4.38</v>
      </c>
      <c r="K298" s="422">
        <f t="shared" si="393"/>
        <v>3.7229999999999999</v>
      </c>
      <c r="L298" s="422">
        <v>0.15</v>
      </c>
      <c r="M298" s="400"/>
      <c r="N298" s="400"/>
      <c r="O298" s="400"/>
      <c r="P298" s="422">
        <f t="shared" ref="P298:P299" si="394">I298*J298*L298</f>
        <v>38.762999999999998</v>
      </c>
      <c r="Q298" s="400">
        <v>13</v>
      </c>
      <c r="R298" s="400">
        <f t="shared" ref="R298:R299" si="395">P298*Q298*1000</f>
        <v>503919</v>
      </c>
      <c r="S298" s="400">
        <f t="shared" ref="S298:S299" si="396">R298+O298</f>
        <v>503919</v>
      </c>
    </row>
    <row r="299" spans="1:19" ht="15.75" customHeight="1" x14ac:dyDescent="0.25">
      <c r="A299" s="422"/>
      <c r="B299" s="443"/>
      <c r="C299" s="443" t="s">
        <v>716</v>
      </c>
      <c r="D299" s="422"/>
      <c r="E299" s="422"/>
      <c r="F299" s="443" t="s">
        <v>501</v>
      </c>
      <c r="G299" s="400">
        <f>H299+I299</f>
        <v>353</v>
      </c>
      <c r="H299" s="690"/>
      <c r="I299" s="422">
        <v>353</v>
      </c>
      <c r="J299" s="422">
        <v>3.7</v>
      </c>
      <c r="K299" s="422">
        <f t="shared" si="393"/>
        <v>3.33</v>
      </c>
      <c r="L299" s="422">
        <v>0.1</v>
      </c>
      <c r="M299" s="400"/>
      <c r="N299" s="400"/>
      <c r="O299" s="400"/>
      <c r="P299" s="422">
        <f t="shared" si="394"/>
        <v>130.61000000000001</v>
      </c>
      <c r="Q299" s="400">
        <v>13</v>
      </c>
      <c r="R299" s="400">
        <f t="shared" si="395"/>
        <v>1697930.0000000002</v>
      </c>
      <c r="S299" s="400">
        <f t="shared" si="396"/>
        <v>1697930.0000000002</v>
      </c>
    </row>
    <row r="300" spans="1:19" s="515" customFormat="1" ht="15.75" customHeight="1" x14ac:dyDescent="0.25">
      <c r="A300" s="751"/>
      <c r="B300" s="443" t="s">
        <v>492</v>
      </c>
      <c r="C300" s="748"/>
      <c r="D300" s="751"/>
      <c r="E300" s="751">
        <f>SUM(E301:E304)</f>
        <v>0</v>
      </c>
      <c r="F300" s="751">
        <f t="shared" ref="F300:S300" si="397">SUM(F301:F304)</f>
        <v>0</v>
      </c>
      <c r="G300" s="751">
        <f t="shared" si="397"/>
        <v>1415</v>
      </c>
      <c r="H300" s="751">
        <f t="shared" si="397"/>
        <v>806.90000000000009</v>
      </c>
      <c r="I300" s="751">
        <f t="shared" si="397"/>
        <v>608.1</v>
      </c>
      <c r="J300" s="751">
        <f t="shared" si="397"/>
        <v>16.16</v>
      </c>
      <c r="K300" s="751">
        <f t="shared" si="397"/>
        <v>7.2720000000000002</v>
      </c>
      <c r="L300" s="751">
        <f t="shared" si="397"/>
        <v>2.2000000000000002</v>
      </c>
      <c r="M300" s="751">
        <f t="shared" si="397"/>
        <v>0</v>
      </c>
      <c r="N300" s="751">
        <f t="shared" si="397"/>
        <v>0</v>
      </c>
      <c r="O300" s="751">
        <f t="shared" si="397"/>
        <v>0</v>
      </c>
      <c r="P300" s="751">
        <f t="shared" si="397"/>
        <v>3699.5354000000002</v>
      </c>
      <c r="Q300" s="751">
        <f t="shared" si="397"/>
        <v>52</v>
      </c>
      <c r="R300" s="751">
        <f t="shared" si="397"/>
        <v>48093960.200000003</v>
      </c>
      <c r="S300" s="751">
        <f t="shared" si="397"/>
        <v>48093960.200000003</v>
      </c>
    </row>
    <row r="301" spans="1:19" x14ac:dyDescent="0.25">
      <c r="A301" s="422"/>
      <c r="C301" s="443" t="s">
        <v>713</v>
      </c>
      <c r="D301" s="422"/>
      <c r="E301" s="422"/>
      <c r="F301" s="443" t="s">
        <v>474</v>
      </c>
      <c r="G301" s="400">
        <f>H301+I301</f>
        <v>414.3</v>
      </c>
      <c r="H301" s="690"/>
      <c r="I301" s="422">
        <v>414.3</v>
      </c>
      <c r="J301" s="422">
        <v>4.38</v>
      </c>
      <c r="K301" s="422">
        <f t="shared" si="393"/>
        <v>3.9419999999999997</v>
      </c>
      <c r="L301" s="422">
        <v>0.1</v>
      </c>
      <c r="M301" s="400"/>
      <c r="N301" s="400"/>
      <c r="O301" s="400"/>
      <c r="P301" s="422">
        <f>I301*J301*L301</f>
        <v>181.46340000000001</v>
      </c>
      <c r="Q301" s="400">
        <v>13</v>
      </c>
      <c r="R301" s="400">
        <f>P301*Q301*1000</f>
        <v>2359024.2000000002</v>
      </c>
      <c r="S301" s="400">
        <f>R301+O301</f>
        <v>2359024.2000000002</v>
      </c>
    </row>
    <row r="302" spans="1:19" x14ac:dyDescent="0.25">
      <c r="A302" s="422"/>
      <c r="B302" s="443"/>
      <c r="C302" s="443"/>
      <c r="D302" s="422"/>
      <c r="E302" s="422"/>
      <c r="F302" s="443" t="s">
        <v>474</v>
      </c>
      <c r="G302" s="400">
        <f>H302+I302</f>
        <v>677.7</v>
      </c>
      <c r="H302" s="690">
        <v>677.7</v>
      </c>
      <c r="I302" s="422"/>
      <c r="J302" s="422">
        <v>4.38</v>
      </c>
      <c r="K302" s="422">
        <f t="shared" si="393"/>
        <v>0</v>
      </c>
      <c r="L302" s="422">
        <v>1</v>
      </c>
      <c r="M302" s="400"/>
      <c r="N302" s="400"/>
      <c r="O302" s="400"/>
      <c r="P302" s="422">
        <f>H302*J302*L302</f>
        <v>2968.326</v>
      </c>
      <c r="Q302" s="400">
        <v>13</v>
      </c>
      <c r="R302" s="400">
        <f>P302*Q302*1000</f>
        <v>38588238</v>
      </c>
      <c r="S302" s="400">
        <f>R302+O302</f>
        <v>38588238</v>
      </c>
    </row>
    <row r="303" spans="1:19" x14ac:dyDescent="0.25">
      <c r="A303" s="422"/>
      <c r="B303" s="443"/>
      <c r="C303" s="443" t="s">
        <v>716</v>
      </c>
      <c r="D303" s="422"/>
      <c r="E303" s="422"/>
      <c r="F303" s="443" t="s">
        <v>474</v>
      </c>
      <c r="G303" s="400">
        <f t="shared" ref="G303:G304" si="398">H303+I303</f>
        <v>193.8</v>
      </c>
      <c r="H303" s="690"/>
      <c r="I303" s="422">
        <v>193.8</v>
      </c>
      <c r="J303" s="422">
        <v>3.7</v>
      </c>
      <c r="K303" s="422">
        <f t="shared" si="393"/>
        <v>3.33</v>
      </c>
      <c r="L303" s="422">
        <v>0.1</v>
      </c>
      <c r="M303" s="400"/>
      <c r="N303" s="400"/>
      <c r="O303" s="400"/>
      <c r="P303" s="422">
        <f>I303*J303*L303</f>
        <v>71.706000000000003</v>
      </c>
      <c r="Q303" s="400">
        <v>13</v>
      </c>
      <c r="R303" s="400">
        <f t="shared" ref="R303:R314" si="399">P303*Q303*1000</f>
        <v>932178</v>
      </c>
      <c r="S303" s="400">
        <f t="shared" ref="S303:S314" si="400">R303+O303</f>
        <v>932178</v>
      </c>
    </row>
    <row r="304" spans="1:19" x14ac:dyDescent="0.25">
      <c r="A304" s="422"/>
      <c r="B304" s="443"/>
      <c r="C304" s="443"/>
      <c r="D304" s="422"/>
      <c r="E304" s="422"/>
      <c r="F304" s="443" t="s">
        <v>474</v>
      </c>
      <c r="G304" s="400">
        <f t="shared" si="398"/>
        <v>129.19999999999999</v>
      </c>
      <c r="H304" s="690">
        <v>129.19999999999999</v>
      </c>
      <c r="I304" s="422"/>
      <c r="J304" s="422">
        <v>3.7</v>
      </c>
      <c r="K304" s="422"/>
      <c r="L304" s="422">
        <v>1</v>
      </c>
      <c r="M304" s="400"/>
      <c r="N304" s="400"/>
      <c r="O304" s="400"/>
      <c r="P304" s="422">
        <f t="shared" ref="P304" si="401">H304*J304*L304</f>
        <v>478.03999999999996</v>
      </c>
      <c r="Q304" s="400">
        <v>13</v>
      </c>
      <c r="R304" s="400">
        <f t="shared" si="399"/>
        <v>6214519.9999999991</v>
      </c>
      <c r="S304" s="400">
        <f t="shared" si="400"/>
        <v>6214519.9999999991</v>
      </c>
    </row>
    <row r="305" spans="1:19" s="515" customFormat="1" x14ac:dyDescent="0.25">
      <c r="A305" s="751"/>
      <c r="B305" s="443" t="s">
        <v>639</v>
      </c>
      <c r="C305" s="748"/>
      <c r="D305" s="751"/>
      <c r="E305" s="751">
        <f>SUM(E306:E310)</f>
        <v>0</v>
      </c>
      <c r="F305" s="751">
        <f t="shared" ref="F305:S305" si="402">SUM(F306:F310)</f>
        <v>0</v>
      </c>
      <c r="G305" s="751">
        <f t="shared" si="402"/>
        <v>477.57</v>
      </c>
      <c r="H305" s="751">
        <f t="shared" si="402"/>
        <v>46.849999999999994</v>
      </c>
      <c r="I305" s="751">
        <f t="shared" si="402"/>
        <v>430.72</v>
      </c>
      <c r="J305" s="751">
        <f t="shared" si="402"/>
        <v>20.54</v>
      </c>
      <c r="K305" s="751">
        <f t="shared" si="402"/>
        <v>7.2720000000000002</v>
      </c>
      <c r="L305" s="751">
        <f t="shared" si="402"/>
        <v>3.2</v>
      </c>
      <c r="M305" s="751">
        <f t="shared" si="402"/>
        <v>0</v>
      </c>
      <c r="N305" s="751">
        <f t="shared" si="402"/>
        <v>0</v>
      </c>
      <c r="O305" s="751">
        <f t="shared" si="402"/>
        <v>0</v>
      </c>
      <c r="P305" s="751">
        <f t="shared" si="402"/>
        <v>358.28960000000006</v>
      </c>
      <c r="Q305" s="751">
        <f t="shared" si="402"/>
        <v>65</v>
      </c>
      <c r="R305" s="751">
        <f t="shared" si="402"/>
        <v>4657764.8000000007</v>
      </c>
      <c r="S305" s="751">
        <f t="shared" si="402"/>
        <v>4657764.8000000007</v>
      </c>
    </row>
    <row r="306" spans="1:19" x14ac:dyDescent="0.25">
      <c r="A306" s="422"/>
      <c r="C306" s="443" t="s">
        <v>713</v>
      </c>
      <c r="D306" s="422"/>
      <c r="E306" s="422"/>
      <c r="F306" s="443" t="s">
        <v>474</v>
      </c>
      <c r="G306" s="400">
        <f>H306+I306</f>
        <v>164.65</v>
      </c>
      <c r="H306" s="690"/>
      <c r="I306" s="422">
        <v>164.65</v>
      </c>
      <c r="J306" s="422">
        <v>4.38</v>
      </c>
      <c r="K306" s="422">
        <f>J306-(J306*L306)</f>
        <v>3.9419999999999997</v>
      </c>
      <c r="L306" s="422">
        <v>0.1</v>
      </c>
      <c r="M306" s="400"/>
      <c r="N306" s="400"/>
      <c r="O306" s="400"/>
      <c r="P306" s="422">
        <f>I306*J306*L306</f>
        <v>72.116700000000009</v>
      </c>
      <c r="Q306" s="400">
        <v>13</v>
      </c>
      <c r="R306" s="400">
        <f t="shared" si="399"/>
        <v>937517.10000000009</v>
      </c>
      <c r="S306" s="400">
        <f t="shared" si="400"/>
        <v>937517.10000000009</v>
      </c>
    </row>
    <row r="307" spans="1:19" x14ac:dyDescent="0.25">
      <c r="A307" s="422"/>
      <c r="B307" s="443"/>
      <c r="C307" s="443"/>
      <c r="D307" s="422"/>
      <c r="E307" s="422"/>
      <c r="F307" s="443" t="s">
        <v>474</v>
      </c>
      <c r="G307" s="400">
        <f>H307+I307</f>
        <v>15.25</v>
      </c>
      <c r="H307" s="422">
        <v>15.25</v>
      </c>
      <c r="I307" s="422"/>
      <c r="J307" s="422">
        <v>4.38</v>
      </c>
      <c r="K307" s="422">
        <f>J307-(J307*L307)</f>
        <v>0</v>
      </c>
      <c r="L307" s="422">
        <v>1</v>
      </c>
      <c r="M307" s="400"/>
      <c r="N307" s="400"/>
      <c r="O307" s="400"/>
      <c r="P307" s="422">
        <f>H307*J307*L307</f>
        <v>66.795000000000002</v>
      </c>
      <c r="Q307" s="400">
        <v>13</v>
      </c>
      <c r="R307" s="400">
        <f t="shared" si="399"/>
        <v>868335</v>
      </c>
      <c r="S307" s="400">
        <f t="shared" si="400"/>
        <v>868335</v>
      </c>
    </row>
    <row r="308" spans="1:19" x14ac:dyDescent="0.25">
      <c r="A308" s="422"/>
      <c r="B308" s="443"/>
      <c r="C308" s="443"/>
      <c r="D308" s="422"/>
      <c r="E308" s="422"/>
      <c r="F308" s="443" t="s">
        <v>504</v>
      </c>
      <c r="G308" s="400">
        <f>H308+I308</f>
        <v>5.9</v>
      </c>
      <c r="H308" s="422">
        <v>5.9</v>
      </c>
      <c r="I308" s="422"/>
      <c r="J308" s="422">
        <v>4.38</v>
      </c>
      <c r="K308" s="422">
        <f t="shared" ref="K308:K310" si="403">J308-(J308*L308)</f>
        <v>0</v>
      </c>
      <c r="L308" s="422">
        <v>1</v>
      </c>
      <c r="M308" s="400"/>
      <c r="N308" s="400"/>
      <c r="O308" s="400"/>
      <c r="P308" s="422">
        <f>H308*J308*L308</f>
        <v>25.842000000000002</v>
      </c>
      <c r="Q308" s="400">
        <v>13</v>
      </c>
      <c r="R308" s="400">
        <f t="shared" si="399"/>
        <v>335946</v>
      </c>
      <c r="S308" s="400">
        <f t="shared" si="400"/>
        <v>335946</v>
      </c>
    </row>
    <row r="309" spans="1:19" x14ac:dyDescent="0.25">
      <c r="A309" s="422"/>
      <c r="B309" s="443"/>
      <c r="C309" s="443" t="s">
        <v>716</v>
      </c>
      <c r="D309" s="422"/>
      <c r="E309" s="422"/>
      <c r="F309" s="443" t="s">
        <v>474</v>
      </c>
      <c r="G309" s="400">
        <f t="shared" ref="G309:G310" si="404">H309+I309</f>
        <v>266.07</v>
      </c>
      <c r="H309" s="422"/>
      <c r="I309" s="422">
        <v>266.07</v>
      </c>
      <c r="J309" s="422">
        <v>3.7</v>
      </c>
      <c r="K309" s="422">
        <f t="shared" si="403"/>
        <v>3.33</v>
      </c>
      <c r="L309" s="422">
        <v>0.1</v>
      </c>
      <c r="M309" s="400"/>
      <c r="N309" s="400"/>
      <c r="O309" s="400"/>
      <c r="P309" s="422">
        <f>I309*J309*L309</f>
        <v>98.445900000000009</v>
      </c>
      <c r="Q309" s="400">
        <v>13</v>
      </c>
      <c r="R309" s="400">
        <f t="shared" si="399"/>
        <v>1279796.7000000002</v>
      </c>
      <c r="S309" s="400">
        <f t="shared" si="400"/>
        <v>1279796.7000000002</v>
      </c>
    </row>
    <row r="310" spans="1:19" x14ac:dyDescent="0.25">
      <c r="A310" s="422"/>
      <c r="B310" s="443"/>
      <c r="C310" s="443"/>
      <c r="D310" s="422"/>
      <c r="E310" s="422"/>
      <c r="F310" s="443" t="s">
        <v>474</v>
      </c>
      <c r="G310" s="400">
        <f t="shared" si="404"/>
        <v>25.7</v>
      </c>
      <c r="H310" s="422">
        <v>25.7</v>
      </c>
      <c r="I310" s="422"/>
      <c r="J310" s="422">
        <v>3.7</v>
      </c>
      <c r="K310" s="422">
        <f t="shared" si="403"/>
        <v>0</v>
      </c>
      <c r="L310" s="422">
        <v>1</v>
      </c>
      <c r="M310" s="400"/>
      <c r="N310" s="400"/>
      <c r="O310" s="400"/>
      <c r="P310" s="422">
        <f>H310*J310*L310</f>
        <v>95.09</v>
      </c>
      <c r="Q310" s="400">
        <v>13</v>
      </c>
      <c r="R310" s="400">
        <f t="shared" si="399"/>
        <v>1236170</v>
      </c>
      <c r="S310" s="400">
        <f t="shared" si="400"/>
        <v>1236170</v>
      </c>
    </row>
    <row r="311" spans="1:19" s="515" customFormat="1" x14ac:dyDescent="0.25">
      <c r="A311" s="751"/>
      <c r="B311" s="443" t="s">
        <v>640</v>
      </c>
      <c r="C311" s="748"/>
      <c r="D311" s="751"/>
      <c r="E311" s="751">
        <f>SUM(E312:E313)</f>
        <v>0</v>
      </c>
      <c r="F311" s="751">
        <f t="shared" ref="F311:S311" si="405">SUM(F312:F313)</f>
        <v>0</v>
      </c>
      <c r="G311" s="751">
        <f t="shared" si="405"/>
        <v>140</v>
      </c>
      <c r="H311" s="751">
        <f t="shared" si="405"/>
        <v>0</v>
      </c>
      <c r="I311" s="751">
        <f t="shared" si="405"/>
        <v>140</v>
      </c>
      <c r="J311" s="751">
        <f t="shared" si="405"/>
        <v>8.08</v>
      </c>
      <c r="K311" s="751">
        <f t="shared" si="405"/>
        <v>6.9019999999999992</v>
      </c>
      <c r="L311" s="751">
        <f t="shared" si="405"/>
        <v>0.30000000000000004</v>
      </c>
      <c r="M311" s="751">
        <f t="shared" si="405"/>
        <v>0</v>
      </c>
      <c r="N311" s="751">
        <f t="shared" si="405"/>
        <v>0</v>
      </c>
      <c r="O311" s="751">
        <f t="shared" si="405"/>
        <v>0</v>
      </c>
      <c r="P311" s="751">
        <f t="shared" si="405"/>
        <v>102.39200000000001</v>
      </c>
      <c r="Q311" s="751">
        <f t="shared" si="405"/>
        <v>26</v>
      </c>
      <c r="R311" s="751">
        <f t="shared" si="405"/>
        <v>1331096.0000000002</v>
      </c>
      <c r="S311" s="751">
        <f t="shared" si="405"/>
        <v>1331096.0000000002</v>
      </c>
    </row>
    <row r="312" spans="1:19" x14ac:dyDescent="0.25">
      <c r="A312" s="422"/>
      <c r="C312" s="443"/>
      <c r="D312" s="422"/>
      <c r="E312" s="422"/>
      <c r="F312" s="443" t="s">
        <v>586</v>
      </c>
      <c r="G312" s="400">
        <f>H312+I312</f>
        <v>136</v>
      </c>
      <c r="H312" s="690"/>
      <c r="I312" s="422">
        <v>136</v>
      </c>
      <c r="J312" s="422">
        <v>3.7</v>
      </c>
      <c r="K312" s="422">
        <f>J312-(J312*L312)</f>
        <v>2.96</v>
      </c>
      <c r="L312" s="422">
        <v>0.2</v>
      </c>
      <c r="M312" s="400"/>
      <c r="N312" s="400"/>
      <c r="O312" s="400"/>
      <c r="P312" s="422">
        <f>I312*J312*L312</f>
        <v>100.64000000000001</v>
      </c>
      <c r="Q312" s="400">
        <v>13</v>
      </c>
      <c r="R312" s="400">
        <f t="shared" si="399"/>
        <v>1308320.0000000002</v>
      </c>
      <c r="S312" s="400">
        <f t="shared" si="400"/>
        <v>1308320.0000000002</v>
      </c>
    </row>
    <row r="313" spans="1:19" x14ac:dyDescent="0.25">
      <c r="A313" s="422"/>
      <c r="B313" s="443"/>
      <c r="C313" s="443"/>
      <c r="D313" s="422"/>
      <c r="E313" s="422"/>
      <c r="F313" s="443" t="s">
        <v>474</v>
      </c>
      <c r="G313" s="400">
        <f>H313+I313</f>
        <v>4</v>
      </c>
      <c r="H313" s="690"/>
      <c r="I313" s="422">
        <v>4</v>
      </c>
      <c r="J313" s="422">
        <v>4.38</v>
      </c>
      <c r="K313" s="422">
        <f>J313-(J313*L313)</f>
        <v>3.9419999999999997</v>
      </c>
      <c r="L313" s="422">
        <v>0.1</v>
      </c>
      <c r="M313" s="400"/>
      <c r="N313" s="400"/>
      <c r="O313" s="400"/>
      <c r="P313" s="422">
        <f>I313*J313*L313</f>
        <v>1.752</v>
      </c>
      <c r="Q313" s="400">
        <v>13</v>
      </c>
      <c r="R313" s="400">
        <f t="shared" si="399"/>
        <v>22776</v>
      </c>
      <c r="S313" s="400">
        <f t="shared" si="400"/>
        <v>22776</v>
      </c>
    </row>
    <row r="314" spans="1:19" x14ac:dyDescent="0.25">
      <c r="A314" s="422"/>
      <c r="B314" s="443" t="s">
        <v>634</v>
      </c>
      <c r="C314" s="443"/>
      <c r="D314" s="422"/>
      <c r="E314" s="422"/>
      <c r="F314" s="443" t="s">
        <v>474</v>
      </c>
      <c r="G314" s="400">
        <f>H314+I314</f>
        <v>3307</v>
      </c>
      <c r="H314" s="690"/>
      <c r="I314" s="422">
        <v>3307</v>
      </c>
      <c r="J314" s="422">
        <v>4.38</v>
      </c>
      <c r="K314" s="422">
        <f>J314-(J314*L314)</f>
        <v>3.9419999999999997</v>
      </c>
      <c r="L314" s="422">
        <v>0.1</v>
      </c>
      <c r="M314" s="400"/>
      <c r="N314" s="400"/>
      <c r="O314" s="400"/>
      <c r="P314" s="422">
        <f>I314*J314*L314</f>
        <v>1448.4660000000001</v>
      </c>
      <c r="Q314" s="400">
        <v>13</v>
      </c>
      <c r="R314" s="400">
        <f t="shared" si="399"/>
        <v>18830058</v>
      </c>
      <c r="S314" s="400">
        <f t="shared" si="400"/>
        <v>18830058</v>
      </c>
    </row>
    <row r="315" spans="1:19" x14ac:dyDescent="0.25">
      <c r="A315" s="422"/>
      <c r="B315" s="464" t="s">
        <v>493</v>
      </c>
      <c r="C315" s="464"/>
      <c r="D315" s="691"/>
      <c r="E315" s="691"/>
      <c r="F315" s="464"/>
      <c r="G315" s="419">
        <f>SUM(G317:G353)</f>
        <v>31702.260000000002</v>
      </c>
      <c r="H315" s="419">
        <f t="shared" ref="H315:I315" si="406">SUM(H317:H353)</f>
        <v>1.5</v>
      </c>
      <c r="I315" s="419">
        <f t="shared" si="406"/>
        <v>31700.760000000002</v>
      </c>
      <c r="J315" s="691"/>
      <c r="K315" s="691"/>
      <c r="L315" s="691"/>
      <c r="M315" s="419">
        <f t="shared" ref="M315" si="407">SUM(M317:M353)</f>
        <v>0</v>
      </c>
      <c r="N315" s="419"/>
      <c r="O315" s="419">
        <f t="shared" ref="O315:P315" si="408">SUM(O317:O353)</f>
        <v>15000</v>
      </c>
      <c r="P315" s="419">
        <f t="shared" si="408"/>
        <v>16937.775379999995</v>
      </c>
      <c r="Q315" s="419"/>
      <c r="R315" s="419">
        <f t="shared" ref="R315:S315" si="409">SUM(R317:R353)</f>
        <v>220191079.94</v>
      </c>
      <c r="S315" s="419">
        <f t="shared" si="409"/>
        <v>220206079.94</v>
      </c>
    </row>
    <row r="316" spans="1:19" s="515" customFormat="1" x14ac:dyDescent="0.25">
      <c r="A316" s="751"/>
      <c r="B316" s="443" t="s">
        <v>494</v>
      </c>
      <c r="C316" s="750"/>
      <c r="D316" s="1072"/>
      <c r="E316" s="1072">
        <f>SUM(E317:E319)</f>
        <v>0</v>
      </c>
      <c r="F316" s="1072">
        <f t="shared" ref="F316:S316" si="410">SUM(F317:F319)</f>
        <v>0</v>
      </c>
      <c r="G316" s="1072">
        <f t="shared" si="410"/>
        <v>3390.5</v>
      </c>
      <c r="H316" s="1072">
        <f t="shared" si="410"/>
        <v>1.5</v>
      </c>
      <c r="I316" s="1072">
        <f t="shared" si="410"/>
        <v>3389</v>
      </c>
      <c r="J316" s="1072">
        <f t="shared" si="410"/>
        <v>8.76</v>
      </c>
      <c r="K316" s="1072">
        <f t="shared" si="410"/>
        <v>7.4459999999999997</v>
      </c>
      <c r="L316" s="1072">
        <f t="shared" si="410"/>
        <v>1.3</v>
      </c>
      <c r="M316" s="1072">
        <f t="shared" si="410"/>
        <v>0</v>
      </c>
      <c r="N316" s="1072">
        <f t="shared" si="410"/>
        <v>10000</v>
      </c>
      <c r="O316" s="1072">
        <f t="shared" si="410"/>
        <v>15000</v>
      </c>
      <c r="P316" s="1072">
        <f t="shared" si="410"/>
        <v>2078.31</v>
      </c>
      <c r="Q316" s="1072">
        <f t="shared" si="410"/>
        <v>26</v>
      </c>
      <c r="R316" s="1072">
        <f t="shared" si="410"/>
        <v>27018030</v>
      </c>
      <c r="S316" s="1072">
        <f t="shared" si="410"/>
        <v>27033030</v>
      </c>
    </row>
    <row r="317" spans="1:19" x14ac:dyDescent="0.25">
      <c r="A317" s="422"/>
      <c r="C317" s="443"/>
      <c r="D317" s="422"/>
      <c r="E317" s="422"/>
      <c r="F317" s="443" t="s">
        <v>636</v>
      </c>
      <c r="G317" s="400">
        <f t="shared" ref="G317:G353" si="411">H317+I317</f>
        <v>2033</v>
      </c>
      <c r="H317" s="690"/>
      <c r="I317" s="422">
        <v>2033</v>
      </c>
      <c r="J317" s="422">
        <v>4.38</v>
      </c>
      <c r="K317" s="422">
        <f t="shared" ref="K317:K353" si="412">J317-(J317*L317)</f>
        <v>3.9419999999999997</v>
      </c>
      <c r="L317" s="422">
        <v>0.1</v>
      </c>
      <c r="M317" s="400"/>
      <c r="N317" s="400"/>
      <c r="O317" s="400"/>
      <c r="P317" s="422">
        <f t="shared" ref="P317:P353" si="413">I317*J317*L317</f>
        <v>890.45399999999995</v>
      </c>
      <c r="Q317" s="400">
        <v>13</v>
      </c>
      <c r="R317" s="400">
        <f t="shared" ref="R317:R353" si="414">P317*Q317*1000</f>
        <v>11575902</v>
      </c>
      <c r="S317" s="400">
        <f t="shared" ref="S317:S353" si="415">R317+O317</f>
        <v>11575902</v>
      </c>
    </row>
    <row r="318" spans="1:19" x14ac:dyDescent="0.25">
      <c r="A318" s="422"/>
      <c r="B318" s="443"/>
      <c r="C318" s="443"/>
      <c r="D318" s="422"/>
      <c r="E318" s="422"/>
      <c r="F318" s="443" t="s">
        <v>501</v>
      </c>
      <c r="G318" s="400">
        <f t="shared" si="411"/>
        <v>1356</v>
      </c>
      <c r="H318" s="690"/>
      <c r="I318" s="422">
        <v>1356</v>
      </c>
      <c r="J318" s="422">
        <v>4.38</v>
      </c>
      <c r="K318" s="422">
        <f t="shared" si="412"/>
        <v>3.504</v>
      </c>
      <c r="L318" s="422">
        <v>0.2</v>
      </c>
      <c r="M318" s="400"/>
      <c r="N318" s="400"/>
      <c r="O318" s="400"/>
      <c r="P318" s="422">
        <f t="shared" si="413"/>
        <v>1187.856</v>
      </c>
      <c r="Q318" s="400">
        <v>13</v>
      </c>
      <c r="R318" s="400">
        <f t="shared" si="414"/>
        <v>15442128</v>
      </c>
      <c r="S318" s="400">
        <f t="shared" si="415"/>
        <v>15442128</v>
      </c>
    </row>
    <row r="319" spans="1:19" x14ac:dyDescent="0.25">
      <c r="A319" s="422"/>
      <c r="B319" s="443"/>
      <c r="C319" s="443"/>
      <c r="D319" s="422"/>
      <c r="E319" s="422"/>
      <c r="F319" s="443" t="s">
        <v>799</v>
      </c>
      <c r="G319" s="400">
        <f t="shared" si="411"/>
        <v>1.5</v>
      </c>
      <c r="H319" s="690">
        <v>1.5</v>
      </c>
      <c r="I319" s="422"/>
      <c r="J319" s="422"/>
      <c r="K319" s="422"/>
      <c r="L319" s="422">
        <v>1</v>
      </c>
      <c r="M319" s="400"/>
      <c r="N319" s="400">
        <v>10000</v>
      </c>
      <c r="O319" s="400">
        <f>N319*L319*H319</f>
        <v>15000</v>
      </c>
      <c r="P319" s="422"/>
      <c r="Q319" s="400"/>
      <c r="R319" s="400"/>
      <c r="S319" s="400">
        <f t="shared" si="415"/>
        <v>15000</v>
      </c>
    </row>
    <row r="320" spans="1:19" s="515" customFormat="1" x14ac:dyDescent="0.25">
      <c r="A320" s="751"/>
      <c r="B320" s="443" t="s">
        <v>500</v>
      </c>
      <c r="C320" s="748"/>
      <c r="D320" s="751"/>
      <c r="E320" s="751">
        <f>SUM(E321:E326)</f>
        <v>0</v>
      </c>
      <c r="F320" s="751">
        <f t="shared" ref="F320:S320" si="416">SUM(F321:F326)</f>
        <v>0</v>
      </c>
      <c r="G320" s="751">
        <f t="shared" si="416"/>
        <v>841.87999999999988</v>
      </c>
      <c r="H320" s="751">
        <f t="shared" si="416"/>
        <v>0</v>
      </c>
      <c r="I320" s="751">
        <f t="shared" si="416"/>
        <v>841.87999999999988</v>
      </c>
      <c r="J320" s="751">
        <f t="shared" si="416"/>
        <v>24.24</v>
      </c>
      <c r="K320" s="751">
        <f t="shared" si="416"/>
        <v>21.007999999999999</v>
      </c>
      <c r="L320" s="751">
        <f t="shared" si="416"/>
        <v>0.8</v>
      </c>
      <c r="M320" s="751">
        <f t="shared" si="416"/>
        <v>0</v>
      </c>
      <c r="N320" s="751">
        <f t="shared" si="416"/>
        <v>0</v>
      </c>
      <c r="O320" s="751">
        <f t="shared" si="416"/>
        <v>0</v>
      </c>
      <c r="P320" s="751">
        <f t="shared" si="416"/>
        <v>438.80019000000004</v>
      </c>
      <c r="Q320" s="751">
        <f t="shared" si="416"/>
        <v>78</v>
      </c>
      <c r="R320" s="751">
        <f t="shared" si="416"/>
        <v>5704402.4699999997</v>
      </c>
      <c r="S320" s="751">
        <f t="shared" si="416"/>
        <v>5704402.4699999997</v>
      </c>
    </row>
    <row r="321" spans="1:19" x14ac:dyDescent="0.25">
      <c r="A321" s="422"/>
      <c r="C321" s="443" t="s">
        <v>713</v>
      </c>
      <c r="D321" s="422"/>
      <c r="E321" s="422"/>
      <c r="F321" s="443" t="s">
        <v>474</v>
      </c>
      <c r="G321" s="400">
        <f t="shared" si="411"/>
        <v>357.21</v>
      </c>
      <c r="H321" s="690"/>
      <c r="I321" s="422">
        <v>357.21</v>
      </c>
      <c r="J321" s="422">
        <v>4.38</v>
      </c>
      <c r="K321" s="422">
        <f t="shared" si="412"/>
        <v>3.9419999999999997</v>
      </c>
      <c r="L321" s="422">
        <v>0.1</v>
      </c>
      <c r="M321" s="400"/>
      <c r="N321" s="400"/>
      <c r="O321" s="400"/>
      <c r="P321" s="422">
        <f>I321*J321*L321</f>
        <v>156.45798000000002</v>
      </c>
      <c r="Q321" s="400">
        <v>13</v>
      </c>
      <c r="R321" s="400">
        <f t="shared" si="414"/>
        <v>2033953.7400000005</v>
      </c>
      <c r="S321" s="400">
        <f t="shared" si="415"/>
        <v>2033953.7400000005</v>
      </c>
    </row>
    <row r="322" spans="1:19" x14ac:dyDescent="0.25">
      <c r="A322" s="422"/>
      <c r="B322" s="443"/>
      <c r="C322" s="443"/>
      <c r="D322" s="422"/>
      <c r="E322" s="422"/>
      <c r="F322" s="443" t="s">
        <v>504</v>
      </c>
      <c r="G322" s="400">
        <f t="shared" si="411"/>
        <v>226.38</v>
      </c>
      <c r="H322" s="690"/>
      <c r="I322" s="422">
        <v>226.38</v>
      </c>
      <c r="J322" s="422">
        <v>4.38</v>
      </c>
      <c r="K322" s="422">
        <f t="shared" si="412"/>
        <v>3.7229999999999999</v>
      </c>
      <c r="L322" s="422">
        <v>0.15</v>
      </c>
      <c r="M322" s="400"/>
      <c r="N322" s="400"/>
      <c r="O322" s="400"/>
      <c r="P322" s="422">
        <f t="shared" ref="P322:P326" si="417">I322*J322*L322</f>
        <v>148.73166000000001</v>
      </c>
      <c r="Q322" s="400">
        <v>13</v>
      </c>
      <c r="R322" s="400">
        <f t="shared" si="414"/>
        <v>1933511.58</v>
      </c>
      <c r="S322" s="400">
        <f t="shared" si="415"/>
        <v>1933511.58</v>
      </c>
    </row>
    <row r="323" spans="1:19" x14ac:dyDescent="0.25">
      <c r="A323" s="422"/>
      <c r="B323" s="443"/>
      <c r="C323" s="443"/>
      <c r="D323" s="422"/>
      <c r="E323" s="422"/>
      <c r="F323" s="443" t="s">
        <v>497</v>
      </c>
      <c r="G323" s="400">
        <f t="shared" si="411"/>
        <v>25.3</v>
      </c>
      <c r="H323" s="690"/>
      <c r="I323" s="422">
        <v>25.3</v>
      </c>
      <c r="J323" s="422">
        <v>4.38</v>
      </c>
      <c r="K323" s="422">
        <f t="shared" si="412"/>
        <v>3.7229999999999999</v>
      </c>
      <c r="L323" s="422">
        <v>0.15</v>
      </c>
      <c r="M323" s="400"/>
      <c r="N323" s="400"/>
      <c r="O323" s="400"/>
      <c r="P323" s="422">
        <f t="shared" si="417"/>
        <v>16.6221</v>
      </c>
      <c r="Q323" s="400">
        <v>13</v>
      </c>
      <c r="R323" s="400">
        <f t="shared" si="414"/>
        <v>216087.3</v>
      </c>
      <c r="S323" s="400">
        <f t="shared" si="415"/>
        <v>216087.3</v>
      </c>
    </row>
    <row r="324" spans="1:19" x14ac:dyDescent="0.25">
      <c r="A324" s="422"/>
      <c r="B324" s="443"/>
      <c r="C324" s="443" t="s">
        <v>912</v>
      </c>
      <c r="D324" s="422"/>
      <c r="E324" s="422"/>
      <c r="F324" s="443" t="s">
        <v>474</v>
      </c>
      <c r="G324" s="400">
        <f t="shared" si="411"/>
        <v>66.599999999999994</v>
      </c>
      <c r="H324" s="690"/>
      <c r="I324" s="422">
        <v>66.599999999999994</v>
      </c>
      <c r="J324" s="422">
        <v>3.7</v>
      </c>
      <c r="K324" s="422">
        <f t="shared" si="412"/>
        <v>3.33</v>
      </c>
      <c r="L324" s="422">
        <v>0.1</v>
      </c>
      <c r="M324" s="400"/>
      <c r="N324" s="400"/>
      <c r="O324" s="400"/>
      <c r="P324" s="422">
        <f t="shared" si="417"/>
        <v>24.641999999999999</v>
      </c>
      <c r="Q324" s="400">
        <v>13</v>
      </c>
      <c r="R324" s="400">
        <f t="shared" si="414"/>
        <v>320346</v>
      </c>
      <c r="S324" s="400">
        <f t="shared" si="415"/>
        <v>320346</v>
      </c>
    </row>
    <row r="325" spans="1:19" x14ac:dyDescent="0.25">
      <c r="A325" s="422"/>
      <c r="B325" s="443"/>
      <c r="C325" s="443"/>
      <c r="D325" s="422"/>
      <c r="E325" s="422"/>
      <c r="F325" s="443" t="s">
        <v>504</v>
      </c>
      <c r="G325" s="400">
        <f t="shared" si="411"/>
        <v>99.39</v>
      </c>
      <c r="H325" s="690"/>
      <c r="I325" s="422">
        <v>99.39</v>
      </c>
      <c r="J325" s="422">
        <v>3.7</v>
      </c>
      <c r="K325" s="422">
        <f t="shared" si="412"/>
        <v>3.145</v>
      </c>
      <c r="L325" s="422">
        <v>0.15</v>
      </c>
      <c r="M325" s="400"/>
      <c r="N325" s="400"/>
      <c r="O325" s="400"/>
      <c r="P325" s="422">
        <f t="shared" si="417"/>
        <v>55.161449999999995</v>
      </c>
      <c r="Q325" s="400">
        <v>13</v>
      </c>
      <c r="R325" s="400">
        <f t="shared" si="414"/>
        <v>717098.85</v>
      </c>
      <c r="S325" s="400">
        <f t="shared" si="415"/>
        <v>717098.85</v>
      </c>
    </row>
    <row r="326" spans="1:19" x14ac:dyDescent="0.25">
      <c r="A326" s="422"/>
      <c r="B326" s="443"/>
      <c r="C326" s="443"/>
      <c r="D326" s="422"/>
      <c r="E326" s="422"/>
      <c r="F326" s="443" t="s">
        <v>497</v>
      </c>
      <c r="G326" s="400">
        <f t="shared" si="411"/>
        <v>67</v>
      </c>
      <c r="H326" s="690"/>
      <c r="I326" s="422">
        <v>67</v>
      </c>
      <c r="J326" s="422">
        <v>3.7</v>
      </c>
      <c r="K326" s="422">
        <f t="shared" si="412"/>
        <v>3.145</v>
      </c>
      <c r="L326" s="422">
        <v>0.15</v>
      </c>
      <c r="M326" s="400"/>
      <c r="N326" s="400"/>
      <c r="O326" s="400"/>
      <c r="P326" s="422">
        <f t="shared" si="417"/>
        <v>37.185000000000002</v>
      </c>
      <c r="Q326" s="400">
        <v>13</v>
      </c>
      <c r="R326" s="400">
        <f t="shared" si="414"/>
        <v>483405.00000000006</v>
      </c>
      <c r="S326" s="400">
        <f t="shared" si="415"/>
        <v>483405.00000000006</v>
      </c>
    </row>
    <row r="327" spans="1:19" s="515" customFormat="1" x14ac:dyDescent="0.25">
      <c r="A327" s="751"/>
      <c r="B327" s="443" t="s">
        <v>496</v>
      </c>
      <c r="C327" s="748"/>
      <c r="D327" s="751"/>
      <c r="E327" s="751">
        <f>SUM(E328:E330)</f>
        <v>0</v>
      </c>
      <c r="F327" s="751">
        <f t="shared" ref="F327:S327" si="418">SUM(F328:F330)</f>
        <v>0</v>
      </c>
      <c r="G327" s="751">
        <f t="shared" si="418"/>
        <v>1400</v>
      </c>
      <c r="H327" s="751">
        <f t="shared" si="418"/>
        <v>0</v>
      </c>
      <c r="I327" s="751">
        <f t="shared" si="418"/>
        <v>1400</v>
      </c>
      <c r="J327" s="751">
        <f t="shared" si="418"/>
        <v>12.46</v>
      </c>
      <c r="K327" s="751">
        <f t="shared" si="418"/>
        <v>10.994999999999999</v>
      </c>
      <c r="L327" s="751">
        <f t="shared" si="418"/>
        <v>0.35</v>
      </c>
      <c r="M327" s="751">
        <f t="shared" si="418"/>
        <v>0</v>
      </c>
      <c r="N327" s="751">
        <f t="shared" si="418"/>
        <v>0</v>
      </c>
      <c r="O327" s="751">
        <f t="shared" si="418"/>
        <v>0</v>
      </c>
      <c r="P327" s="751">
        <f t="shared" si="418"/>
        <v>584.1</v>
      </c>
      <c r="Q327" s="751">
        <f t="shared" si="418"/>
        <v>39</v>
      </c>
      <c r="R327" s="751">
        <f t="shared" si="418"/>
        <v>7593300</v>
      </c>
      <c r="S327" s="751">
        <f t="shared" si="418"/>
        <v>7593300</v>
      </c>
    </row>
    <row r="328" spans="1:19" x14ac:dyDescent="0.25">
      <c r="A328" s="422"/>
      <c r="C328" s="443" t="s">
        <v>713</v>
      </c>
      <c r="D328" s="422"/>
      <c r="E328" s="422"/>
      <c r="F328" s="443" t="s">
        <v>504</v>
      </c>
      <c r="G328" s="400">
        <f t="shared" si="411"/>
        <v>100</v>
      </c>
      <c r="H328" s="690"/>
      <c r="I328" s="422">
        <v>100</v>
      </c>
      <c r="J328" s="422">
        <v>4.38</v>
      </c>
      <c r="K328" s="422">
        <f t="shared" si="412"/>
        <v>3.7229999999999999</v>
      </c>
      <c r="L328" s="422">
        <v>0.15</v>
      </c>
      <c r="M328" s="400"/>
      <c r="N328" s="400"/>
      <c r="O328" s="400"/>
      <c r="P328" s="422">
        <f t="shared" si="413"/>
        <v>65.7</v>
      </c>
      <c r="Q328" s="400">
        <v>13</v>
      </c>
      <c r="R328" s="400">
        <f t="shared" si="414"/>
        <v>854100</v>
      </c>
      <c r="S328" s="400">
        <f t="shared" si="415"/>
        <v>854100</v>
      </c>
    </row>
    <row r="329" spans="1:19" x14ac:dyDescent="0.25">
      <c r="A329" s="422"/>
      <c r="B329" s="443"/>
      <c r="C329" s="443"/>
      <c r="D329" s="422"/>
      <c r="E329" s="422"/>
      <c r="F329" s="443" t="s">
        <v>474</v>
      </c>
      <c r="G329" s="400">
        <f t="shared" si="411"/>
        <v>550</v>
      </c>
      <c r="H329" s="690"/>
      <c r="I329" s="422">
        <v>550</v>
      </c>
      <c r="J329" s="422">
        <v>4.38</v>
      </c>
      <c r="K329" s="422">
        <f t="shared" si="412"/>
        <v>3.9419999999999997</v>
      </c>
      <c r="L329" s="422">
        <v>0.1</v>
      </c>
      <c r="M329" s="400"/>
      <c r="N329" s="400"/>
      <c r="O329" s="400"/>
      <c r="P329" s="422">
        <f t="shared" si="413"/>
        <v>240.9</v>
      </c>
      <c r="Q329" s="400">
        <v>13</v>
      </c>
      <c r="R329" s="400">
        <f t="shared" si="414"/>
        <v>3131700.0000000005</v>
      </c>
      <c r="S329" s="400">
        <f t="shared" si="415"/>
        <v>3131700.0000000005</v>
      </c>
    </row>
    <row r="330" spans="1:19" x14ac:dyDescent="0.25">
      <c r="A330" s="422"/>
      <c r="B330" s="443"/>
      <c r="C330" s="443" t="s">
        <v>716</v>
      </c>
      <c r="D330" s="422"/>
      <c r="E330" s="422"/>
      <c r="F330" s="443" t="s">
        <v>474</v>
      </c>
      <c r="G330" s="400">
        <f t="shared" si="411"/>
        <v>750</v>
      </c>
      <c r="H330" s="690"/>
      <c r="I330" s="422">
        <v>750</v>
      </c>
      <c r="J330" s="422">
        <v>3.7</v>
      </c>
      <c r="K330" s="422">
        <f t="shared" si="412"/>
        <v>3.33</v>
      </c>
      <c r="L330" s="422">
        <v>0.1</v>
      </c>
      <c r="M330" s="400"/>
      <c r="N330" s="400"/>
      <c r="O330" s="400"/>
      <c r="P330" s="422">
        <f t="shared" si="413"/>
        <v>277.5</v>
      </c>
      <c r="Q330" s="400">
        <v>13</v>
      </c>
      <c r="R330" s="400">
        <f t="shared" si="414"/>
        <v>3607500</v>
      </c>
      <c r="S330" s="400">
        <f t="shared" si="415"/>
        <v>3607500</v>
      </c>
    </row>
    <row r="331" spans="1:19" s="515" customFormat="1" x14ac:dyDescent="0.25">
      <c r="A331" s="751"/>
      <c r="B331" s="443" t="s">
        <v>503</v>
      </c>
      <c r="C331" s="748"/>
      <c r="D331" s="751"/>
      <c r="E331" s="751">
        <f>SUM(E332:E334)</f>
        <v>0</v>
      </c>
      <c r="F331" s="751">
        <f t="shared" ref="F331:S331" si="419">SUM(F332:F334)</f>
        <v>0</v>
      </c>
      <c r="G331" s="751">
        <f t="shared" si="419"/>
        <v>2736</v>
      </c>
      <c r="H331" s="751">
        <f t="shared" si="419"/>
        <v>0</v>
      </c>
      <c r="I331" s="751">
        <f t="shared" si="419"/>
        <v>2736</v>
      </c>
      <c r="J331" s="751">
        <f t="shared" si="419"/>
        <v>13.14</v>
      </c>
      <c r="K331" s="751">
        <f t="shared" si="419"/>
        <v>10.512</v>
      </c>
      <c r="L331" s="751">
        <f t="shared" si="419"/>
        <v>0.60000000000000009</v>
      </c>
      <c r="M331" s="751">
        <f t="shared" si="419"/>
        <v>0</v>
      </c>
      <c r="N331" s="751">
        <f t="shared" si="419"/>
        <v>0</v>
      </c>
      <c r="O331" s="751">
        <f t="shared" si="419"/>
        <v>0</v>
      </c>
      <c r="P331" s="751">
        <f t="shared" si="419"/>
        <v>2396.7360000000003</v>
      </c>
      <c r="Q331" s="751">
        <f t="shared" si="419"/>
        <v>39</v>
      </c>
      <c r="R331" s="751">
        <f t="shared" si="419"/>
        <v>31157568.000000004</v>
      </c>
      <c r="S331" s="751">
        <f t="shared" si="419"/>
        <v>31157568.000000004</v>
      </c>
    </row>
    <row r="332" spans="1:19" x14ac:dyDescent="0.25">
      <c r="A332" s="422"/>
      <c r="C332" s="443"/>
      <c r="D332" s="422"/>
      <c r="E332" s="422"/>
      <c r="F332" s="443" t="s">
        <v>474</v>
      </c>
      <c r="G332" s="400">
        <f t="shared" si="411"/>
        <v>1909</v>
      </c>
      <c r="H332" s="690"/>
      <c r="I332" s="422">
        <v>1909</v>
      </c>
      <c r="J332" s="422">
        <v>4.38</v>
      </c>
      <c r="K332" s="422">
        <f t="shared" si="412"/>
        <v>3.504</v>
      </c>
      <c r="L332" s="422">
        <v>0.2</v>
      </c>
      <c r="M332" s="400"/>
      <c r="N332" s="400"/>
      <c r="O332" s="400"/>
      <c r="P332" s="422">
        <f t="shared" si="413"/>
        <v>1672.2840000000001</v>
      </c>
      <c r="Q332" s="400">
        <v>13</v>
      </c>
      <c r="R332" s="400">
        <f t="shared" si="414"/>
        <v>21739692.000000004</v>
      </c>
      <c r="S332" s="400">
        <f t="shared" si="415"/>
        <v>21739692.000000004</v>
      </c>
    </row>
    <row r="333" spans="1:19" x14ac:dyDescent="0.25">
      <c r="A333" s="422"/>
      <c r="B333" s="443"/>
      <c r="C333" s="443"/>
      <c r="D333" s="422"/>
      <c r="E333" s="422"/>
      <c r="F333" s="443" t="s">
        <v>586</v>
      </c>
      <c r="G333" s="400">
        <f t="shared" si="411"/>
        <v>643</v>
      </c>
      <c r="H333" s="690"/>
      <c r="I333" s="422">
        <v>643</v>
      </c>
      <c r="J333" s="422">
        <v>4.38</v>
      </c>
      <c r="K333" s="422">
        <f t="shared" si="412"/>
        <v>3.504</v>
      </c>
      <c r="L333" s="422">
        <v>0.2</v>
      </c>
      <c r="M333" s="400"/>
      <c r="N333" s="400"/>
      <c r="O333" s="400"/>
      <c r="P333" s="422">
        <f t="shared" si="413"/>
        <v>563.26800000000003</v>
      </c>
      <c r="Q333" s="400">
        <v>13</v>
      </c>
      <c r="R333" s="400">
        <f t="shared" si="414"/>
        <v>7322484</v>
      </c>
      <c r="S333" s="400">
        <f t="shared" si="415"/>
        <v>7322484</v>
      </c>
    </row>
    <row r="334" spans="1:19" x14ac:dyDescent="0.25">
      <c r="A334" s="422"/>
      <c r="B334" s="443"/>
      <c r="C334" s="443"/>
      <c r="D334" s="422"/>
      <c r="E334" s="422"/>
      <c r="F334" s="443" t="s">
        <v>487</v>
      </c>
      <c r="G334" s="400">
        <f t="shared" si="411"/>
        <v>184</v>
      </c>
      <c r="H334" s="690"/>
      <c r="I334" s="422">
        <v>184</v>
      </c>
      <c r="J334" s="422">
        <v>4.38</v>
      </c>
      <c r="K334" s="422">
        <f t="shared" si="412"/>
        <v>3.504</v>
      </c>
      <c r="L334" s="422">
        <v>0.2</v>
      </c>
      <c r="M334" s="400"/>
      <c r="N334" s="400"/>
      <c r="O334" s="400"/>
      <c r="P334" s="422">
        <f t="shared" si="413"/>
        <v>161.184</v>
      </c>
      <c r="Q334" s="400">
        <v>13</v>
      </c>
      <c r="R334" s="400">
        <f t="shared" si="414"/>
        <v>2095391.9999999998</v>
      </c>
      <c r="S334" s="400">
        <f t="shared" si="415"/>
        <v>2095391.9999999998</v>
      </c>
    </row>
    <row r="335" spans="1:19" s="515" customFormat="1" x14ac:dyDescent="0.25">
      <c r="A335" s="751"/>
      <c r="B335" s="443" t="s">
        <v>642</v>
      </c>
      <c r="C335" s="748"/>
      <c r="D335" s="751"/>
      <c r="E335" s="751">
        <f>SUM(E336:E337)</f>
        <v>0</v>
      </c>
      <c r="F335" s="751">
        <f t="shared" ref="F335:S335" si="420">SUM(F336:F337)</f>
        <v>0</v>
      </c>
      <c r="G335" s="751">
        <f t="shared" si="420"/>
        <v>2342.5</v>
      </c>
      <c r="H335" s="751">
        <f t="shared" si="420"/>
        <v>0</v>
      </c>
      <c r="I335" s="751">
        <f t="shared" si="420"/>
        <v>2342.5</v>
      </c>
      <c r="J335" s="751">
        <f t="shared" si="420"/>
        <v>8.08</v>
      </c>
      <c r="K335" s="751">
        <f t="shared" si="420"/>
        <v>7.2720000000000002</v>
      </c>
      <c r="L335" s="751">
        <f t="shared" si="420"/>
        <v>0.2</v>
      </c>
      <c r="M335" s="751">
        <f t="shared" si="420"/>
        <v>0</v>
      </c>
      <c r="N335" s="751">
        <f t="shared" si="420"/>
        <v>0</v>
      </c>
      <c r="O335" s="751">
        <f t="shared" si="420"/>
        <v>0</v>
      </c>
      <c r="P335" s="751">
        <f t="shared" si="420"/>
        <v>977.39499999999998</v>
      </c>
      <c r="Q335" s="751">
        <f t="shared" si="420"/>
        <v>26</v>
      </c>
      <c r="R335" s="751">
        <f t="shared" si="420"/>
        <v>12706135</v>
      </c>
      <c r="S335" s="751">
        <f t="shared" si="420"/>
        <v>12706135</v>
      </c>
    </row>
    <row r="336" spans="1:19" x14ac:dyDescent="0.25">
      <c r="A336" s="422"/>
      <c r="C336" s="443" t="s">
        <v>713</v>
      </c>
      <c r="D336" s="422"/>
      <c r="E336" s="422"/>
      <c r="F336" s="443" t="s">
        <v>474</v>
      </c>
      <c r="G336" s="400">
        <f t="shared" si="411"/>
        <v>1627.5</v>
      </c>
      <c r="H336" s="690"/>
      <c r="I336" s="422">
        <v>1627.5</v>
      </c>
      <c r="J336" s="422">
        <v>4.38</v>
      </c>
      <c r="K336" s="422">
        <f t="shared" si="412"/>
        <v>3.9419999999999997</v>
      </c>
      <c r="L336" s="422">
        <v>0.1</v>
      </c>
      <c r="M336" s="400"/>
      <c r="N336" s="400"/>
      <c r="O336" s="400"/>
      <c r="P336" s="422">
        <f t="shared" si="413"/>
        <v>712.84500000000003</v>
      </c>
      <c r="Q336" s="400">
        <v>13</v>
      </c>
      <c r="R336" s="400">
        <f t="shared" si="414"/>
        <v>9266985</v>
      </c>
      <c r="S336" s="400">
        <f t="shared" si="415"/>
        <v>9266985</v>
      </c>
    </row>
    <row r="337" spans="1:19" x14ac:dyDescent="0.25">
      <c r="A337" s="422"/>
      <c r="B337" s="443"/>
      <c r="C337" s="443" t="s">
        <v>716</v>
      </c>
      <c r="D337" s="422"/>
      <c r="E337" s="422"/>
      <c r="F337" s="443" t="s">
        <v>474</v>
      </c>
      <c r="G337" s="400">
        <f t="shared" si="411"/>
        <v>715</v>
      </c>
      <c r="H337" s="690"/>
      <c r="I337" s="422">
        <v>715</v>
      </c>
      <c r="J337" s="422">
        <v>3.7</v>
      </c>
      <c r="K337" s="422">
        <f t="shared" si="412"/>
        <v>3.33</v>
      </c>
      <c r="L337" s="422">
        <v>0.1</v>
      </c>
      <c r="M337" s="400"/>
      <c r="N337" s="400"/>
      <c r="O337" s="400"/>
      <c r="P337" s="422">
        <f t="shared" si="413"/>
        <v>264.55</v>
      </c>
      <c r="Q337" s="400">
        <v>13</v>
      </c>
      <c r="R337" s="400">
        <f t="shared" si="414"/>
        <v>3439150</v>
      </c>
      <c r="S337" s="400">
        <f t="shared" si="415"/>
        <v>3439150</v>
      </c>
    </row>
    <row r="338" spans="1:19" x14ac:dyDescent="0.25">
      <c r="A338" s="422"/>
      <c r="B338" s="443" t="s">
        <v>499</v>
      </c>
      <c r="C338" s="443"/>
      <c r="D338" s="422"/>
      <c r="E338" s="422"/>
      <c r="F338" s="443" t="s">
        <v>474</v>
      </c>
      <c r="G338" s="400">
        <f t="shared" si="411"/>
        <v>130</v>
      </c>
      <c r="H338" s="690"/>
      <c r="I338" s="422">
        <v>130</v>
      </c>
      <c r="J338" s="422">
        <v>4.38</v>
      </c>
      <c r="K338" s="422">
        <f t="shared" si="412"/>
        <v>3.9419999999999997</v>
      </c>
      <c r="L338" s="422">
        <v>0.1</v>
      </c>
      <c r="M338" s="400"/>
      <c r="N338" s="400"/>
      <c r="O338" s="400"/>
      <c r="P338" s="422">
        <f t="shared" si="413"/>
        <v>56.94</v>
      </c>
      <c r="Q338" s="400">
        <v>13</v>
      </c>
      <c r="R338" s="400">
        <f t="shared" si="414"/>
        <v>740220</v>
      </c>
      <c r="S338" s="400">
        <f t="shared" si="415"/>
        <v>740220</v>
      </c>
    </row>
    <row r="339" spans="1:19" s="515" customFormat="1" x14ac:dyDescent="0.25">
      <c r="A339" s="751"/>
      <c r="B339" s="443" t="s">
        <v>498</v>
      </c>
      <c r="C339" s="748"/>
      <c r="D339" s="751"/>
      <c r="E339" s="751">
        <f>SUM(E340:E343)</f>
        <v>0</v>
      </c>
      <c r="F339" s="751">
        <f t="shared" ref="F339:S339" si="421">SUM(F340:F343)</f>
        <v>0</v>
      </c>
      <c r="G339" s="751">
        <f t="shared" si="421"/>
        <v>2061</v>
      </c>
      <c r="H339" s="751">
        <f t="shared" si="421"/>
        <v>0</v>
      </c>
      <c r="I339" s="751">
        <f t="shared" si="421"/>
        <v>2061</v>
      </c>
      <c r="J339" s="751">
        <f t="shared" si="421"/>
        <v>16.16</v>
      </c>
      <c r="K339" s="751">
        <f t="shared" si="421"/>
        <v>14.139999999999999</v>
      </c>
      <c r="L339" s="751">
        <f t="shared" si="421"/>
        <v>0.5</v>
      </c>
      <c r="M339" s="751">
        <f t="shared" si="421"/>
        <v>0</v>
      </c>
      <c r="N339" s="751">
        <f t="shared" si="421"/>
        <v>0</v>
      </c>
      <c r="O339" s="751">
        <f t="shared" si="421"/>
        <v>0</v>
      </c>
      <c r="P339" s="751">
        <f t="shared" si="421"/>
        <v>850.45500000000015</v>
      </c>
      <c r="Q339" s="751">
        <f t="shared" si="421"/>
        <v>52</v>
      </c>
      <c r="R339" s="751">
        <f t="shared" si="421"/>
        <v>11055915</v>
      </c>
      <c r="S339" s="751">
        <f t="shared" si="421"/>
        <v>11055915</v>
      </c>
    </row>
    <row r="340" spans="1:19" x14ac:dyDescent="0.25">
      <c r="A340" s="422"/>
      <c r="C340" s="443" t="s">
        <v>713</v>
      </c>
      <c r="D340" s="422"/>
      <c r="E340" s="422"/>
      <c r="F340" s="443" t="s">
        <v>474</v>
      </c>
      <c r="G340" s="400">
        <f t="shared" si="411"/>
        <v>1125</v>
      </c>
      <c r="H340" s="690"/>
      <c r="I340" s="422">
        <v>1125</v>
      </c>
      <c r="J340" s="422">
        <v>4.38</v>
      </c>
      <c r="K340" s="422">
        <f t="shared" si="412"/>
        <v>3.9419999999999997</v>
      </c>
      <c r="L340" s="422">
        <v>0.1</v>
      </c>
      <c r="M340" s="400"/>
      <c r="N340" s="400"/>
      <c r="O340" s="400"/>
      <c r="P340" s="422">
        <f t="shared" si="413"/>
        <v>492.75</v>
      </c>
      <c r="Q340" s="400">
        <v>13</v>
      </c>
      <c r="R340" s="400">
        <f t="shared" si="414"/>
        <v>6405750</v>
      </c>
      <c r="S340" s="400">
        <f t="shared" si="415"/>
        <v>6405750</v>
      </c>
    </row>
    <row r="341" spans="1:19" x14ac:dyDescent="0.25">
      <c r="A341" s="422"/>
      <c r="B341" s="443"/>
      <c r="C341" s="443"/>
      <c r="D341" s="422"/>
      <c r="E341" s="422"/>
      <c r="F341" s="443" t="s">
        <v>504</v>
      </c>
      <c r="G341" s="400">
        <f t="shared" si="411"/>
        <v>30</v>
      </c>
      <c r="H341" s="690"/>
      <c r="I341" s="422">
        <v>30</v>
      </c>
      <c r="J341" s="422">
        <v>4.38</v>
      </c>
      <c r="K341" s="422">
        <f t="shared" si="412"/>
        <v>3.7229999999999999</v>
      </c>
      <c r="L341" s="422">
        <v>0.15</v>
      </c>
      <c r="M341" s="400"/>
      <c r="N341" s="400"/>
      <c r="O341" s="400"/>
      <c r="P341" s="422">
        <f t="shared" si="413"/>
        <v>19.71</v>
      </c>
      <c r="Q341" s="400">
        <v>13</v>
      </c>
      <c r="R341" s="400">
        <f t="shared" si="414"/>
        <v>256230.00000000003</v>
      </c>
      <c r="S341" s="400">
        <f t="shared" si="415"/>
        <v>256230.00000000003</v>
      </c>
    </row>
    <row r="342" spans="1:19" x14ac:dyDescent="0.25">
      <c r="A342" s="422"/>
      <c r="B342" s="443"/>
      <c r="C342" s="443" t="s">
        <v>716</v>
      </c>
      <c r="D342" s="422"/>
      <c r="E342" s="422"/>
      <c r="F342" s="443" t="s">
        <v>474</v>
      </c>
      <c r="G342" s="400">
        <f t="shared" si="411"/>
        <v>891</v>
      </c>
      <c r="H342" s="690"/>
      <c r="I342" s="422">
        <v>891</v>
      </c>
      <c r="J342" s="422">
        <v>3.7</v>
      </c>
      <c r="K342" s="422">
        <f t="shared" si="412"/>
        <v>3.33</v>
      </c>
      <c r="L342" s="422">
        <v>0.1</v>
      </c>
      <c r="M342" s="400"/>
      <c r="N342" s="400"/>
      <c r="O342" s="400"/>
      <c r="P342" s="422">
        <f t="shared" si="413"/>
        <v>329.67000000000007</v>
      </c>
      <c r="Q342" s="400">
        <v>13</v>
      </c>
      <c r="R342" s="400">
        <f t="shared" si="414"/>
        <v>4285710.0000000009</v>
      </c>
      <c r="S342" s="400">
        <f t="shared" si="415"/>
        <v>4285710.0000000009</v>
      </c>
    </row>
    <row r="343" spans="1:19" x14ac:dyDescent="0.25">
      <c r="A343" s="422"/>
      <c r="B343" s="443"/>
      <c r="C343" s="443"/>
      <c r="D343" s="422"/>
      <c r="E343" s="422"/>
      <c r="F343" s="443" t="s">
        <v>504</v>
      </c>
      <c r="G343" s="400">
        <f t="shared" si="411"/>
        <v>15</v>
      </c>
      <c r="H343" s="690"/>
      <c r="I343" s="422">
        <v>15</v>
      </c>
      <c r="J343" s="422">
        <v>3.7</v>
      </c>
      <c r="K343" s="422">
        <f t="shared" si="412"/>
        <v>3.145</v>
      </c>
      <c r="L343" s="422">
        <v>0.15</v>
      </c>
      <c r="M343" s="400"/>
      <c r="N343" s="400"/>
      <c r="O343" s="400"/>
      <c r="P343" s="422">
        <f t="shared" si="413"/>
        <v>8.3249999999999993</v>
      </c>
      <c r="Q343" s="400">
        <v>13</v>
      </c>
      <c r="R343" s="400">
        <f t="shared" si="414"/>
        <v>108225</v>
      </c>
      <c r="S343" s="400">
        <f t="shared" si="415"/>
        <v>108225</v>
      </c>
    </row>
    <row r="344" spans="1:19" s="515" customFormat="1" x14ac:dyDescent="0.25">
      <c r="A344" s="751"/>
      <c r="B344" s="443" t="s">
        <v>259</v>
      </c>
      <c r="C344" s="748"/>
      <c r="D344" s="751"/>
      <c r="E344" s="751">
        <f>SUM(E345:E347)</f>
        <v>0</v>
      </c>
      <c r="F344" s="751">
        <f t="shared" ref="F344:S344" si="422">SUM(F345:F347)</f>
        <v>0</v>
      </c>
      <c r="G344" s="751">
        <f t="shared" si="422"/>
        <v>452</v>
      </c>
      <c r="H344" s="751">
        <f t="shared" si="422"/>
        <v>0</v>
      </c>
      <c r="I344" s="751">
        <f t="shared" si="422"/>
        <v>452</v>
      </c>
      <c r="J344" s="751">
        <f t="shared" si="422"/>
        <v>13.14</v>
      </c>
      <c r="K344" s="751">
        <f t="shared" si="422"/>
        <v>10.95</v>
      </c>
      <c r="L344" s="751">
        <f t="shared" si="422"/>
        <v>0.5</v>
      </c>
      <c r="M344" s="751">
        <f t="shared" si="422"/>
        <v>0</v>
      </c>
      <c r="N344" s="751">
        <f t="shared" si="422"/>
        <v>0</v>
      </c>
      <c r="O344" s="751">
        <f t="shared" si="422"/>
        <v>0</v>
      </c>
      <c r="P344" s="751">
        <f t="shared" si="422"/>
        <v>282.072</v>
      </c>
      <c r="Q344" s="751">
        <f t="shared" si="422"/>
        <v>39</v>
      </c>
      <c r="R344" s="751">
        <f t="shared" si="422"/>
        <v>3666936</v>
      </c>
      <c r="S344" s="751">
        <f t="shared" si="422"/>
        <v>3666936</v>
      </c>
    </row>
    <row r="345" spans="1:19" x14ac:dyDescent="0.25">
      <c r="A345" s="422"/>
      <c r="C345" s="443"/>
      <c r="D345" s="422"/>
      <c r="E345" s="422"/>
      <c r="F345" s="443" t="s">
        <v>474</v>
      </c>
      <c r="G345" s="400">
        <f t="shared" si="411"/>
        <v>260</v>
      </c>
      <c r="H345" s="690"/>
      <c r="I345" s="422">
        <v>260</v>
      </c>
      <c r="J345" s="422">
        <v>4.38</v>
      </c>
      <c r="K345" s="422">
        <f t="shared" si="412"/>
        <v>3.9419999999999997</v>
      </c>
      <c r="L345" s="422">
        <v>0.1</v>
      </c>
      <c r="M345" s="400"/>
      <c r="N345" s="400"/>
      <c r="O345" s="400"/>
      <c r="P345" s="422">
        <f t="shared" si="413"/>
        <v>113.88</v>
      </c>
      <c r="Q345" s="400">
        <v>13</v>
      </c>
      <c r="R345" s="400">
        <f t="shared" si="414"/>
        <v>1480440</v>
      </c>
      <c r="S345" s="400">
        <f t="shared" si="415"/>
        <v>1480440</v>
      </c>
    </row>
    <row r="346" spans="1:19" x14ac:dyDescent="0.25">
      <c r="A346" s="422"/>
      <c r="B346" s="443"/>
      <c r="C346" s="443"/>
      <c r="D346" s="422"/>
      <c r="E346" s="422"/>
      <c r="F346" s="443" t="s">
        <v>586</v>
      </c>
      <c r="G346" s="400">
        <f t="shared" si="411"/>
        <v>150</v>
      </c>
      <c r="H346" s="690"/>
      <c r="I346" s="422">
        <v>150</v>
      </c>
      <c r="J346" s="422">
        <v>4.38</v>
      </c>
      <c r="K346" s="422">
        <f t="shared" si="412"/>
        <v>3.504</v>
      </c>
      <c r="L346" s="422">
        <v>0.2</v>
      </c>
      <c r="M346" s="400"/>
      <c r="N346" s="400"/>
      <c r="O346" s="400"/>
      <c r="P346" s="422">
        <f t="shared" si="413"/>
        <v>131.4</v>
      </c>
      <c r="Q346" s="400">
        <v>13</v>
      </c>
      <c r="R346" s="400">
        <f t="shared" si="414"/>
        <v>1708200</v>
      </c>
      <c r="S346" s="400">
        <f t="shared" si="415"/>
        <v>1708200</v>
      </c>
    </row>
    <row r="347" spans="1:19" ht="31.5" x14ac:dyDescent="0.25">
      <c r="A347" s="422"/>
      <c r="B347" s="443"/>
      <c r="C347" s="443"/>
      <c r="D347" s="422"/>
      <c r="E347" s="422"/>
      <c r="F347" s="1045" t="s">
        <v>913</v>
      </c>
      <c r="G347" s="1046">
        <f t="shared" si="411"/>
        <v>42</v>
      </c>
      <c r="H347" s="1043"/>
      <c r="I347" s="1044">
        <v>42</v>
      </c>
      <c r="J347" s="1044">
        <v>4.38</v>
      </c>
      <c r="K347" s="1044">
        <f t="shared" si="412"/>
        <v>3.504</v>
      </c>
      <c r="L347" s="1044">
        <v>0.2</v>
      </c>
      <c r="M347" s="1046"/>
      <c r="N347" s="1046"/>
      <c r="O347" s="1046"/>
      <c r="P347" s="1044">
        <f t="shared" si="413"/>
        <v>36.792000000000002</v>
      </c>
      <c r="Q347" s="400">
        <v>13</v>
      </c>
      <c r="R347" s="1046">
        <f t="shared" si="414"/>
        <v>478296.00000000006</v>
      </c>
      <c r="S347" s="1046">
        <f t="shared" si="415"/>
        <v>478296.00000000006</v>
      </c>
    </row>
    <row r="348" spans="1:19" s="515" customFormat="1" x14ac:dyDescent="0.25">
      <c r="A348" s="751"/>
      <c r="B348" s="443" t="s">
        <v>502</v>
      </c>
      <c r="C348" s="748"/>
      <c r="D348" s="751"/>
      <c r="E348" s="751">
        <f>SUM(E349:E353)</f>
        <v>0</v>
      </c>
      <c r="F348" s="751">
        <f t="shared" ref="F348:S348" si="423">SUM(F349:F353)</f>
        <v>0</v>
      </c>
      <c r="G348" s="751">
        <f t="shared" si="423"/>
        <v>4257.5</v>
      </c>
      <c r="H348" s="751">
        <f t="shared" si="423"/>
        <v>0</v>
      </c>
      <c r="I348" s="751">
        <f t="shared" si="423"/>
        <v>4257.5</v>
      </c>
      <c r="J348" s="751">
        <f t="shared" si="423"/>
        <v>20.54</v>
      </c>
      <c r="K348" s="751">
        <f t="shared" si="423"/>
        <v>18.266999999999999</v>
      </c>
      <c r="L348" s="751">
        <f t="shared" si="423"/>
        <v>0.54999999999999993</v>
      </c>
      <c r="M348" s="751">
        <f t="shared" si="423"/>
        <v>0</v>
      </c>
      <c r="N348" s="751">
        <f t="shared" si="423"/>
        <v>0</v>
      </c>
      <c r="O348" s="751">
        <f t="shared" si="423"/>
        <v>0</v>
      </c>
      <c r="P348" s="751">
        <f t="shared" si="423"/>
        <v>1871.7045000000001</v>
      </c>
      <c r="Q348" s="751">
        <f t="shared" si="423"/>
        <v>65</v>
      </c>
      <c r="R348" s="751">
        <f t="shared" si="423"/>
        <v>24332158.5</v>
      </c>
      <c r="S348" s="751">
        <f t="shared" si="423"/>
        <v>24332158.5</v>
      </c>
    </row>
    <row r="349" spans="1:19" x14ac:dyDescent="0.25">
      <c r="A349" s="422"/>
      <c r="C349" s="443" t="s">
        <v>713</v>
      </c>
      <c r="D349" s="422"/>
      <c r="E349" s="422"/>
      <c r="F349" s="443" t="s">
        <v>481</v>
      </c>
      <c r="G349" s="400">
        <f t="shared" si="411"/>
        <v>2511</v>
      </c>
      <c r="H349" s="690"/>
      <c r="I349" s="422">
        <v>2511</v>
      </c>
      <c r="J349" s="422">
        <v>4.38</v>
      </c>
      <c r="K349" s="422">
        <f t="shared" si="412"/>
        <v>3.9419999999999997</v>
      </c>
      <c r="L349" s="422">
        <v>0.1</v>
      </c>
      <c r="M349" s="400"/>
      <c r="N349" s="400"/>
      <c r="O349" s="400"/>
      <c r="P349" s="422">
        <f t="shared" si="413"/>
        <v>1099.818</v>
      </c>
      <c r="Q349" s="400">
        <v>13</v>
      </c>
      <c r="R349" s="400">
        <f t="shared" si="414"/>
        <v>14297634</v>
      </c>
      <c r="S349" s="400">
        <f t="shared" si="415"/>
        <v>14297634</v>
      </c>
    </row>
    <row r="350" spans="1:19" x14ac:dyDescent="0.25">
      <c r="A350" s="422"/>
      <c r="B350" s="443"/>
      <c r="C350" s="443"/>
      <c r="D350" s="422"/>
      <c r="E350" s="422"/>
      <c r="F350" s="443" t="s">
        <v>636</v>
      </c>
      <c r="G350" s="400">
        <f t="shared" si="411"/>
        <v>504</v>
      </c>
      <c r="H350" s="690"/>
      <c r="I350" s="422">
        <v>504</v>
      </c>
      <c r="J350" s="422">
        <v>4.38</v>
      </c>
      <c r="K350" s="422">
        <f t="shared" si="412"/>
        <v>3.9419999999999997</v>
      </c>
      <c r="L350" s="422">
        <v>0.1</v>
      </c>
      <c r="M350" s="400"/>
      <c r="N350" s="400"/>
      <c r="O350" s="400"/>
      <c r="P350" s="422">
        <f t="shared" si="413"/>
        <v>220.75200000000001</v>
      </c>
      <c r="Q350" s="400">
        <v>13</v>
      </c>
      <c r="R350" s="400">
        <f t="shared" si="414"/>
        <v>2869776.0000000005</v>
      </c>
      <c r="S350" s="400">
        <f t="shared" si="415"/>
        <v>2869776.0000000005</v>
      </c>
    </row>
    <row r="351" spans="1:19" x14ac:dyDescent="0.25">
      <c r="A351" s="422"/>
      <c r="B351" s="443"/>
      <c r="C351" s="443"/>
      <c r="D351" s="422"/>
      <c r="E351" s="422"/>
      <c r="F351" s="443" t="s">
        <v>504</v>
      </c>
      <c r="G351" s="400">
        <f t="shared" si="411"/>
        <v>318.5</v>
      </c>
      <c r="H351" s="690"/>
      <c r="I351" s="422">
        <v>318.5</v>
      </c>
      <c r="J351" s="422">
        <v>4.38</v>
      </c>
      <c r="K351" s="422">
        <f t="shared" si="412"/>
        <v>3.7229999999999999</v>
      </c>
      <c r="L351" s="422">
        <v>0.15</v>
      </c>
      <c r="M351" s="400"/>
      <c r="N351" s="400"/>
      <c r="O351" s="400"/>
      <c r="P351" s="422">
        <f t="shared" si="413"/>
        <v>209.25449999999998</v>
      </c>
      <c r="Q351" s="400">
        <v>13</v>
      </c>
      <c r="R351" s="400">
        <f t="shared" si="414"/>
        <v>2720308.4999999995</v>
      </c>
      <c r="S351" s="400">
        <f t="shared" si="415"/>
        <v>2720308.4999999995</v>
      </c>
    </row>
    <row r="352" spans="1:19" x14ac:dyDescent="0.25">
      <c r="A352" s="422"/>
      <c r="B352" s="443"/>
      <c r="C352" s="443" t="s">
        <v>716</v>
      </c>
      <c r="D352" s="422"/>
      <c r="E352" s="422"/>
      <c r="F352" s="443" t="s">
        <v>481</v>
      </c>
      <c r="G352" s="400">
        <f t="shared" si="411"/>
        <v>739</v>
      </c>
      <c r="H352" s="690"/>
      <c r="I352" s="422">
        <v>739</v>
      </c>
      <c r="J352" s="422">
        <v>3.7</v>
      </c>
      <c r="K352" s="422">
        <f t="shared" si="412"/>
        <v>3.33</v>
      </c>
      <c r="L352" s="422">
        <v>0.1</v>
      </c>
      <c r="M352" s="400"/>
      <c r="N352" s="400"/>
      <c r="O352" s="400"/>
      <c r="P352" s="422">
        <f t="shared" si="413"/>
        <v>273.43</v>
      </c>
      <c r="Q352" s="400">
        <v>13</v>
      </c>
      <c r="R352" s="400">
        <f t="shared" si="414"/>
        <v>3554590</v>
      </c>
      <c r="S352" s="400">
        <f t="shared" si="415"/>
        <v>3554590</v>
      </c>
    </row>
    <row r="353" spans="1:19" x14ac:dyDescent="0.25">
      <c r="A353" s="422"/>
      <c r="B353" s="443"/>
      <c r="C353" s="443"/>
      <c r="D353" s="422"/>
      <c r="E353" s="422"/>
      <c r="F353" s="443" t="s">
        <v>636</v>
      </c>
      <c r="G353" s="400">
        <f t="shared" si="411"/>
        <v>185</v>
      </c>
      <c r="H353" s="690"/>
      <c r="I353" s="422">
        <v>185</v>
      </c>
      <c r="J353" s="422">
        <v>3.7</v>
      </c>
      <c r="K353" s="422">
        <f t="shared" si="412"/>
        <v>3.33</v>
      </c>
      <c r="L353" s="422">
        <v>0.1</v>
      </c>
      <c r="M353" s="400"/>
      <c r="N353" s="400"/>
      <c r="O353" s="400"/>
      <c r="P353" s="422">
        <f t="shared" si="413"/>
        <v>68.45</v>
      </c>
      <c r="Q353" s="400">
        <v>13</v>
      </c>
      <c r="R353" s="400">
        <f t="shared" si="414"/>
        <v>889850</v>
      </c>
      <c r="S353" s="400">
        <f t="shared" si="415"/>
        <v>889850</v>
      </c>
    </row>
    <row r="354" spans="1:19" x14ac:dyDescent="0.25">
      <c r="A354" s="422"/>
      <c r="B354" s="464" t="s">
        <v>507</v>
      </c>
      <c r="C354" s="464"/>
      <c r="D354" s="691"/>
      <c r="E354" s="691"/>
      <c r="F354" s="464"/>
      <c r="G354" s="419">
        <f>SUM(G356:G392)</f>
        <v>30307.699999999997</v>
      </c>
      <c r="H354" s="419">
        <f>SUM(H356:H392)</f>
        <v>600.5</v>
      </c>
      <c r="I354" s="419">
        <f>SUM(I356:I392)</f>
        <v>29707.199999999997</v>
      </c>
      <c r="J354" s="691"/>
      <c r="K354" s="691"/>
      <c r="L354" s="691"/>
      <c r="M354" s="419">
        <f t="shared" ref="M354" si="424">SUM(M356:M392)</f>
        <v>0</v>
      </c>
      <c r="N354" s="419"/>
      <c r="O354" s="419">
        <f t="shared" ref="O354:P354" si="425">SUM(O356:O392)</f>
        <v>951830</v>
      </c>
      <c r="P354" s="419">
        <f t="shared" si="425"/>
        <v>18661.852599999995</v>
      </c>
      <c r="Q354" s="419"/>
      <c r="R354" s="419">
        <f t="shared" ref="R354:S354" si="426">SUM(R356:R392)</f>
        <v>242604083.80000001</v>
      </c>
      <c r="S354" s="419">
        <f t="shared" si="426"/>
        <v>243555913.80000001</v>
      </c>
    </row>
    <row r="355" spans="1:19" s="515" customFormat="1" x14ac:dyDescent="0.25">
      <c r="A355" s="751"/>
      <c r="B355" s="443" t="s">
        <v>186</v>
      </c>
      <c r="C355" s="750"/>
      <c r="D355" s="1072"/>
      <c r="E355" s="1072">
        <f>SUM(E356:E359)</f>
        <v>0</v>
      </c>
      <c r="F355" s="1072">
        <f t="shared" ref="F355:S355" si="427">SUM(F356:F359)</f>
        <v>0</v>
      </c>
      <c r="G355" s="1072">
        <f t="shared" si="427"/>
        <v>429</v>
      </c>
      <c r="H355" s="1072">
        <f t="shared" si="427"/>
        <v>299</v>
      </c>
      <c r="I355" s="1072">
        <f t="shared" si="427"/>
        <v>130</v>
      </c>
      <c r="J355" s="1072">
        <f t="shared" si="427"/>
        <v>17.52</v>
      </c>
      <c r="K355" s="1072">
        <f t="shared" si="427"/>
        <v>7.4459999999999997</v>
      </c>
      <c r="L355" s="1072">
        <f t="shared" si="427"/>
        <v>2.2999999999999998</v>
      </c>
      <c r="M355" s="1072">
        <f t="shared" si="427"/>
        <v>0</v>
      </c>
      <c r="N355" s="1072">
        <f t="shared" si="427"/>
        <v>2700</v>
      </c>
      <c r="O355" s="1072">
        <f t="shared" si="427"/>
        <v>261900</v>
      </c>
      <c r="P355" s="1072">
        <f t="shared" si="427"/>
        <v>549.69000000000005</v>
      </c>
      <c r="Q355" s="1072">
        <f t="shared" si="427"/>
        <v>26</v>
      </c>
      <c r="R355" s="1072">
        <f t="shared" si="427"/>
        <v>7145970</v>
      </c>
      <c r="S355" s="1072">
        <f t="shared" si="427"/>
        <v>7407870</v>
      </c>
    </row>
    <row r="356" spans="1:19" x14ac:dyDescent="0.25">
      <c r="A356" s="422"/>
      <c r="C356" s="443"/>
      <c r="D356" s="422"/>
      <c r="E356" s="422"/>
      <c r="F356" s="443" t="s">
        <v>482</v>
      </c>
      <c r="G356" s="400">
        <f t="shared" ref="G356:G392" si="428">H356+I356</f>
        <v>75</v>
      </c>
      <c r="H356" s="690"/>
      <c r="I356" s="422">
        <v>75</v>
      </c>
      <c r="J356" s="422">
        <v>4.38</v>
      </c>
      <c r="K356" s="422">
        <f t="shared" ref="K356:K392" si="429">J356-(J356*L356)</f>
        <v>3.504</v>
      </c>
      <c r="L356" s="422">
        <v>0.2</v>
      </c>
      <c r="M356" s="400"/>
      <c r="N356" s="400">
        <v>1350</v>
      </c>
      <c r="O356" s="400">
        <f>N356*I356*L356</f>
        <v>20250</v>
      </c>
      <c r="P356" s="422"/>
      <c r="Q356" s="400"/>
      <c r="R356" s="400"/>
      <c r="S356" s="400">
        <f t="shared" ref="S356:S392" si="430">R356+O356</f>
        <v>20250</v>
      </c>
    </row>
    <row r="357" spans="1:19" x14ac:dyDescent="0.25">
      <c r="A357" s="422"/>
      <c r="B357" s="443"/>
      <c r="C357" s="443"/>
      <c r="D357" s="422"/>
      <c r="E357" s="422"/>
      <c r="F357" s="443" t="s">
        <v>482</v>
      </c>
      <c r="G357" s="400">
        <f t="shared" si="428"/>
        <v>179</v>
      </c>
      <c r="H357" s="690">
        <v>179</v>
      </c>
      <c r="I357" s="422"/>
      <c r="J357" s="422">
        <v>4.38</v>
      </c>
      <c r="K357" s="422">
        <f t="shared" si="429"/>
        <v>0</v>
      </c>
      <c r="L357" s="422">
        <v>1</v>
      </c>
      <c r="M357" s="400"/>
      <c r="N357" s="400">
        <v>1350</v>
      </c>
      <c r="O357" s="400">
        <f>N357*H357*L357</f>
        <v>241650</v>
      </c>
      <c r="P357" s="422"/>
      <c r="Q357" s="400"/>
      <c r="R357" s="400"/>
      <c r="S357" s="400">
        <f t="shared" si="430"/>
        <v>241650</v>
      </c>
    </row>
    <row r="358" spans="1:19" x14ac:dyDescent="0.25">
      <c r="A358" s="422"/>
      <c r="B358" s="443"/>
      <c r="C358" s="443"/>
      <c r="D358" s="422"/>
      <c r="E358" s="422"/>
      <c r="F358" s="443" t="s">
        <v>474</v>
      </c>
      <c r="G358" s="400">
        <f t="shared" si="428"/>
        <v>55</v>
      </c>
      <c r="H358" s="690"/>
      <c r="I358" s="422">
        <v>55</v>
      </c>
      <c r="J358" s="422">
        <v>4.38</v>
      </c>
      <c r="K358" s="422">
        <f t="shared" si="429"/>
        <v>3.9419999999999997</v>
      </c>
      <c r="L358" s="422">
        <v>0.1</v>
      </c>
      <c r="M358" s="400"/>
      <c r="N358" s="400"/>
      <c r="O358" s="400"/>
      <c r="P358" s="422">
        <f t="shared" ref="P358" si="431">I358*J358*L358</f>
        <v>24.090000000000003</v>
      </c>
      <c r="Q358" s="400">
        <v>13</v>
      </c>
      <c r="R358" s="400">
        <f t="shared" ref="R358:R359" si="432">P358*Q358*1000</f>
        <v>313170.00000000006</v>
      </c>
      <c r="S358" s="400">
        <f t="shared" si="430"/>
        <v>313170.00000000006</v>
      </c>
    </row>
    <row r="359" spans="1:19" x14ac:dyDescent="0.25">
      <c r="A359" s="422"/>
      <c r="B359" s="443"/>
      <c r="C359" s="443"/>
      <c r="D359" s="422"/>
      <c r="E359" s="422"/>
      <c r="F359" s="443" t="s">
        <v>474</v>
      </c>
      <c r="G359" s="400">
        <f t="shared" si="428"/>
        <v>120</v>
      </c>
      <c r="H359" s="690">
        <v>120</v>
      </c>
      <c r="I359" s="422"/>
      <c r="J359" s="422">
        <v>4.38</v>
      </c>
      <c r="K359" s="422">
        <f t="shared" si="429"/>
        <v>0</v>
      </c>
      <c r="L359" s="422">
        <v>1</v>
      </c>
      <c r="M359" s="400"/>
      <c r="N359" s="400"/>
      <c r="O359" s="400"/>
      <c r="P359" s="422">
        <f>H359*J359*L359</f>
        <v>525.6</v>
      </c>
      <c r="Q359" s="400">
        <v>13</v>
      </c>
      <c r="R359" s="400">
        <f t="shared" si="432"/>
        <v>6832800</v>
      </c>
      <c r="S359" s="400">
        <f t="shared" si="430"/>
        <v>6832800</v>
      </c>
    </row>
    <row r="360" spans="1:19" s="515" customFormat="1" x14ac:dyDescent="0.25">
      <c r="A360" s="751"/>
      <c r="B360" s="443" t="s">
        <v>514</v>
      </c>
      <c r="C360" s="748"/>
      <c r="D360" s="751"/>
      <c r="E360" s="751">
        <f>SUM(E361:E362)</f>
        <v>0</v>
      </c>
      <c r="F360" s="751">
        <f t="shared" ref="F360:S360" si="433">SUM(F361:F362)</f>
        <v>0</v>
      </c>
      <c r="G360" s="751">
        <f t="shared" si="433"/>
        <v>215</v>
      </c>
      <c r="H360" s="751">
        <f t="shared" si="433"/>
        <v>0</v>
      </c>
      <c r="I360" s="751">
        <f t="shared" si="433"/>
        <v>215</v>
      </c>
      <c r="J360" s="751">
        <f t="shared" si="433"/>
        <v>8.76</v>
      </c>
      <c r="K360" s="751">
        <f t="shared" si="433"/>
        <v>7.8839999999999995</v>
      </c>
      <c r="L360" s="751">
        <f t="shared" si="433"/>
        <v>0.2</v>
      </c>
      <c r="M360" s="751">
        <f t="shared" si="433"/>
        <v>0</v>
      </c>
      <c r="N360" s="751">
        <f t="shared" si="433"/>
        <v>0</v>
      </c>
      <c r="O360" s="751">
        <f t="shared" si="433"/>
        <v>0</v>
      </c>
      <c r="P360" s="751">
        <f t="shared" si="433"/>
        <v>94.170000000000016</v>
      </c>
      <c r="Q360" s="751">
        <f t="shared" si="433"/>
        <v>26</v>
      </c>
      <c r="R360" s="751">
        <f t="shared" si="433"/>
        <v>1224210.0000000002</v>
      </c>
      <c r="S360" s="751">
        <f t="shared" si="433"/>
        <v>1224210.0000000002</v>
      </c>
    </row>
    <row r="361" spans="1:19" x14ac:dyDescent="0.25">
      <c r="A361" s="422"/>
      <c r="C361" s="443"/>
      <c r="D361" s="422"/>
      <c r="E361" s="422"/>
      <c r="F361" s="443" t="s">
        <v>474</v>
      </c>
      <c r="G361" s="400">
        <f>H361+I361</f>
        <v>200</v>
      </c>
      <c r="H361" s="690"/>
      <c r="I361" s="422">
        <v>200</v>
      </c>
      <c r="J361" s="422">
        <v>4.38</v>
      </c>
      <c r="K361" s="422">
        <f t="shared" si="429"/>
        <v>3.9419999999999997</v>
      </c>
      <c r="L361" s="422">
        <v>0.1</v>
      </c>
      <c r="M361" s="400"/>
      <c r="N361" s="400"/>
      <c r="O361" s="400"/>
      <c r="P361" s="422">
        <f>I361*J361*L361</f>
        <v>87.600000000000009</v>
      </c>
      <c r="Q361" s="400">
        <v>13</v>
      </c>
      <c r="R361" s="400">
        <f>P361*Q361*1000</f>
        <v>1138800.0000000002</v>
      </c>
      <c r="S361" s="400">
        <f t="shared" si="430"/>
        <v>1138800.0000000002</v>
      </c>
    </row>
    <row r="362" spans="1:19" x14ac:dyDescent="0.25">
      <c r="A362" s="422"/>
      <c r="B362" s="443"/>
      <c r="C362" s="443"/>
      <c r="D362" s="422"/>
      <c r="E362" s="422"/>
      <c r="F362" s="443" t="s">
        <v>586</v>
      </c>
      <c r="G362" s="400">
        <f>H362+I362</f>
        <v>15</v>
      </c>
      <c r="H362" s="690"/>
      <c r="I362" s="422">
        <v>15</v>
      </c>
      <c r="J362" s="422">
        <v>4.38</v>
      </c>
      <c r="K362" s="422">
        <f t="shared" si="429"/>
        <v>3.9419999999999997</v>
      </c>
      <c r="L362" s="422">
        <v>0.1</v>
      </c>
      <c r="M362" s="400"/>
      <c r="N362" s="400"/>
      <c r="O362" s="400"/>
      <c r="P362" s="422">
        <f>I362*J362*L362</f>
        <v>6.57</v>
      </c>
      <c r="Q362" s="400">
        <v>13</v>
      </c>
      <c r="R362" s="400">
        <f>P362*Q362*1000</f>
        <v>85410</v>
      </c>
      <c r="S362" s="400">
        <f t="shared" si="430"/>
        <v>85410</v>
      </c>
    </row>
    <row r="363" spans="1:19" s="515" customFormat="1" x14ac:dyDescent="0.25">
      <c r="A363" s="751"/>
      <c r="B363" s="443" t="s">
        <v>515</v>
      </c>
      <c r="C363" s="748"/>
      <c r="D363" s="751"/>
      <c r="E363" s="751">
        <f>SUM(E364:E366)</f>
        <v>0</v>
      </c>
      <c r="F363" s="751">
        <f t="shared" ref="F363:S363" si="434">SUM(F364:F366)</f>
        <v>0</v>
      </c>
      <c r="G363" s="751">
        <f t="shared" si="434"/>
        <v>1580</v>
      </c>
      <c r="H363" s="751">
        <f t="shared" si="434"/>
        <v>0</v>
      </c>
      <c r="I363" s="751">
        <f t="shared" si="434"/>
        <v>1580</v>
      </c>
      <c r="J363" s="751">
        <f t="shared" si="434"/>
        <v>12.46</v>
      </c>
      <c r="K363" s="751">
        <f t="shared" si="434"/>
        <v>10.776</v>
      </c>
      <c r="L363" s="751">
        <f t="shared" si="434"/>
        <v>0.4</v>
      </c>
      <c r="M363" s="751">
        <f t="shared" si="434"/>
        <v>0</v>
      </c>
      <c r="N363" s="751">
        <f t="shared" si="434"/>
        <v>8150</v>
      </c>
      <c r="O363" s="751">
        <f t="shared" si="434"/>
        <v>65200</v>
      </c>
      <c r="P363" s="751">
        <f t="shared" si="434"/>
        <v>668.87600000000009</v>
      </c>
      <c r="Q363" s="751">
        <f t="shared" si="434"/>
        <v>26</v>
      </c>
      <c r="R363" s="751">
        <f t="shared" si="434"/>
        <v>8695388.0000000019</v>
      </c>
      <c r="S363" s="751">
        <f t="shared" si="434"/>
        <v>8760588.0000000019</v>
      </c>
    </row>
    <row r="364" spans="1:19" x14ac:dyDescent="0.25">
      <c r="A364" s="422"/>
      <c r="C364" s="443" t="s">
        <v>713</v>
      </c>
      <c r="D364" s="422"/>
      <c r="E364" s="422"/>
      <c r="F364" s="443" t="s">
        <v>474</v>
      </c>
      <c r="G364" s="400">
        <f>H364+I364</f>
        <v>1457</v>
      </c>
      <c r="H364" s="690"/>
      <c r="I364" s="422">
        <f>1382+75</f>
        <v>1457</v>
      </c>
      <c r="J364" s="422">
        <v>4.38</v>
      </c>
      <c r="K364" s="422">
        <f t="shared" si="429"/>
        <v>3.9419999999999997</v>
      </c>
      <c r="L364" s="422">
        <v>0.1</v>
      </c>
      <c r="M364" s="400"/>
      <c r="N364" s="400"/>
      <c r="O364" s="400"/>
      <c r="P364" s="422">
        <f>I364*J364*L364</f>
        <v>638.16600000000005</v>
      </c>
      <c r="Q364" s="400">
        <v>13</v>
      </c>
      <c r="R364" s="400">
        <f>P364*Q364*1000</f>
        <v>8296158.0000000009</v>
      </c>
      <c r="S364" s="400">
        <f t="shared" si="430"/>
        <v>8296158.0000000009</v>
      </c>
    </row>
    <row r="365" spans="1:19" x14ac:dyDescent="0.25">
      <c r="A365" s="422"/>
      <c r="B365" s="443"/>
      <c r="C365" s="443" t="s">
        <v>716</v>
      </c>
      <c r="D365" s="422"/>
      <c r="E365" s="422"/>
      <c r="F365" s="443" t="s">
        <v>474</v>
      </c>
      <c r="G365" s="400">
        <f t="shared" ref="G365:G366" si="435">H365+I365</f>
        <v>83</v>
      </c>
      <c r="H365" s="690"/>
      <c r="I365" s="422">
        <v>83</v>
      </c>
      <c r="J365" s="422">
        <v>3.7</v>
      </c>
      <c r="K365" s="422">
        <f t="shared" si="429"/>
        <v>3.33</v>
      </c>
      <c r="L365" s="422">
        <v>0.1</v>
      </c>
      <c r="M365" s="400"/>
      <c r="N365" s="400"/>
      <c r="O365" s="400"/>
      <c r="P365" s="422">
        <f>I365*J365*L365</f>
        <v>30.710000000000004</v>
      </c>
      <c r="Q365" s="400">
        <v>13</v>
      </c>
      <c r="R365" s="400">
        <f>P365*Q365*1000</f>
        <v>399230.00000000006</v>
      </c>
      <c r="S365" s="400">
        <f t="shared" si="430"/>
        <v>399230.00000000006</v>
      </c>
    </row>
    <row r="366" spans="1:19" x14ac:dyDescent="0.25">
      <c r="A366" s="422"/>
      <c r="B366" s="443"/>
      <c r="C366" s="443"/>
      <c r="D366" s="422"/>
      <c r="E366" s="422"/>
      <c r="F366" s="443" t="s">
        <v>799</v>
      </c>
      <c r="G366" s="400">
        <f t="shared" si="435"/>
        <v>40</v>
      </c>
      <c r="H366" s="690"/>
      <c r="I366" s="422">
        <v>40</v>
      </c>
      <c r="J366" s="422">
        <v>4.38</v>
      </c>
      <c r="K366" s="422">
        <f t="shared" si="429"/>
        <v>3.504</v>
      </c>
      <c r="L366" s="422">
        <v>0.2</v>
      </c>
      <c r="M366" s="400"/>
      <c r="N366" s="400">
        <v>8150</v>
      </c>
      <c r="O366" s="400">
        <f>N366*L366*I366</f>
        <v>65200</v>
      </c>
      <c r="P366" s="422"/>
      <c r="Q366" s="400"/>
      <c r="R366" s="400"/>
      <c r="S366" s="400">
        <f t="shared" si="430"/>
        <v>65200</v>
      </c>
    </row>
    <row r="367" spans="1:19" s="515" customFormat="1" x14ac:dyDescent="0.25">
      <c r="A367" s="751"/>
      <c r="B367" s="443" t="s">
        <v>519</v>
      </c>
      <c r="C367" s="748"/>
      <c r="D367" s="751"/>
      <c r="E367" s="751">
        <f>SUM(E368:E369)</f>
        <v>0</v>
      </c>
      <c r="F367" s="751">
        <f t="shared" ref="F367:S367" si="436">SUM(F368:F369)</f>
        <v>0</v>
      </c>
      <c r="G367" s="751">
        <f t="shared" si="436"/>
        <v>2964</v>
      </c>
      <c r="H367" s="751">
        <f t="shared" si="436"/>
        <v>0</v>
      </c>
      <c r="I367" s="751">
        <f t="shared" si="436"/>
        <v>2964</v>
      </c>
      <c r="J367" s="751">
        <f t="shared" si="436"/>
        <v>8.08</v>
      </c>
      <c r="K367" s="751">
        <f t="shared" si="436"/>
        <v>7.0869999999999997</v>
      </c>
      <c r="L367" s="751">
        <f t="shared" si="436"/>
        <v>0.25</v>
      </c>
      <c r="M367" s="751">
        <f t="shared" si="436"/>
        <v>0</v>
      </c>
      <c r="N367" s="751">
        <f t="shared" si="436"/>
        <v>0</v>
      </c>
      <c r="O367" s="751">
        <f t="shared" si="436"/>
        <v>0</v>
      </c>
      <c r="P367" s="751">
        <f t="shared" si="436"/>
        <v>1475.7795000000001</v>
      </c>
      <c r="Q367" s="751">
        <f t="shared" si="436"/>
        <v>26</v>
      </c>
      <c r="R367" s="751">
        <f t="shared" si="436"/>
        <v>19185133.499999996</v>
      </c>
      <c r="S367" s="751">
        <f t="shared" si="436"/>
        <v>19185133.499999996</v>
      </c>
    </row>
    <row r="368" spans="1:19" x14ac:dyDescent="0.25">
      <c r="A368" s="422"/>
      <c r="C368" s="443"/>
      <c r="D368" s="422"/>
      <c r="E368" s="422"/>
      <c r="F368" s="443" t="s">
        <v>586</v>
      </c>
      <c r="G368" s="400">
        <f>H368+I368</f>
        <v>1446.5</v>
      </c>
      <c r="H368" s="690"/>
      <c r="I368" s="422">
        <v>1446.5</v>
      </c>
      <c r="J368" s="422">
        <v>4.38</v>
      </c>
      <c r="K368" s="422">
        <f t="shared" si="429"/>
        <v>3.9419999999999997</v>
      </c>
      <c r="L368" s="422">
        <v>0.1</v>
      </c>
      <c r="M368" s="400"/>
      <c r="N368" s="400"/>
      <c r="O368" s="400"/>
      <c r="P368" s="422">
        <f>I368*J368*L368</f>
        <v>633.56700000000001</v>
      </c>
      <c r="Q368" s="400">
        <v>13</v>
      </c>
      <c r="R368" s="400">
        <f>P368*Q368*1000</f>
        <v>8236370.9999999991</v>
      </c>
      <c r="S368" s="400">
        <f t="shared" si="430"/>
        <v>8236370.9999999991</v>
      </c>
    </row>
    <row r="369" spans="1:19" x14ac:dyDescent="0.25">
      <c r="A369" s="422"/>
      <c r="B369" s="443"/>
      <c r="C369" s="443" t="s">
        <v>716</v>
      </c>
      <c r="D369" s="422"/>
      <c r="E369" s="422"/>
      <c r="F369" s="443" t="s">
        <v>504</v>
      </c>
      <c r="G369" s="400">
        <f>H369+I369</f>
        <v>1517.5</v>
      </c>
      <c r="H369" s="690"/>
      <c r="I369" s="422">
        <v>1517.5</v>
      </c>
      <c r="J369" s="422">
        <v>3.7</v>
      </c>
      <c r="K369" s="422">
        <f t="shared" si="429"/>
        <v>3.145</v>
      </c>
      <c r="L369" s="422">
        <v>0.15</v>
      </c>
      <c r="M369" s="400"/>
      <c r="N369" s="400"/>
      <c r="O369" s="400"/>
      <c r="P369" s="422">
        <f>I369*J369*L369</f>
        <v>842.21249999999998</v>
      </c>
      <c r="Q369" s="400">
        <v>13</v>
      </c>
      <c r="R369" s="400">
        <f>P369*Q369*1000</f>
        <v>10948762.499999998</v>
      </c>
      <c r="S369" s="400">
        <f t="shared" si="430"/>
        <v>10948762.499999998</v>
      </c>
    </row>
    <row r="370" spans="1:19" s="515" customFormat="1" x14ac:dyDescent="0.25">
      <c r="A370" s="751"/>
      <c r="B370" s="443" t="s">
        <v>649</v>
      </c>
      <c r="C370" s="748"/>
      <c r="D370" s="751"/>
      <c r="E370" s="751">
        <f>SUM(E371:E373)</f>
        <v>0</v>
      </c>
      <c r="F370" s="751">
        <f t="shared" ref="F370:S370" si="437">SUM(F371:F373)</f>
        <v>0</v>
      </c>
      <c r="G370" s="751">
        <f t="shared" si="437"/>
        <v>2375</v>
      </c>
      <c r="H370" s="751">
        <f t="shared" si="437"/>
        <v>0</v>
      </c>
      <c r="I370" s="751">
        <f t="shared" si="437"/>
        <v>2375</v>
      </c>
      <c r="J370" s="751">
        <f t="shared" si="437"/>
        <v>12.46</v>
      </c>
      <c r="K370" s="751">
        <f t="shared" si="437"/>
        <v>10.995000000000001</v>
      </c>
      <c r="L370" s="751">
        <f t="shared" si="437"/>
        <v>0.35</v>
      </c>
      <c r="M370" s="751">
        <f t="shared" si="437"/>
        <v>0</v>
      </c>
      <c r="N370" s="751">
        <f t="shared" si="437"/>
        <v>0</v>
      </c>
      <c r="O370" s="751">
        <f t="shared" si="437"/>
        <v>0</v>
      </c>
      <c r="P370" s="751">
        <f t="shared" si="437"/>
        <v>1250.1030000000001</v>
      </c>
      <c r="Q370" s="751">
        <f t="shared" si="437"/>
        <v>39</v>
      </c>
      <c r="R370" s="751">
        <f t="shared" si="437"/>
        <v>16251338.999999998</v>
      </c>
      <c r="S370" s="751">
        <f t="shared" si="437"/>
        <v>16251338.999999998</v>
      </c>
    </row>
    <row r="371" spans="1:19" x14ac:dyDescent="0.25">
      <c r="A371" s="422"/>
      <c r="C371" s="443"/>
      <c r="D371" s="422"/>
      <c r="E371" s="422"/>
      <c r="F371" s="443" t="s">
        <v>474</v>
      </c>
      <c r="G371" s="400">
        <f t="shared" si="428"/>
        <v>1346</v>
      </c>
      <c r="H371" s="690"/>
      <c r="I371" s="422">
        <v>1346</v>
      </c>
      <c r="J371" s="422">
        <v>4.38</v>
      </c>
      <c r="K371" s="422">
        <f t="shared" si="429"/>
        <v>3.9419999999999997</v>
      </c>
      <c r="L371" s="422">
        <v>0.1</v>
      </c>
      <c r="M371" s="400"/>
      <c r="N371" s="400"/>
      <c r="O371" s="400"/>
      <c r="P371" s="422">
        <f t="shared" ref="P371:P390" si="438">I371*J371*L371</f>
        <v>589.548</v>
      </c>
      <c r="Q371" s="400">
        <v>13</v>
      </c>
      <c r="R371" s="400">
        <f t="shared" ref="R371:R391" si="439">P371*Q371*1000</f>
        <v>7664124</v>
      </c>
      <c r="S371" s="400">
        <f t="shared" si="430"/>
        <v>7664124</v>
      </c>
    </row>
    <row r="372" spans="1:19" x14ac:dyDescent="0.25">
      <c r="A372" s="422"/>
      <c r="B372" s="443"/>
      <c r="C372" s="443"/>
      <c r="D372" s="422"/>
      <c r="E372" s="422"/>
      <c r="F372" s="443" t="s">
        <v>474</v>
      </c>
      <c r="G372" s="400">
        <f>H372+I372</f>
        <v>54</v>
      </c>
      <c r="H372" s="690"/>
      <c r="I372" s="422">
        <v>54</v>
      </c>
      <c r="J372" s="422">
        <v>3.7</v>
      </c>
      <c r="K372" s="422">
        <f>J372-(J372*L372)</f>
        <v>3.33</v>
      </c>
      <c r="L372" s="422">
        <v>0.1</v>
      </c>
      <c r="M372" s="400"/>
      <c r="N372" s="400"/>
      <c r="O372" s="400"/>
      <c r="P372" s="422">
        <f>I372*J372*L372</f>
        <v>19.980000000000004</v>
      </c>
      <c r="Q372" s="400">
        <v>13</v>
      </c>
      <c r="R372" s="400">
        <f>P372*Q372*1000</f>
        <v>259740.00000000006</v>
      </c>
      <c r="S372" s="400">
        <f>R372+O372</f>
        <v>259740.00000000006</v>
      </c>
    </row>
    <row r="373" spans="1:19" x14ac:dyDescent="0.25">
      <c r="A373" s="422"/>
      <c r="B373" s="443"/>
      <c r="C373" s="443"/>
      <c r="D373" s="422"/>
      <c r="E373" s="422"/>
      <c r="F373" s="443" t="s">
        <v>504</v>
      </c>
      <c r="G373" s="400">
        <f>H373+I373</f>
        <v>975</v>
      </c>
      <c r="H373" s="690"/>
      <c r="I373" s="422">
        <v>975</v>
      </c>
      <c r="J373" s="422">
        <v>4.38</v>
      </c>
      <c r="K373" s="422">
        <f>J373-(J373*L373)</f>
        <v>3.7229999999999999</v>
      </c>
      <c r="L373" s="422">
        <v>0.15</v>
      </c>
      <c r="M373" s="400"/>
      <c r="N373" s="400"/>
      <c r="O373" s="400"/>
      <c r="P373" s="422">
        <f>I373*J373*L373</f>
        <v>640.57499999999993</v>
      </c>
      <c r="Q373" s="400">
        <v>13</v>
      </c>
      <c r="R373" s="400">
        <f>P373*Q373*1000</f>
        <v>8327474.9999999981</v>
      </c>
      <c r="S373" s="400">
        <f>R373+O373</f>
        <v>8327474.9999999981</v>
      </c>
    </row>
    <row r="374" spans="1:19" s="515" customFormat="1" x14ac:dyDescent="0.25">
      <c r="A374" s="751"/>
      <c r="B374" s="443" t="s">
        <v>654</v>
      </c>
      <c r="C374" s="748"/>
      <c r="D374" s="751"/>
      <c r="E374" s="751">
        <f>SUM(E375:E378)</f>
        <v>0</v>
      </c>
      <c r="F374" s="751">
        <f t="shared" ref="F374:S374" si="440">SUM(F375:F378)</f>
        <v>0</v>
      </c>
      <c r="G374" s="751">
        <f t="shared" si="440"/>
        <v>721.5</v>
      </c>
      <c r="H374" s="751">
        <f t="shared" si="440"/>
        <v>146</v>
      </c>
      <c r="I374" s="751">
        <f t="shared" si="440"/>
        <v>575.5</v>
      </c>
      <c r="J374" s="751">
        <f t="shared" si="440"/>
        <v>8.08</v>
      </c>
      <c r="K374" s="751">
        <f t="shared" si="440"/>
        <v>7.0869999999999997</v>
      </c>
      <c r="L374" s="751">
        <f t="shared" si="440"/>
        <v>2.25</v>
      </c>
      <c r="M374" s="751">
        <f t="shared" si="440"/>
        <v>0</v>
      </c>
      <c r="N374" s="751">
        <f t="shared" si="440"/>
        <v>6050</v>
      </c>
      <c r="O374" s="751">
        <f t="shared" si="440"/>
        <v>270800</v>
      </c>
      <c r="P374" s="751">
        <f t="shared" si="440"/>
        <v>262.42349999999999</v>
      </c>
      <c r="Q374" s="751">
        <f t="shared" si="440"/>
        <v>26</v>
      </c>
      <c r="R374" s="751">
        <f t="shared" si="440"/>
        <v>3411505.5</v>
      </c>
      <c r="S374" s="751">
        <f t="shared" si="440"/>
        <v>3682305.5</v>
      </c>
    </row>
    <row r="375" spans="1:19" x14ac:dyDescent="0.25">
      <c r="A375" s="422"/>
      <c r="C375" s="443"/>
      <c r="D375" s="422"/>
      <c r="E375" s="422"/>
      <c r="F375" s="443" t="s">
        <v>474</v>
      </c>
      <c r="G375" s="400">
        <f>H375+I375</f>
        <v>487</v>
      </c>
      <c r="H375" s="690"/>
      <c r="I375" s="422">
        <v>487</v>
      </c>
      <c r="J375" s="422">
        <v>4.38</v>
      </c>
      <c r="K375" s="422">
        <f>J375-(J375*L375)</f>
        <v>3.9419999999999997</v>
      </c>
      <c r="L375" s="422">
        <v>0.1</v>
      </c>
      <c r="M375" s="400"/>
      <c r="N375" s="400"/>
      <c r="O375" s="400"/>
      <c r="P375" s="422">
        <f>I375*J375*L375</f>
        <v>213.30600000000001</v>
      </c>
      <c r="Q375" s="400">
        <v>13</v>
      </c>
      <c r="R375" s="400">
        <f>P375*Q375*1000</f>
        <v>2772978</v>
      </c>
      <c r="S375" s="400">
        <f>R375+O375</f>
        <v>2772978</v>
      </c>
    </row>
    <row r="376" spans="1:19" x14ac:dyDescent="0.25">
      <c r="A376" s="422"/>
      <c r="B376" s="443"/>
      <c r="C376" s="443"/>
      <c r="D376" s="422"/>
      <c r="E376" s="422"/>
      <c r="F376" s="443" t="s">
        <v>539</v>
      </c>
      <c r="G376" s="400">
        <f>H376+I376</f>
        <v>88.5</v>
      </c>
      <c r="H376" s="690"/>
      <c r="I376" s="422">
        <v>88.5</v>
      </c>
      <c r="J376" s="422">
        <v>3.7</v>
      </c>
      <c r="K376" s="422">
        <f>J376-(J376*L376)</f>
        <v>3.145</v>
      </c>
      <c r="L376" s="422">
        <v>0.15</v>
      </c>
      <c r="M376" s="400"/>
      <c r="N376" s="400"/>
      <c r="O376" s="400"/>
      <c r="P376" s="422">
        <f>I376*J376*L376</f>
        <v>49.1175</v>
      </c>
      <c r="Q376" s="400">
        <v>13</v>
      </c>
      <c r="R376" s="400">
        <f>P376*Q376*1000</f>
        <v>638527.5</v>
      </c>
      <c r="S376" s="400">
        <f>R376+O376</f>
        <v>638527.5</v>
      </c>
    </row>
    <row r="377" spans="1:19" x14ac:dyDescent="0.25">
      <c r="A377" s="422"/>
      <c r="B377" s="443"/>
      <c r="C377" s="443"/>
      <c r="D377" s="422"/>
      <c r="E377" s="422"/>
      <c r="F377" s="443" t="s">
        <v>914</v>
      </c>
      <c r="G377" s="400">
        <f t="shared" ref="G377:G378" si="441">H377+I377</f>
        <v>22</v>
      </c>
      <c r="H377" s="690">
        <v>22</v>
      </c>
      <c r="I377" s="422"/>
      <c r="J377" s="422"/>
      <c r="K377" s="422"/>
      <c r="L377" s="422">
        <v>1</v>
      </c>
      <c r="M377" s="400"/>
      <c r="N377" s="400">
        <v>4700</v>
      </c>
      <c r="O377" s="400">
        <f>N377*L377*H377</f>
        <v>103400</v>
      </c>
      <c r="P377" s="422"/>
      <c r="Q377" s="400"/>
      <c r="R377" s="400"/>
      <c r="S377" s="400">
        <f t="shared" ref="S377:S378" si="442">R377+O377</f>
        <v>103400</v>
      </c>
    </row>
    <row r="378" spans="1:19" x14ac:dyDescent="0.25">
      <c r="A378" s="422"/>
      <c r="B378" s="443"/>
      <c r="C378" s="443"/>
      <c r="D378" s="422"/>
      <c r="E378" s="422"/>
      <c r="F378" s="443" t="s">
        <v>915</v>
      </c>
      <c r="G378" s="400">
        <f t="shared" si="441"/>
        <v>124</v>
      </c>
      <c r="H378" s="690">
        <v>124</v>
      </c>
      <c r="I378" s="422"/>
      <c r="J378" s="422"/>
      <c r="K378" s="422"/>
      <c r="L378" s="422">
        <v>1</v>
      </c>
      <c r="M378" s="400"/>
      <c r="N378" s="400">
        <v>1350</v>
      </c>
      <c r="O378" s="400">
        <f>N378*L378*H378</f>
        <v>167400</v>
      </c>
      <c r="P378" s="422"/>
      <c r="Q378" s="400"/>
      <c r="R378" s="400"/>
      <c r="S378" s="400">
        <f t="shared" si="442"/>
        <v>167400</v>
      </c>
    </row>
    <row r="379" spans="1:19" s="515" customFormat="1" x14ac:dyDescent="0.25">
      <c r="A379" s="751"/>
      <c r="B379" s="443" t="s">
        <v>511</v>
      </c>
      <c r="C379" s="748"/>
      <c r="D379" s="751"/>
      <c r="E379" s="751">
        <f>SUM(E380:E381)</f>
        <v>0</v>
      </c>
      <c r="F379" s="751">
        <f t="shared" ref="F379:S379" si="443">SUM(F380:F381)</f>
        <v>0</v>
      </c>
      <c r="G379" s="751">
        <f t="shared" si="443"/>
        <v>3106</v>
      </c>
      <c r="H379" s="751">
        <f t="shared" si="443"/>
        <v>0</v>
      </c>
      <c r="I379" s="751">
        <f t="shared" si="443"/>
        <v>3106</v>
      </c>
      <c r="J379" s="751">
        <f t="shared" si="443"/>
        <v>8.76</v>
      </c>
      <c r="K379" s="751">
        <f t="shared" si="443"/>
        <v>7.4459999999999997</v>
      </c>
      <c r="L379" s="751">
        <f t="shared" si="443"/>
        <v>0.30000000000000004</v>
      </c>
      <c r="M379" s="751">
        <f t="shared" si="443"/>
        <v>0</v>
      </c>
      <c r="N379" s="751">
        <f t="shared" si="443"/>
        <v>0</v>
      </c>
      <c r="O379" s="751">
        <f t="shared" si="443"/>
        <v>0</v>
      </c>
      <c r="P379" s="751">
        <f t="shared" si="443"/>
        <v>2193.0659999999998</v>
      </c>
      <c r="Q379" s="751">
        <f t="shared" si="443"/>
        <v>26</v>
      </c>
      <c r="R379" s="751">
        <f t="shared" si="443"/>
        <v>28509857.999999996</v>
      </c>
      <c r="S379" s="751">
        <f t="shared" si="443"/>
        <v>28509857.999999996</v>
      </c>
    </row>
    <row r="380" spans="1:19" x14ac:dyDescent="0.25">
      <c r="A380" s="422"/>
      <c r="C380" s="443"/>
      <c r="D380" s="422"/>
      <c r="E380" s="422"/>
      <c r="F380" s="443" t="s">
        <v>474</v>
      </c>
      <c r="G380" s="400">
        <f t="shared" si="428"/>
        <v>1205</v>
      </c>
      <c r="H380" s="690"/>
      <c r="I380" s="422">
        <v>1205</v>
      </c>
      <c r="J380" s="422">
        <v>4.38</v>
      </c>
      <c r="K380" s="422">
        <f t="shared" si="429"/>
        <v>3.9419999999999997</v>
      </c>
      <c r="L380" s="422">
        <v>0.1</v>
      </c>
      <c r="M380" s="400"/>
      <c r="N380" s="400"/>
      <c r="O380" s="400"/>
      <c r="P380" s="422">
        <f t="shared" si="438"/>
        <v>527.79</v>
      </c>
      <c r="Q380" s="400">
        <v>13</v>
      </c>
      <c r="R380" s="400">
        <f t="shared" si="439"/>
        <v>6861269.9999999991</v>
      </c>
      <c r="S380" s="400">
        <f t="shared" si="430"/>
        <v>6861269.9999999991</v>
      </c>
    </row>
    <row r="381" spans="1:19" x14ac:dyDescent="0.25">
      <c r="A381" s="422"/>
      <c r="B381" s="443"/>
      <c r="C381" s="443"/>
      <c r="D381" s="422"/>
      <c r="E381" s="422"/>
      <c r="F381" s="443" t="s">
        <v>504</v>
      </c>
      <c r="G381" s="400">
        <f t="shared" si="428"/>
        <v>1901</v>
      </c>
      <c r="H381" s="690"/>
      <c r="I381" s="422">
        <v>1901</v>
      </c>
      <c r="J381" s="422">
        <v>4.38</v>
      </c>
      <c r="K381" s="422">
        <f t="shared" si="429"/>
        <v>3.504</v>
      </c>
      <c r="L381" s="422">
        <v>0.2</v>
      </c>
      <c r="M381" s="400"/>
      <c r="N381" s="400"/>
      <c r="O381" s="400"/>
      <c r="P381" s="422">
        <f t="shared" si="438"/>
        <v>1665.2759999999998</v>
      </c>
      <c r="Q381" s="400">
        <v>13</v>
      </c>
      <c r="R381" s="400">
        <f t="shared" si="439"/>
        <v>21648587.999999996</v>
      </c>
      <c r="S381" s="400">
        <f t="shared" si="430"/>
        <v>21648587.999999996</v>
      </c>
    </row>
    <row r="382" spans="1:19" s="515" customFormat="1" x14ac:dyDescent="0.25">
      <c r="A382" s="751"/>
      <c r="B382" s="443" t="s">
        <v>516</v>
      </c>
      <c r="C382" s="748"/>
      <c r="D382" s="751"/>
      <c r="E382" s="751">
        <f>SUM(E383:E385)</f>
        <v>0</v>
      </c>
      <c r="F382" s="751">
        <f t="shared" ref="F382:S382" si="444">SUM(F383:F385)</f>
        <v>0</v>
      </c>
      <c r="G382" s="751">
        <f t="shared" si="444"/>
        <v>3493</v>
      </c>
      <c r="H382" s="751">
        <f t="shared" si="444"/>
        <v>0</v>
      </c>
      <c r="I382" s="751">
        <f t="shared" si="444"/>
        <v>3493</v>
      </c>
      <c r="J382" s="751">
        <f t="shared" si="444"/>
        <v>12.46</v>
      </c>
      <c r="K382" s="751">
        <f t="shared" si="444"/>
        <v>10.153</v>
      </c>
      <c r="L382" s="751">
        <f t="shared" si="444"/>
        <v>0.55000000000000004</v>
      </c>
      <c r="M382" s="751">
        <f t="shared" si="444"/>
        <v>0</v>
      </c>
      <c r="N382" s="751">
        <f t="shared" si="444"/>
        <v>0</v>
      </c>
      <c r="O382" s="751">
        <f t="shared" si="444"/>
        <v>0</v>
      </c>
      <c r="P382" s="751">
        <f t="shared" si="444"/>
        <v>2869.5149999999999</v>
      </c>
      <c r="Q382" s="751">
        <f t="shared" si="444"/>
        <v>39</v>
      </c>
      <c r="R382" s="751">
        <f t="shared" si="444"/>
        <v>37303695</v>
      </c>
      <c r="S382" s="751">
        <f t="shared" si="444"/>
        <v>37303695</v>
      </c>
    </row>
    <row r="383" spans="1:19" x14ac:dyDescent="0.25">
      <c r="A383" s="422"/>
      <c r="C383" s="443"/>
      <c r="D383" s="422"/>
      <c r="E383" s="422"/>
      <c r="F383" s="443" t="s">
        <v>504</v>
      </c>
      <c r="G383" s="400">
        <f t="shared" si="428"/>
        <v>698</v>
      </c>
      <c r="H383" s="690"/>
      <c r="I383" s="422">
        <v>698</v>
      </c>
      <c r="J383" s="422">
        <v>4.38</v>
      </c>
      <c r="K383" s="422">
        <f t="shared" si="429"/>
        <v>3.504</v>
      </c>
      <c r="L383" s="422">
        <v>0.2</v>
      </c>
      <c r="M383" s="400"/>
      <c r="N383" s="400"/>
      <c r="O383" s="400"/>
      <c r="P383" s="422">
        <f t="shared" si="438"/>
        <v>611.44799999999998</v>
      </c>
      <c r="Q383" s="400">
        <v>13</v>
      </c>
      <c r="R383" s="400">
        <f t="shared" si="439"/>
        <v>7948824</v>
      </c>
      <c r="S383" s="400">
        <f t="shared" si="430"/>
        <v>7948824</v>
      </c>
    </row>
    <row r="384" spans="1:19" x14ac:dyDescent="0.25">
      <c r="A384" s="422"/>
      <c r="B384" s="443"/>
      <c r="C384" s="443"/>
      <c r="D384" s="422"/>
      <c r="E384" s="422"/>
      <c r="F384" s="443" t="s">
        <v>636</v>
      </c>
      <c r="G384" s="400">
        <f>H384+I384</f>
        <v>2202</v>
      </c>
      <c r="H384" s="690"/>
      <c r="I384" s="422">
        <v>2202</v>
      </c>
      <c r="J384" s="422">
        <v>4.38</v>
      </c>
      <c r="K384" s="422">
        <f t="shared" si="429"/>
        <v>3.504</v>
      </c>
      <c r="L384" s="422">
        <v>0.2</v>
      </c>
      <c r="M384" s="400"/>
      <c r="N384" s="400"/>
      <c r="O384" s="400"/>
      <c r="P384" s="422">
        <f>I384*J384*L384</f>
        <v>1928.9520000000002</v>
      </c>
      <c r="Q384" s="400">
        <v>13</v>
      </c>
      <c r="R384" s="400">
        <f>P384*Q384*1000</f>
        <v>25076376.000000004</v>
      </c>
      <c r="S384" s="400">
        <f>R384+O384</f>
        <v>25076376.000000004</v>
      </c>
    </row>
    <row r="385" spans="1:19" x14ac:dyDescent="0.25">
      <c r="A385" s="422"/>
      <c r="B385" s="443"/>
      <c r="C385" s="443" t="s">
        <v>716</v>
      </c>
      <c r="D385" s="422"/>
      <c r="E385" s="422"/>
      <c r="F385" s="443" t="s">
        <v>636</v>
      </c>
      <c r="G385" s="400">
        <f>H385+I385</f>
        <v>593</v>
      </c>
      <c r="H385" s="690"/>
      <c r="I385" s="422">
        <v>593</v>
      </c>
      <c r="J385" s="422">
        <v>3.7</v>
      </c>
      <c r="K385" s="422">
        <f t="shared" si="429"/>
        <v>3.145</v>
      </c>
      <c r="L385" s="422">
        <v>0.15</v>
      </c>
      <c r="M385" s="400"/>
      <c r="N385" s="400"/>
      <c r="O385" s="400"/>
      <c r="P385" s="422">
        <f>I385*J385*L385</f>
        <v>329.11499999999995</v>
      </c>
      <c r="Q385" s="400">
        <v>13</v>
      </c>
      <c r="R385" s="400">
        <f>P385*Q385*1000</f>
        <v>4278494.9999999991</v>
      </c>
      <c r="S385" s="400">
        <f>R385+O385</f>
        <v>4278494.9999999991</v>
      </c>
    </row>
    <row r="386" spans="1:19" x14ac:dyDescent="0.25">
      <c r="A386" s="422"/>
      <c r="B386" s="443" t="s">
        <v>655</v>
      </c>
      <c r="C386" s="443"/>
      <c r="D386" s="422"/>
      <c r="E386" s="422"/>
      <c r="F386" s="443" t="s">
        <v>474</v>
      </c>
      <c r="G386" s="400">
        <f>H386+I386</f>
        <v>607</v>
      </c>
      <c r="H386" s="690"/>
      <c r="I386" s="422">
        <v>607</v>
      </c>
      <c r="J386" s="422">
        <v>4.38</v>
      </c>
      <c r="K386" s="422">
        <f>J386-(J386*L386)</f>
        <v>3.9419999999999997</v>
      </c>
      <c r="L386" s="422">
        <v>0.1</v>
      </c>
      <c r="M386" s="400"/>
      <c r="N386" s="400"/>
      <c r="O386" s="400"/>
      <c r="P386" s="422">
        <f>I386*J386*L386</f>
        <v>265.86599999999999</v>
      </c>
      <c r="Q386" s="400">
        <v>13</v>
      </c>
      <c r="R386" s="400">
        <f>P386*Q386*1000</f>
        <v>3456258</v>
      </c>
      <c r="S386" s="400">
        <f>R386+O386</f>
        <v>3456258</v>
      </c>
    </row>
    <row r="387" spans="1:19" s="515" customFormat="1" x14ac:dyDescent="0.25">
      <c r="A387" s="751"/>
      <c r="B387" s="443" t="s">
        <v>520</v>
      </c>
      <c r="C387" s="748"/>
      <c r="D387" s="751"/>
      <c r="E387" s="751">
        <f>SUM(E388:E392)</f>
        <v>0</v>
      </c>
      <c r="F387" s="751">
        <f t="shared" ref="F387:S387" si="445">SUM(F388:F392)</f>
        <v>0</v>
      </c>
      <c r="G387" s="751">
        <f t="shared" si="445"/>
        <v>181.35</v>
      </c>
      <c r="H387" s="751">
        <f t="shared" si="445"/>
        <v>4.75</v>
      </c>
      <c r="I387" s="751">
        <f t="shared" si="445"/>
        <v>176.6</v>
      </c>
      <c r="J387" s="751">
        <f t="shared" si="445"/>
        <v>21.9</v>
      </c>
      <c r="K387" s="751">
        <f t="shared" si="445"/>
        <v>14.673</v>
      </c>
      <c r="L387" s="751">
        <f t="shared" si="445"/>
        <v>1.6500000000000001</v>
      </c>
      <c r="M387" s="751">
        <f t="shared" si="445"/>
        <v>0</v>
      </c>
      <c r="N387" s="751">
        <f t="shared" si="445"/>
        <v>8150</v>
      </c>
      <c r="O387" s="751">
        <f t="shared" si="445"/>
        <v>8965</v>
      </c>
      <c r="P387" s="751">
        <f t="shared" si="445"/>
        <v>109.21530000000001</v>
      </c>
      <c r="Q387" s="751">
        <f t="shared" si="445"/>
        <v>52</v>
      </c>
      <c r="R387" s="751">
        <f t="shared" si="445"/>
        <v>1419798.9</v>
      </c>
      <c r="S387" s="751">
        <f t="shared" si="445"/>
        <v>1428763.9</v>
      </c>
    </row>
    <row r="388" spans="1:19" x14ac:dyDescent="0.25">
      <c r="A388" s="422"/>
      <c r="C388" s="443"/>
      <c r="D388" s="422"/>
      <c r="E388" s="422"/>
      <c r="F388" s="443" t="s">
        <v>636</v>
      </c>
      <c r="G388" s="400">
        <f t="shared" si="428"/>
        <v>30</v>
      </c>
      <c r="H388" s="690"/>
      <c r="I388" s="422">
        <v>30</v>
      </c>
      <c r="J388" s="422">
        <v>4.38</v>
      </c>
      <c r="K388" s="422">
        <f t="shared" si="429"/>
        <v>3.504</v>
      </c>
      <c r="L388" s="422">
        <v>0.2</v>
      </c>
      <c r="M388" s="400"/>
      <c r="N388" s="400"/>
      <c r="O388" s="400"/>
      <c r="P388" s="422">
        <f t="shared" si="438"/>
        <v>26.28</v>
      </c>
      <c r="Q388" s="400">
        <v>13</v>
      </c>
      <c r="R388" s="400">
        <f t="shared" si="439"/>
        <v>341640</v>
      </c>
      <c r="S388" s="400">
        <f t="shared" si="430"/>
        <v>341640</v>
      </c>
    </row>
    <row r="389" spans="1:19" x14ac:dyDescent="0.25">
      <c r="A389" s="422"/>
      <c r="B389" s="443"/>
      <c r="C389" s="443"/>
      <c r="D389" s="422"/>
      <c r="E389" s="422"/>
      <c r="F389" s="443" t="s">
        <v>474</v>
      </c>
      <c r="G389" s="400">
        <f t="shared" si="428"/>
        <v>139.6</v>
      </c>
      <c r="H389" s="690"/>
      <c r="I389" s="422">
        <v>139.6</v>
      </c>
      <c r="J389" s="422">
        <v>4.38</v>
      </c>
      <c r="K389" s="422">
        <f t="shared" si="429"/>
        <v>3.9419999999999997</v>
      </c>
      <c r="L389" s="422">
        <v>0.1</v>
      </c>
      <c r="M389" s="400"/>
      <c r="N389" s="400"/>
      <c r="O389" s="400"/>
      <c r="P389" s="422">
        <f t="shared" si="438"/>
        <v>61.144800000000004</v>
      </c>
      <c r="Q389" s="400">
        <v>13</v>
      </c>
      <c r="R389" s="400">
        <f t="shared" si="439"/>
        <v>794882.4</v>
      </c>
      <c r="S389" s="400">
        <f t="shared" si="430"/>
        <v>794882.4</v>
      </c>
    </row>
    <row r="390" spans="1:19" x14ac:dyDescent="0.25">
      <c r="A390" s="422"/>
      <c r="B390" s="443"/>
      <c r="C390" s="443"/>
      <c r="D390" s="422"/>
      <c r="E390" s="422"/>
      <c r="F390" s="443" t="s">
        <v>504</v>
      </c>
      <c r="G390" s="400">
        <f t="shared" si="428"/>
        <v>1.5</v>
      </c>
      <c r="H390" s="690"/>
      <c r="I390" s="422">
        <v>1.5</v>
      </c>
      <c r="J390" s="422">
        <v>4.38</v>
      </c>
      <c r="K390" s="422">
        <f t="shared" si="429"/>
        <v>3.7229999999999999</v>
      </c>
      <c r="L390" s="422">
        <v>0.15</v>
      </c>
      <c r="M390" s="400"/>
      <c r="N390" s="400"/>
      <c r="O390" s="400"/>
      <c r="P390" s="422">
        <f t="shared" si="438"/>
        <v>0.98550000000000004</v>
      </c>
      <c r="Q390" s="400">
        <v>13</v>
      </c>
      <c r="R390" s="400">
        <f t="shared" si="439"/>
        <v>12811.5</v>
      </c>
      <c r="S390" s="400">
        <f t="shared" si="430"/>
        <v>12811.5</v>
      </c>
    </row>
    <row r="391" spans="1:19" x14ac:dyDescent="0.25">
      <c r="A391" s="422"/>
      <c r="B391" s="443"/>
      <c r="C391" s="443"/>
      <c r="D391" s="422"/>
      <c r="E391" s="422"/>
      <c r="F391" s="443" t="s">
        <v>504</v>
      </c>
      <c r="G391" s="400">
        <f t="shared" si="428"/>
        <v>4.75</v>
      </c>
      <c r="H391" s="422">
        <v>4.75</v>
      </c>
      <c r="I391" s="422"/>
      <c r="J391" s="422">
        <v>4.38</v>
      </c>
      <c r="K391" s="422">
        <f t="shared" si="429"/>
        <v>0</v>
      </c>
      <c r="L391" s="422">
        <v>1</v>
      </c>
      <c r="M391" s="400"/>
      <c r="N391" s="400"/>
      <c r="O391" s="400"/>
      <c r="P391" s="422">
        <f>H391*J391*L391</f>
        <v>20.805</v>
      </c>
      <c r="Q391" s="400">
        <v>13</v>
      </c>
      <c r="R391" s="400">
        <f t="shared" si="439"/>
        <v>270465</v>
      </c>
      <c r="S391" s="400">
        <f t="shared" si="430"/>
        <v>270465</v>
      </c>
    </row>
    <row r="392" spans="1:19" x14ac:dyDescent="0.25">
      <c r="A392" s="422"/>
      <c r="B392" s="443"/>
      <c r="C392" s="443"/>
      <c r="D392" s="422"/>
      <c r="E392" s="422"/>
      <c r="F392" s="443" t="s">
        <v>799</v>
      </c>
      <c r="G392" s="400">
        <f t="shared" si="428"/>
        <v>5.5</v>
      </c>
      <c r="H392" s="1041"/>
      <c r="I392" s="422">
        <v>5.5</v>
      </c>
      <c r="J392" s="422">
        <v>4.38</v>
      </c>
      <c r="K392" s="422">
        <f t="shared" si="429"/>
        <v>3.504</v>
      </c>
      <c r="L392" s="422">
        <v>0.2</v>
      </c>
      <c r="M392" s="400"/>
      <c r="N392" s="400">
        <v>8150</v>
      </c>
      <c r="O392" s="400">
        <f>N392*L392*I392</f>
        <v>8965</v>
      </c>
      <c r="P392" s="422"/>
      <c r="Q392" s="400"/>
      <c r="R392" s="400"/>
      <c r="S392" s="400">
        <f t="shared" si="430"/>
        <v>8965</v>
      </c>
    </row>
    <row r="393" spans="1:19" x14ac:dyDescent="0.25">
      <c r="A393" s="422"/>
      <c r="B393" s="443"/>
      <c r="C393" s="443"/>
      <c r="D393" s="422"/>
      <c r="E393" s="422"/>
      <c r="F393" s="443"/>
      <c r="G393" s="400"/>
      <c r="H393" s="690"/>
      <c r="I393" s="422"/>
      <c r="J393" s="422"/>
      <c r="K393" s="422"/>
      <c r="L393" s="422"/>
      <c r="M393" s="400"/>
      <c r="N393" s="400"/>
      <c r="O393" s="400"/>
      <c r="P393" s="422"/>
      <c r="Q393" s="400"/>
      <c r="R393" s="400"/>
      <c r="S393" s="400"/>
    </row>
    <row r="394" spans="1:19" x14ac:dyDescent="0.25">
      <c r="A394" s="1716"/>
      <c r="B394" s="1717"/>
      <c r="C394" s="1717"/>
      <c r="D394" s="1717"/>
      <c r="E394" s="1717"/>
      <c r="F394" s="1717"/>
      <c r="G394" s="1717"/>
      <c r="H394" s="1717"/>
      <c r="I394" s="1717"/>
      <c r="J394" s="1717"/>
      <c r="K394" s="1717"/>
      <c r="L394" s="1717"/>
      <c r="M394" s="1717"/>
      <c r="N394" s="1717"/>
      <c r="O394" s="1717"/>
      <c r="P394" s="1717"/>
      <c r="Q394" s="1717"/>
      <c r="R394" s="1717"/>
      <c r="S394" s="1717"/>
    </row>
    <row r="395" spans="1:19" x14ac:dyDescent="0.25">
      <c r="A395" s="1718"/>
      <c r="B395" s="1719"/>
      <c r="C395" s="1719"/>
      <c r="D395" s="1719"/>
      <c r="E395" s="1719"/>
      <c r="F395" s="1719"/>
      <c r="G395" s="1719"/>
      <c r="H395" s="1719"/>
      <c r="I395" s="1719"/>
      <c r="J395" s="1719"/>
      <c r="K395" s="1719"/>
      <c r="L395" s="1719"/>
      <c r="M395" s="1719"/>
      <c r="N395" s="1719"/>
      <c r="O395" s="1719"/>
      <c r="P395" s="1719"/>
      <c r="Q395" s="1719"/>
      <c r="R395" s="1719"/>
      <c r="S395" s="1719"/>
    </row>
    <row r="396" spans="1:19" x14ac:dyDescent="0.25">
      <c r="A396" s="403" t="s">
        <v>522</v>
      </c>
      <c r="B396" s="403"/>
      <c r="C396" s="403"/>
      <c r="D396" s="403"/>
      <c r="E396" s="404"/>
      <c r="F396" s="1047"/>
      <c r="G396" s="403"/>
      <c r="H396" s="685"/>
      <c r="I396" s="1047" t="s">
        <v>656</v>
      </c>
      <c r="J396" s="403"/>
      <c r="K396" s="403"/>
      <c r="L396" s="1048"/>
      <c r="M396" s="403"/>
      <c r="N396" s="403"/>
      <c r="O396" s="403"/>
      <c r="P396" s="403" t="s">
        <v>816</v>
      </c>
      <c r="Q396" s="403"/>
      <c r="R396" s="403"/>
      <c r="S396" s="403"/>
    </row>
    <row r="397" spans="1:19" x14ac:dyDescent="0.25">
      <c r="A397" s="403"/>
      <c r="B397" s="403"/>
      <c r="C397" s="403"/>
      <c r="D397" s="403"/>
      <c r="E397" s="404"/>
      <c r="F397" s="403"/>
      <c r="G397" s="403"/>
      <c r="H397" s="685"/>
      <c r="I397" s="403"/>
      <c r="J397" s="403"/>
      <c r="K397" s="403"/>
      <c r="L397" s="403"/>
      <c r="M397" s="403"/>
      <c r="N397" s="403"/>
      <c r="O397" s="403"/>
      <c r="P397" s="403"/>
      <c r="Q397" s="403"/>
      <c r="R397" s="403"/>
      <c r="S397" s="403"/>
    </row>
    <row r="398" spans="1:19" x14ac:dyDescent="0.25">
      <c r="A398" s="403"/>
      <c r="B398" s="403"/>
      <c r="C398" s="403"/>
      <c r="D398" s="403"/>
      <c r="E398" s="404"/>
      <c r="F398" s="403"/>
      <c r="G398" s="403"/>
      <c r="H398" s="685"/>
      <c r="I398" s="403"/>
      <c r="J398" s="403"/>
      <c r="K398" s="403"/>
      <c r="L398" s="403"/>
      <c r="M398" s="403"/>
      <c r="N398" s="403"/>
      <c r="O398" s="403"/>
      <c r="P398" s="403"/>
      <c r="Q398" s="403"/>
      <c r="R398" s="403"/>
      <c r="S398" s="403"/>
    </row>
    <row r="399" spans="1:19" ht="15.75" customHeight="1" x14ac:dyDescent="0.3">
      <c r="A399" s="1580" t="s">
        <v>916</v>
      </c>
      <c r="B399" s="1580"/>
      <c r="C399" s="1580"/>
      <c r="D399" s="1580"/>
      <c r="E399" s="746"/>
      <c r="G399" s="1720" t="s">
        <v>693</v>
      </c>
      <c r="H399" s="1720"/>
      <c r="I399" s="1720"/>
      <c r="J399" s="1720"/>
      <c r="K399" s="1720"/>
      <c r="L399" s="1720"/>
      <c r="M399" s="1720"/>
      <c r="N399" s="403"/>
      <c r="O399" s="403"/>
      <c r="P399" s="1580" t="s">
        <v>694</v>
      </c>
      <c r="Q399" s="1580"/>
      <c r="R399" s="1580"/>
      <c r="S399" s="403"/>
    </row>
    <row r="400" spans="1:19" x14ac:dyDescent="0.25">
      <c r="A400" s="1582" t="s">
        <v>750</v>
      </c>
      <c r="B400" s="1582"/>
      <c r="C400" s="1582"/>
      <c r="D400" s="1582"/>
      <c r="E400" s="1515"/>
      <c r="F400" s="1515"/>
      <c r="G400" s="1583" t="s">
        <v>917</v>
      </c>
      <c r="H400" s="1583"/>
      <c r="I400" s="1583"/>
      <c r="J400" s="1583"/>
      <c r="K400" s="1583"/>
      <c r="L400" s="1583"/>
      <c r="M400" s="1583"/>
      <c r="N400" s="403"/>
      <c r="O400" s="403"/>
      <c r="P400" s="1514" t="s">
        <v>918</v>
      </c>
      <c r="Q400" s="1514"/>
      <c r="R400" s="870"/>
      <c r="S400" s="403"/>
    </row>
    <row r="405" spans="1:16" x14ac:dyDescent="0.25">
      <c r="A405" s="875"/>
      <c r="B405" s="875"/>
      <c r="C405" s="875"/>
      <c r="D405" s="875"/>
      <c r="E405" s="876"/>
      <c r="F405" s="1519"/>
      <c r="G405" s="875"/>
      <c r="H405" s="1049"/>
      <c r="I405" s="875"/>
      <c r="J405" s="875"/>
      <c r="K405" s="1519"/>
      <c r="L405" s="875"/>
      <c r="M405" s="875"/>
      <c r="N405" s="1519"/>
      <c r="O405" s="1519"/>
      <c r="P405" s="1519"/>
    </row>
    <row r="406" spans="1:16" x14ac:dyDescent="0.25">
      <c r="E406" s="719"/>
      <c r="F406" s="1518"/>
      <c r="K406" s="1518"/>
      <c r="N406" s="1518"/>
      <c r="O406" s="1518"/>
      <c r="P406" s="1518"/>
    </row>
  </sheetData>
  <mergeCells count="30">
    <mergeCell ref="A6:R6"/>
    <mergeCell ref="A1:R1"/>
    <mergeCell ref="A2:R2"/>
    <mergeCell ref="A3:R3"/>
    <mergeCell ref="A4:R4"/>
    <mergeCell ref="A5:R5"/>
    <mergeCell ref="A7:R7"/>
    <mergeCell ref="A8:R8"/>
    <mergeCell ref="A15:A17"/>
    <mergeCell ref="B15:B17"/>
    <mergeCell ref="C15:C17"/>
    <mergeCell ref="D15:D17"/>
    <mergeCell ref="E15:E17"/>
    <mergeCell ref="F15:F17"/>
    <mergeCell ref="G15:I16"/>
    <mergeCell ref="J15:K15"/>
    <mergeCell ref="A400:D400"/>
    <mergeCell ref="G400:M400"/>
    <mergeCell ref="L15:L17"/>
    <mergeCell ref="M15:S15"/>
    <mergeCell ref="J16:J17"/>
    <mergeCell ref="K16:K17"/>
    <mergeCell ref="M16:O16"/>
    <mergeCell ref="P16:R16"/>
    <mergeCell ref="S16:S17"/>
    <mergeCell ref="A394:S394"/>
    <mergeCell ref="A395:S395"/>
    <mergeCell ref="A399:D399"/>
    <mergeCell ref="G399:M399"/>
    <mergeCell ref="P399:R399"/>
  </mergeCells>
  <pageMargins left="0.74" right="0" top="0.32" bottom="0.72" header="0.28999999999999998" footer="0.3"/>
  <pageSetup paperSize="5" scale="60" orientation="landscape" errors="blank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69</vt:i4>
      </vt:variant>
    </vt:vector>
  </HeadingPairs>
  <TitlesOfParts>
    <vt:vector size="89" baseType="lpstr">
      <vt:lpstr>Region 1</vt:lpstr>
      <vt:lpstr>Rosita</vt:lpstr>
      <vt:lpstr>Ompong</vt:lpstr>
      <vt:lpstr>Karen</vt:lpstr>
      <vt:lpstr>Lawin</vt:lpstr>
      <vt:lpstr>Egay </vt:lpstr>
      <vt:lpstr>Ineng</vt:lpstr>
      <vt:lpstr>Kabayan</vt:lpstr>
      <vt:lpstr>Lando</vt:lpstr>
      <vt:lpstr>Nona</vt:lpstr>
      <vt:lpstr>Glenda</vt:lpstr>
      <vt:lpstr>Luis and Mario</vt:lpstr>
      <vt:lpstr>Maring</vt:lpstr>
      <vt:lpstr>Odette</vt:lpstr>
      <vt:lpstr>Vinta</vt:lpstr>
      <vt:lpstr>Pedring</vt:lpstr>
      <vt:lpstr>Ondoy</vt:lpstr>
      <vt:lpstr>Pepito</vt:lpstr>
      <vt:lpstr>Quinta</vt:lpstr>
      <vt:lpstr>Ulysses</vt:lpstr>
      <vt:lpstr>EGAY_LU</vt:lpstr>
      <vt:lpstr>EGAY_PANGASINAN</vt:lpstr>
      <vt:lpstr>INENG_IN</vt:lpstr>
      <vt:lpstr>INENG_IS</vt:lpstr>
      <vt:lpstr>INENG_LU</vt:lpstr>
      <vt:lpstr>INENG_PANGASINAN</vt:lpstr>
      <vt:lpstr>KABAYAN_PANGASINAN</vt:lpstr>
      <vt:lpstr>LANDO_ILOCOS_N</vt:lpstr>
      <vt:lpstr>LANDO_ILOCOS_S</vt:lpstr>
      <vt:lpstr>Lando_IN</vt:lpstr>
      <vt:lpstr>Lando_LU</vt:lpstr>
      <vt:lpstr>LANDO_PANGASINAN</vt:lpstr>
      <vt:lpstr>LAWIN_IS</vt:lpstr>
      <vt:lpstr>LAWIN_LN</vt:lpstr>
      <vt:lpstr>LAWIN_PANGASINAN</vt:lpstr>
      <vt:lpstr>LUIS_IN</vt:lpstr>
      <vt:lpstr>LUIS_IS</vt:lpstr>
      <vt:lpstr>LUIS_LU</vt:lpstr>
      <vt:lpstr>LUIS_PANGASINAN</vt:lpstr>
      <vt:lpstr>MARING_IN</vt:lpstr>
      <vt:lpstr>MARING_IS</vt:lpstr>
      <vt:lpstr>MARING_LU</vt:lpstr>
      <vt:lpstr>MARING_PANGASINAN</vt:lpstr>
      <vt:lpstr>Nona_Pangasinan</vt:lpstr>
      <vt:lpstr>ODETTE_IN</vt:lpstr>
      <vt:lpstr>ODETTE_IS</vt:lpstr>
      <vt:lpstr>Ompong_IS</vt:lpstr>
      <vt:lpstr>Ompong_LU</vt:lpstr>
      <vt:lpstr>Ompong_Pangasinan</vt:lpstr>
      <vt:lpstr>ONDOY_LU</vt:lpstr>
      <vt:lpstr>ONDOY_PANGASINAN</vt:lpstr>
      <vt:lpstr>PEDRING_IS</vt:lpstr>
      <vt:lpstr>PEDRING_LU</vt:lpstr>
      <vt:lpstr>PEDRING_PANGASINAN</vt:lpstr>
      <vt:lpstr>PEPITO</vt:lpstr>
      <vt:lpstr>'Egay '!Print_Area</vt:lpstr>
      <vt:lpstr>Glenda!Print_Area</vt:lpstr>
      <vt:lpstr>Ineng!Print_Area</vt:lpstr>
      <vt:lpstr>Kabayan!Print_Area</vt:lpstr>
      <vt:lpstr>Karen!Print_Area</vt:lpstr>
      <vt:lpstr>Lando!Print_Area</vt:lpstr>
      <vt:lpstr>Lawin!Print_Area</vt:lpstr>
      <vt:lpstr>Maring!Print_Area</vt:lpstr>
      <vt:lpstr>Nona!Print_Area</vt:lpstr>
      <vt:lpstr>Ompong!Print_Area</vt:lpstr>
      <vt:lpstr>Ondoy!Print_Area</vt:lpstr>
      <vt:lpstr>Pedring!Print_Area</vt:lpstr>
      <vt:lpstr>Pepito!Print_Area</vt:lpstr>
      <vt:lpstr>Rosita!Print_Area</vt:lpstr>
      <vt:lpstr>'Egay '!Print_Titles</vt:lpstr>
      <vt:lpstr>Ineng!Print_Titles</vt:lpstr>
      <vt:lpstr>Kabayan!Print_Titles</vt:lpstr>
      <vt:lpstr>Karen!Print_Titles</vt:lpstr>
      <vt:lpstr>Lando!Print_Titles</vt:lpstr>
      <vt:lpstr>Lawin!Print_Titles</vt:lpstr>
      <vt:lpstr>Maring!Print_Titles</vt:lpstr>
      <vt:lpstr>Nona!Print_Titles</vt:lpstr>
      <vt:lpstr>Ompong!Print_Titles</vt:lpstr>
      <vt:lpstr>Ondoy!Print_Titles</vt:lpstr>
      <vt:lpstr>Pedring!Print_Titles</vt:lpstr>
      <vt:lpstr>Pepito!Print_Titles</vt:lpstr>
      <vt:lpstr>Rosita!Print_Titles</vt:lpstr>
      <vt:lpstr>QUINTA</vt:lpstr>
      <vt:lpstr>Rosita_LU</vt:lpstr>
      <vt:lpstr>Rosita_Pangasinan</vt:lpstr>
      <vt:lpstr>Ulysses_Ilocos</vt:lpstr>
      <vt:lpstr>Ulysses_Pangasinan</vt:lpstr>
      <vt:lpstr>VINTA_IN</vt:lpstr>
      <vt:lpstr>VINTA_IS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marieke van brussel</cp:lastModifiedBy>
  <cp:revision/>
  <dcterms:created xsi:type="dcterms:W3CDTF">2021-07-01T23:32:45Z</dcterms:created>
  <dcterms:modified xsi:type="dcterms:W3CDTF">2021-08-12T11:57:02Z</dcterms:modified>
  <cp:category/>
  <cp:contentStatus/>
</cp:coreProperties>
</file>