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eke\GitHub\Rice_Field_Damage_Philippines\app\data\source_data\rice_losses\"/>
    </mc:Choice>
  </mc:AlternateContent>
  <xr:revisionPtr revIDLastSave="0" documentId="13_ncr:1_{732EDF25-DAAF-4467-91CA-FEF3745C192C}" xr6:coauthVersionLast="47" xr6:coauthVersionMax="47" xr10:uidLastSave="{00000000-0000-0000-0000-000000000000}"/>
  <bookViews>
    <workbookView xWindow="-120" yWindow="-120" windowWidth="29040" windowHeight="16440" firstSheet="1" activeTab="6" xr2:uid="{00000000-000D-0000-FFFF-FFFF00000000}"/>
  </bookViews>
  <sheets>
    <sheet name="TYHPHOON HANNA" sheetId="7" r:id="rId1"/>
    <sheet name="TYPHOON SENDONG" sheetId="17" r:id="rId2"/>
    <sheet name="TYPHOON PABLO" sheetId="16" r:id="rId3"/>
    <sheet name="EL NIÑO 2016" sheetId="8" r:id="rId4"/>
    <sheet name="LPA" sheetId="10" r:id="rId5"/>
    <sheet name="WEAK EL NIÑO" sheetId="11" r:id="rId6"/>
    <sheet name="TYPHOON FALCON" sheetId="19" r:id="rId7"/>
    <sheet name="TYPHOON VINTA" sheetId="18" r:id="rId8"/>
  </sheets>
  <externalReferences>
    <externalReference r:id="rId9"/>
    <externalReference r:id="rId10"/>
    <externalReference r:id="rId11"/>
  </externalReferences>
  <definedNames>
    <definedName name="_xlnm.Print_Titles" localSheetId="0">'TYHPHOON HANNA'!$6:$8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6" i="17" l="1"/>
  <c r="D230" i="17"/>
  <c r="D237" i="17" s="1"/>
  <c r="G222" i="17"/>
  <c r="F222" i="17"/>
  <c r="E222" i="17"/>
  <c r="D222" i="17"/>
  <c r="C222" i="17"/>
  <c r="B223" i="17" s="1"/>
  <c r="B222" i="17"/>
  <c r="E203" i="17"/>
  <c r="D203" i="17"/>
  <c r="C203" i="17"/>
  <c r="B204" i="17" s="1"/>
  <c r="B203" i="17"/>
  <c r="M174" i="17"/>
  <c r="L174" i="17"/>
  <c r="C174" i="17"/>
  <c r="B175" i="17" s="1"/>
  <c r="B174" i="17"/>
  <c r="L167" i="17"/>
  <c r="K167" i="17"/>
  <c r="J167" i="17"/>
  <c r="I167" i="17"/>
  <c r="H167" i="17"/>
  <c r="F167" i="17"/>
  <c r="D167" i="17"/>
  <c r="C167" i="17"/>
  <c r="B168" i="17" s="1"/>
  <c r="B167" i="17"/>
  <c r="P150" i="17"/>
  <c r="N150" i="17"/>
  <c r="M150" i="17"/>
  <c r="K150" i="17"/>
  <c r="J150" i="17"/>
  <c r="I150" i="17"/>
  <c r="H150" i="17"/>
  <c r="G150" i="17"/>
  <c r="E150" i="17"/>
  <c r="P142" i="17"/>
  <c r="N142" i="17"/>
  <c r="M142" i="17"/>
  <c r="L142" i="17"/>
  <c r="K142" i="17"/>
  <c r="G142" i="17"/>
  <c r="B143" i="17" s="1"/>
  <c r="F142" i="17"/>
  <c r="E142" i="17"/>
  <c r="O127" i="17"/>
  <c r="N127" i="17"/>
  <c r="L127" i="17"/>
  <c r="K127" i="17"/>
  <c r="J127" i="17"/>
  <c r="I127" i="17"/>
  <c r="H127" i="17"/>
  <c r="G127" i="17"/>
  <c r="F127" i="17"/>
  <c r="E127" i="17"/>
  <c r="D127" i="17"/>
  <c r="C127" i="17"/>
  <c r="B12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J79" i="17"/>
  <c r="H79" i="17"/>
  <c r="D79" i="17"/>
  <c r="C79" i="17"/>
  <c r="B80" i="17" s="1"/>
  <c r="H70" i="17"/>
  <c r="G70" i="17"/>
  <c r="D70" i="17"/>
  <c r="C70" i="17"/>
  <c r="B70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G34" i="17"/>
  <c r="F34" i="17"/>
  <c r="E34" i="17"/>
  <c r="D34" i="17"/>
  <c r="C34" i="17"/>
  <c r="B34" i="17"/>
  <c r="B35" i="17" s="1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B10" i="17" l="1"/>
  <c r="B128" i="17"/>
  <c r="B71" i="17"/>
  <c r="B107" i="17"/>
  <c r="B57" i="17"/>
  <c r="B151" i="17"/>
  <c r="Q122" i="19"/>
  <c r="L122" i="19"/>
  <c r="K122" i="19"/>
  <c r="H122" i="19"/>
  <c r="F122" i="19"/>
  <c r="D122" i="19"/>
  <c r="O120" i="19"/>
  <c r="M120" i="19"/>
  <c r="J120" i="19"/>
  <c r="R120" i="19" s="1"/>
  <c r="V120" i="19" s="1"/>
  <c r="O119" i="19"/>
  <c r="J119" i="19"/>
  <c r="R119" i="19" s="1"/>
  <c r="V119" i="19" s="1"/>
  <c r="O118" i="19"/>
  <c r="J118" i="19"/>
  <c r="R118" i="19" s="1"/>
  <c r="V118" i="19" s="1"/>
  <c r="O117" i="19"/>
  <c r="J117" i="19"/>
  <c r="R117" i="19" s="1"/>
  <c r="V117" i="19" s="1"/>
  <c r="V116" i="19"/>
  <c r="O116" i="19"/>
  <c r="M116" i="19"/>
  <c r="J116" i="19"/>
  <c r="V115" i="19"/>
  <c r="O115" i="19"/>
  <c r="M115" i="19"/>
  <c r="J115" i="19"/>
  <c r="O114" i="19"/>
  <c r="M114" i="19"/>
  <c r="J114" i="19"/>
  <c r="S114" i="19" s="1"/>
  <c r="U114" i="19" s="1"/>
  <c r="V114" i="19" s="1"/>
  <c r="S113" i="19"/>
  <c r="U113" i="19" s="1"/>
  <c r="V113" i="19" s="1"/>
  <c r="O113" i="19"/>
  <c r="M113" i="19"/>
  <c r="J113" i="19"/>
  <c r="N112" i="19"/>
  <c r="O112" i="19" s="1"/>
  <c r="M112" i="19"/>
  <c r="S112" i="19" s="1"/>
  <c r="U112" i="19" s="1"/>
  <c r="V112" i="19" s="1"/>
  <c r="J112" i="19"/>
  <c r="O111" i="19"/>
  <c r="M111" i="19"/>
  <c r="J111" i="19"/>
  <c r="S111" i="19" s="1"/>
  <c r="U111" i="19" s="1"/>
  <c r="V111" i="19" s="1"/>
  <c r="E111" i="19"/>
  <c r="O110" i="19"/>
  <c r="M110" i="19"/>
  <c r="I110" i="19"/>
  <c r="J110" i="19" s="1"/>
  <c r="S110" i="19" s="1"/>
  <c r="U110" i="19" s="1"/>
  <c r="V110" i="19" s="1"/>
  <c r="O109" i="19"/>
  <c r="M109" i="19"/>
  <c r="I109" i="19"/>
  <c r="J109" i="19" s="1"/>
  <c r="S109" i="19" s="1"/>
  <c r="U109" i="19" s="1"/>
  <c r="V109" i="19" s="1"/>
  <c r="O108" i="19"/>
  <c r="M108" i="19"/>
  <c r="E108" i="19"/>
  <c r="I108" i="19" s="1"/>
  <c r="J108" i="19" s="1"/>
  <c r="S108" i="19" s="1"/>
  <c r="U108" i="19" s="1"/>
  <c r="V108" i="19" s="1"/>
  <c r="O107" i="19"/>
  <c r="M107" i="19"/>
  <c r="J107" i="19"/>
  <c r="S107" i="19" s="1"/>
  <c r="U107" i="19" s="1"/>
  <c r="V107" i="19" s="1"/>
  <c r="I107" i="19"/>
  <c r="O106" i="19"/>
  <c r="M106" i="19"/>
  <c r="I106" i="19"/>
  <c r="J106" i="19" s="1"/>
  <c r="S106" i="19" s="1"/>
  <c r="U106" i="19" s="1"/>
  <c r="V106" i="19" s="1"/>
  <c r="E106" i="19"/>
  <c r="E122" i="19" s="1"/>
  <c r="O105" i="19"/>
  <c r="M105" i="19"/>
  <c r="J105" i="19"/>
  <c r="S105" i="19" s="1"/>
  <c r="U105" i="19" s="1"/>
  <c r="V105" i="19" s="1"/>
  <c r="O104" i="19"/>
  <c r="M104" i="19"/>
  <c r="J104" i="19"/>
  <c r="S104" i="19" s="1"/>
  <c r="U104" i="19" s="1"/>
  <c r="V104" i="19" s="1"/>
  <c r="O103" i="19"/>
  <c r="M103" i="19"/>
  <c r="J103" i="19"/>
  <c r="S103" i="19" s="1"/>
  <c r="U103" i="19" s="1"/>
  <c r="V103" i="19" s="1"/>
  <c r="S102" i="19"/>
  <c r="U102" i="19" s="1"/>
  <c r="V102" i="19" s="1"/>
  <c r="O102" i="19"/>
  <c r="M102" i="19"/>
  <c r="J102" i="19"/>
  <c r="O101" i="19"/>
  <c r="M101" i="19"/>
  <c r="J101" i="19"/>
  <c r="S101" i="19" s="1"/>
  <c r="U101" i="19" s="1"/>
  <c r="V101" i="19" s="1"/>
  <c r="O100" i="19"/>
  <c r="M100" i="19"/>
  <c r="J100" i="19"/>
  <c r="S100" i="19" s="1"/>
  <c r="U100" i="19" s="1"/>
  <c r="V100" i="19" s="1"/>
  <c r="O99" i="19"/>
  <c r="M99" i="19"/>
  <c r="J99" i="19"/>
  <c r="S99" i="19" s="1"/>
  <c r="U99" i="19" s="1"/>
  <c r="V99" i="19" s="1"/>
  <c r="O98" i="19"/>
  <c r="M98" i="19"/>
  <c r="J98" i="19"/>
  <c r="S98" i="19" s="1"/>
  <c r="U98" i="19" s="1"/>
  <c r="V98" i="19" s="1"/>
  <c r="O97" i="19"/>
  <c r="M97" i="19"/>
  <c r="J97" i="19"/>
  <c r="S97" i="19" s="1"/>
  <c r="U97" i="19" s="1"/>
  <c r="V97" i="19" s="1"/>
  <c r="O96" i="19"/>
  <c r="M96" i="19"/>
  <c r="I96" i="19"/>
  <c r="O95" i="19"/>
  <c r="M95" i="19"/>
  <c r="P73" i="19"/>
  <c r="M73" i="19"/>
  <c r="L73" i="19"/>
  <c r="J73" i="19"/>
  <c r="G73" i="19"/>
  <c r="Q71" i="19"/>
  <c r="K71" i="19"/>
  <c r="I71" i="19"/>
  <c r="N71" i="19" s="1"/>
  <c r="Q70" i="19"/>
  <c r="K70" i="19"/>
  <c r="I70" i="19"/>
  <c r="N70" i="19" s="1"/>
  <c r="K69" i="19"/>
  <c r="H69" i="19"/>
  <c r="I69" i="19" s="1"/>
  <c r="K68" i="19"/>
  <c r="I68" i="19"/>
  <c r="O68" i="19" s="1"/>
  <c r="Q68" i="19" s="1"/>
  <c r="S67" i="19"/>
  <c r="K67" i="19"/>
  <c r="H67" i="19"/>
  <c r="I67" i="19" s="1"/>
  <c r="S66" i="19"/>
  <c r="K66" i="19"/>
  <c r="I66" i="19"/>
  <c r="N66" i="19" s="1"/>
  <c r="R66" i="19" s="1"/>
  <c r="S65" i="19"/>
  <c r="O65" i="19"/>
  <c r="Q65" i="19" s="1"/>
  <c r="R65" i="19" s="1"/>
  <c r="K65" i="19"/>
  <c r="I65" i="19"/>
  <c r="S64" i="19"/>
  <c r="K64" i="19"/>
  <c r="I64" i="19"/>
  <c r="O64" i="19" s="1"/>
  <c r="Q64" i="19" s="1"/>
  <c r="R64" i="19" s="1"/>
  <c r="E64" i="19"/>
  <c r="D64" i="19"/>
  <c r="D73" i="19" s="1"/>
  <c r="S63" i="19"/>
  <c r="K63" i="19"/>
  <c r="I63" i="19"/>
  <c r="N63" i="19" s="1"/>
  <c r="R63" i="19" s="1"/>
  <c r="E63" i="19"/>
  <c r="S62" i="19"/>
  <c r="K62" i="19"/>
  <c r="I62" i="19"/>
  <c r="N62" i="19" s="1"/>
  <c r="S61" i="19"/>
  <c r="K61" i="19"/>
  <c r="H61" i="19"/>
  <c r="H73" i="19" s="1"/>
  <c r="S60" i="19"/>
  <c r="K60" i="19"/>
  <c r="I60" i="19"/>
  <c r="O60" i="19" s="1"/>
  <c r="Q60" i="19" s="1"/>
  <c r="R60" i="19" s="1"/>
  <c r="S59" i="19"/>
  <c r="K59" i="19"/>
  <c r="I59" i="19"/>
  <c r="O59" i="19" s="1"/>
  <c r="Q59" i="19" s="1"/>
  <c r="R59" i="19" s="1"/>
  <c r="S58" i="19"/>
  <c r="K58" i="19"/>
  <c r="I58" i="19"/>
  <c r="O58" i="19" s="1"/>
  <c r="A53" i="19"/>
  <c r="P28" i="19"/>
  <c r="M28" i="19"/>
  <c r="L28" i="19"/>
  <c r="J28" i="19"/>
  <c r="G28" i="19"/>
  <c r="E28" i="19"/>
  <c r="D28" i="19"/>
  <c r="K26" i="19"/>
  <c r="I26" i="19"/>
  <c r="O26" i="19" s="1"/>
  <c r="Q26" i="19" s="1"/>
  <c r="R26" i="19" s="1"/>
  <c r="K25" i="19"/>
  <c r="I25" i="19"/>
  <c r="O25" i="19" s="1"/>
  <c r="K24" i="19"/>
  <c r="I24" i="19"/>
  <c r="N24" i="19" s="1"/>
  <c r="R24" i="19" s="1"/>
  <c r="K23" i="19"/>
  <c r="I23" i="19"/>
  <c r="N23" i="19" s="1"/>
  <c r="R23" i="19" s="1"/>
  <c r="K22" i="19"/>
  <c r="I22" i="19"/>
  <c r="N22" i="19" s="1"/>
  <c r="R22" i="19" s="1"/>
  <c r="K21" i="19"/>
  <c r="H21" i="19"/>
  <c r="I21" i="19" s="1"/>
  <c r="N21" i="19" s="1"/>
  <c r="R21" i="19" s="1"/>
  <c r="K20" i="19"/>
  <c r="I20" i="19"/>
  <c r="N20" i="19" s="1"/>
  <c r="R20" i="19" s="1"/>
  <c r="H20" i="19"/>
  <c r="K19" i="19"/>
  <c r="G19" i="19"/>
  <c r="I19" i="19" s="1"/>
  <c r="N19" i="19" s="1"/>
  <c r="R19" i="19" s="1"/>
  <c r="K18" i="19"/>
  <c r="H18" i="19"/>
  <c r="K17" i="19"/>
  <c r="I17" i="19"/>
  <c r="M122" i="19" l="1"/>
  <c r="I122" i="19"/>
  <c r="H28" i="19"/>
  <c r="E73" i="19"/>
  <c r="R71" i="19"/>
  <c r="N68" i="19"/>
  <c r="R68" i="19" s="1"/>
  <c r="K28" i="19"/>
  <c r="K73" i="19"/>
  <c r="R122" i="19"/>
  <c r="S95" i="19"/>
  <c r="J96" i="19"/>
  <c r="O67" i="19"/>
  <c r="Q67" i="19" s="1"/>
  <c r="N67" i="19"/>
  <c r="N69" i="19"/>
  <c r="O69" i="19"/>
  <c r="Q69" i="19" s="1"/>
  <c r="R62" i="19"/>
  <c r="Q58" i="19"/>
  <c r="I61" i="19"/>
  <c r="Q25" i="19"/>
  <c r="O28" i="19"/>
  <c r="I18" i="19"/>
  <c r="N18" i="19" s="1"/>
  <c r="R18" i="19" s="1"/>
  <c r="N17" i="19"/>
  <c r="R67" i="19" l="1"/>
  <c r="R69" i="19"/>
  <c r="U95" i="19"/>
  <c r="J122" i="19"/>
  <c r="S96" i="19"/>
  <c r="U96" i="19" s="1"/>
  <c r="V96" i="19" s="1"/>
  <c r="O61" i="19"/>
  <c r="I73" i="19"/>
  <c r="N73" i="19"/>
  <c r="R58" i="19"/>
  <c r="I28" i="19"/>
  <c r="N28" i="19"/>
  <c r="R17" i="19"/>
  <c r="Q28" i="19"/>
  <c r="R25" i="19"/>
  <c r="R28" i="19" l="1"/>
  <c r="S122" i="19"/>
  <c r="V95" i="19"/>
  <c r="V122" i="19" s="1"/>
  <c r="U122" i="19"/>
  <c r="Q61" i="19"/>
  <c r="O73" i="19"/>
  <c r="R61" i="19" l="1"/>
  <c r="R73" i="19" s="1"/>
  <c r="Q73" i="19"/>
  <c r="G97" i="16" l="1"/>
  <c r="E89" i="16"/>
  <c r="E88" i="16"/>
  <c r="E87" i="16"/>
  <c r="E86" i="16"/>
  <c r="E85" i="16"/>
  <c r="E84" i="16"/>
  <c r="E83" i="16"/>
  <c r="E82" i="16"/>
  <c r="R81" i="16"/>
  <c r="Q81" i="16"/>
  <c r="P81" i="16"/>
  <c r="N81" i="16"/>
  <c r="N65" i="16" s="1"/>
  <c r="N59" i="16" s="1"/>
  <c r="M81" i="16"/>
  <c r="H81" i="16"/>
  <c r="F81" i="16"/>
  <c r="F65" i="16" s="1"/>
  <c r="D81" i="16"/>
  <c r="C81" i="16"/>
  <c r="H73" i="16"/>
  <c r="E72" i="16"/>
  <c r="E71" i="16"/>
  <c r="E70" i="16"/>
  <c r="E69" i="16"/>
  <c r="E68" i="16"/>
  <c r="E67" i="16"/>
  <c r="N66" i="16"/>
  <c r="M66" i="16"/>
  <c r="H66" i="16"/>
  <c r="F66" i="16"/>
  <c r="D66" i="16"/>
  <c r="C66" i="16"/>
  <c r="S65" i="16"/>
  <c r="R65" i="16"/>
  <c r="Q65" i="16"/>
  <c r="Q59" i="16" s="1"/>
  <c r="P65" i="16"/>
  <c r="P59" i="16" s="1"/>
  <c r="P52" i="16" s="1"/>
  <c r="O65" i="16"/>
  <c r="D65" i="16"/>
  <c r="C65" i="16"/>
  <c r="E61" i="16"/>
  <c r="E60" i="16"/>
  <c r="R59" i="16"/>
  <c r="H59" i="16"/>
  <c r="F59" i="16"/>
  <c r="D59" i="16"/>
  <c r="C59" i="16"/>
  <c r="C52" i="16" s="1"/>
  <c r="E54" i="16"/>
  <c r="R53" i="16"/>
  <c r="Q53" i="16"/>
  <c r="P53" i="16"/>
  <c r="N53" i="16"/>
  <c r="M53" i="16"/>
  <c r="H53" i="16"/>
  <c r="F53" i="16"/>
  <c r="E53" i="16"/>
  <c r="D53" i="16"/>
  <c r="C53" i="16"/>
  <c r="S52" i="16"/>
  <c r="O52" i="16"/>
  <c r="E49" i="16"/>
  <c r="E48" i="16"/>
  <c r="E47" i="16"/>
  <c r="E46" i="16"/>
  <c r="E45" i="16"/>
  <c r="E44" i="16"/>
  <c r="E42" i="16"/>
  <c r="R41" i="16"/>
  <c r="Q41" i="16"/>
  <c r="Q32" i="16" s="1"/>
  <c r="P41" i="16"/>
  <c r="O41" i="16"/>
  <c r="O32" i="16" s="1"/>
  <c r="N41" i="16"/>
  <c r="M41" i="16"/>
  <c r="M32" i="16" s="1"/>
  <c r="H41" i="16"/>
  <c r="F41" i="16"/>
  <c r="D41" i="16"/>
  <c r="C41" i="16"/>
  <c r="E39" i="16"/>
  <c r="E35" i="16"/>
  <c r="E34" i="16"/>
  <c r="R33" i="16"/>
  <c r="R32" i="16" s="1"/>
  <c r="Q33" i="16"/>
  <c r="N33" i="16"/>
  <c r="M33" i="16"/>
  <c r="H33" i="16"/>
  <c r="F33" i="16"/>
  <c r="D33" i="16"/>
  <c r="D32" i="16" s="1"/>
  <c r="C33" i="16"/>
  <c r="S32" i="16"/>
  <c r="P32" i="16"/>
  <c r="C32" i="16"/>
  <c r="R30" i="16"/>
  <c r="Q30" i="16"/>
  <c r="P30" i="16"/>
  <c r="N30" i="16"/>
  <c r="M30" i="16"/>
  <c r="E24" i="16"/>
  <c r="R23" i="16"/>
  <c r="Q23" i="16"/>
  <c r="P23" i="16"/>
  <c r="N23" i="16"/>
  <c r="M23" i="16"/>
  <c r="H23" i="16"/>
  <c r="F23" i="16"/>
  <c r="E23" i="16"/>
  <c r="D23" i="16"/>
  <c r="C23" i="16"/>
  <c r="E21" i="16"/>
  <c r="E19" i="16"/>
  <c r="E18" i="16"/>
  <c r="E17" i="16" s="1"/>
  <c r="R17" i="16"/>
  <c r="Q17" i="16"/>
  <c r="P17" i="16"/>
  <c r="N17" i="16"/>
  <c r="N9" i="16" s="1"/>
  <c r="M17" i="16"/>
  <c r="H17" i="16"/>
  <c r="F17" i="16"/>
  <c r="D17" i="16"/>
  <c r="C17" i="16"/>
  <c r="E14" i="16"/>
  <c r="E13" i="16"/>
  <c r="E10" i="16" s="1"/>
  <c r="R10" i="16"/>
  <c r="Q10" i="16"/>
  <c r="Q9" i="16" s="1"/>
  <c r="N10" i="16"/>
  <c r="M10" i="16"/>
  <c r="H10" i="16"/>
  <c r="F10" i="16"/>
  <c r="D10" i="16"/>
  <c r="C10" i="16"/>
  <c r="P9" i="16"/>
  <c r="F9" i="16"/>
  <c r="C9" i="16" l="1"/>
  <c r="C97" i="16" s="1"/>
  <c r="D52" i="16"/>
  <c r="N52" i="16"/>
  <c r="F52" i="16"/>
  <c r="H65" i="16"/>
  <c r="M65" i="16"/>
  <c r="M59" i="16" s="1"/>
  <c r="M52" i="16" s="1"/>
  <c r="N32" i="16"/>
  <c r="N97" i="16" s="1"/>
  <c r="F32" i="16"/>
  <c r="R52" i="16"/>
  <c r="Q52" i="16"/>
  <c r="H9" i="16"/>
  <c r="H32" i="16"/>
  <c r="E59" i="16"/>
  <c r="E52" i="16" s="1"/>
  <c r="E81" i="16"/>
  <c r="E66" i="16"/>
  <c r="E65" i="16" s="1"/>
  <c r="F97" i="16"/>
  <c r="H52" i="16"/>
  <c r="H97" i="16" s="1"/>
  <c r="M9" i="16"/>
  <c r="D9" i="16"/>
  <c r="D97" i="16" s="1"/>
  <c r="E41" i="16"/>
  <c r="Q97" i="16"/>
  <c r="R9" i="16"/>
  <c r="E33" i="16"/>
  <c r="O97" i="16"/>
  <c r="E9" i="16"/>
  <c r="P97" i="16"/>
  <c r="R97" i="16" l="1"/>
  <c r="E32" i="16"/>
  <c r="M97" i="16"/>
  <c r="E97" i="16"/>
  <c r="C210" i="18" l="1"/>
  <c r="K207" i="18"/>
  <c r="H207" i="18"/>
  <c r="G207" i="18" s="1"/>
  <c r="K206" i="18"/>
  <c r="H206" i="18"/>
  <c r="G206" i="18" s="1"/>
  <c r="O206" i="18" s="1"/>
  <c r="Q206" i="18" s="1"/>
  <c r="D206" i="18"/>
  <c r="H205" i="18"/>
  <c r="G205" i="18" s="1"/>
  <c r="O205" i="18" s="1"/>
  <c r="Q205" i="18" s="1"/>
  <c r="R205" i="18" s="1"/>
  <c r="H204" i="18"/>
  <c r="G204" i="18" s="1"/>
  <c r="O204" i="18" s="1"/>
  <c r="Q204" i="18" s="1"/>
  <c r="R204" i="18" s="1"/>
  <c r="H203" i="18"/>
  <c r="G203" i="18" s="1"/>
  <c r="O203" i="18" s="1"/>
  <c r="Q203" i="18" s="1"/>
  <c r="R203" i="18" s="1"/>
  <c r="K202" i="18"/>
  <c r="H202" i="18"/>
  <c r="G202" i="18" s="1"/>
  <c r="O202" i="18" s="1"/>
  <c r="Q202" i="18" s="1"/>
  <c r="R202" i="18" s="1"/>
  <c r="K201" i="18"/>
  <c r="H201" i="18"/>
  <c r="G201" i="18" s="1"/>
  <c r="K200" i="18"/>
  <c r="H200" i="18"/>
  <c r="G200" i="18" s="1"/>
  <c r="I200" i="18" s="1"/>
  <c r="O199" i="18"/>
  <c r="K199" i="18"/>
  <c r="H199" i="18"/>
  <c r="G199" i="18"/>
  <c r="D199" i="18"/>
  <c r="D198" i="18" s="1"/>
  <c r="P198" i="18"/>
  <c r="M198" i="18"/>
  <c r="L198" i="18"/>
  <c r="J198" i="18"/>
  <c r="F198" i="18"/>
  <c r="E198" i="18"/>
  <c r="K197" i="18"/>
  <c r="H197" i="18"/>
  <c r="G197" i="18" s="1"/>
  <c r="O197" i="18" s="1"/>
  <c r="Q197" i="18" s="1"/>
  <c r="R197" i="18" s="1"/>
  <c r="K196" i="18"/>
  <c r="H196" i="18"/>
  <c r="G196" i="18" s="1"/>
  <c r="O196" i="18" s="1"/>
  <c r="Q196" i="18" s="1"/>
  <c r="R196" i="18" s="1"/>
  <c r="R195" i="18"/>
  <c r="K195" i="18"/>
  <c r="H195" i="18"/>
  <c r="G195" i="18" s="1"/>
  <c r="R194" i="18"/>
  <c r="K194" i="18"/>
  <c r="H194" i="18"/>
  <c r="G194" i="18" s="1"/>
  <c r="K193" i="18"/>
  <c r="H193" i="18"/>
  <c r="G193" i="18" s="1"/>
  <c r="O193" i="18" s="1"/>
  <c r="Q193" i="18" s="1"/>
  <c r="R193" i="18" s="1"/>
  <c r="Q192" i="18"/>
  <c r="K192" i="18"/>
  <c r="H192" i="18"/>
  <c r="G192" i="18"/>
  <c r="O192" i="18" s="1"/>
  <c r="P191" i="18"/>
  <c r="N191" i="18"/>
  <c r="M191" i="18"/>
  <c r="L191" i="18"/>
  <c r="J191" i="18"/>
  <c r="I191" i="18"/>
  <c r="F191" i="18"/>
  <c r="E191" i="18"/>
  <c r="H191" i="18" s="1"/>
  <c r="G191" i="18" s="1"/>
  <c r="D191" i="18"/>
  <c r="B191" i="18"/>
  <c r="K190" i="18"/>
  <c r="H190" i="18"/>
  <c r="G190" i="18" s="1"/>
  <c r="O190" i="18" s="1"/>
  <c r="Q190" i="18" s="1"/>
  <c r="R190" i="18" s="1"/>
  <c r="K189" i="18"/>
  <c r="H189" i="18"/>
  <c r="G189" i="18" s="1"/>
  <c r="O189" i="18" s="1"/>
  <c r="Q189" i="18" s="1"/>
  <c r="R189" i="18" s="1"/>
  <c r="Q188" i="18"/>
  <c r="R188" i="18" s="1"/>
  <c r="K188" i="18"/>
  <c r="H188" i="18"/>
  <c r="G188" i="18"/>
  <c r="I188" i="18" s="1"/>
  <c r="K187" i="18"/>
  <c r="H187" i="18"/>
  <c r="G187" i="18" s="1"/>
  <c r="O187" i="18" s="1"/>
  <c r="Q187" i="18" s="1"/>
  <c r="R187" i="18" s="1"/>
  <c r="K186" i="18"/>
  <c r="H186" i="18"/>
  <c r="G186" i="18" s="1"/>
  <c r="O186" i="18" s="1"/>
  <c r="Q186" i="18" s="1"/>
  <c r="R186" i="18" s="1"/>
  <c r="K185" i="18"/>
  <c r="H185" i="18"/>
  <c r="G185" i="18" s="1"/>
  <c r="Q184" i="18"/>
  <c r="R184" i="18" s="1"/>
  <c r="K184" i="18"/>
  <c r="H184" i="18"/>
  <c r="G184" i="18"/>
  <c r="I184" i="18" s="1"/>
  <c r="Q183" i="18"/>
  <c r="R183" i="18" s="1"/>
  <c r="K183" i="18"/>
  <c r="H183" i="18"/>
  <c r="G183" i="18" s="1"/>
  <c r="I183" i="18" s="1"/>
  <c r="K182" i="18"/>
  <c r="H182" i="18"/>
  <c r="G182" i="18" s="1"/>
  <c r="I182" i="18" s="1"/>
  <c r="K181" i="18"/>
  <c r="H181" i="18"/>
  <c r="G181" i="18" s="1"/>
  <c r="Q180" i="18"/>
  <c r="K180" i="18"/>
  <c r="H180" i="18"/>
  <c r="G180" i="18" s="1"/>
  <c r="I180" i="18" s="1"/>
  <c r="Q179" i="18"/>
  <c r="K179" i="18"/>
  <c r="H179" i="18"/>
  <c r="G179" i="18" s="1"/>
  <c r="I179" i="18" s="1"/>
  <c r="K178" i="18"/>
  <c r="H178" i="18"/>
  <c r="G178" i="18" s="1"/>
  <c r="O178" i="18" s="1"/>
  <c r="Q178" i="18" s="1"/>
  <c r="R178" i="18" s="1"/>
  <c r="K177" i="18"/>
  <c r="H177" i="18"/>
  <c r="G177" i="18" s="1"/>
  <c r="Q176" i="18"/>
  <c r="K176" i="18"/>
  <c r="H176" i="18"/>
  <c r="G176" i="18"/>
  <c r="I176" i="18" s="1"/>
  <c r="N176" i="18" s="1"/>
  <c r="Q175" i="18"/>
  <c r="K175" i="18"/>
  <c r="H175" i="18"/>
  <c r="G175" i="18" s="1"/>
  <c r="I175" i="18" s="1"/>
  <c r="K174" i="18"/>
  <c r="H174" i="18"/>
  <c r="G174" i="18" s="1"/>
  <c r="I174" i="18" s="1"/>
  <c r="K173" i="18"/>
  <c r="H173" i="18"/>
  <c r="G173" i="18" s="1"/>
  <c r="K172" i="18"/>
  <c r="H172" i="18"/>
  <c r="G172" i="18"/>
  <c r="I172" i="18" s="1"/>
  <c r="K171" i="18"/>
  <c r="H171" i="18"/>
  <c r="G171" i="18" s="1"/>
  <c r="O171" i="18" s="1"/>
  <c r="Q171" i="18" s="1"/>
  <c r="R171" i="18" s="1"/>
  <c r="K170" i="18"/>
  <c r="H170" i="18"/>
  <c r="G170" i="18" s="1"/>
  <c r="K169" i="18"/>
  <c r="H169" i="18"/>
  <c r="G169" i="18"/>
  <c r="I169" i="18" s="1"/>
  <c r="K168" i="18"/>
  <c r="H168" i="18"/>
  <c r="G168" i="18" s="1"/>
  <c r="K167" i="18"/>
  <c r="H167" i="18"/>
  <c r="G167" i="18" s="1"/>
  <c r="I167" i="18" s="1"/>
  <c r="K166" i="18"/>
  <c r="I166" i="18"/>
  <c r="H166" i="18"/>
  <c r="G166" i="18" s="1"/>
  <c r="O166" i="18" s="1"/>
  <c r="Q166" i="18" s="1"/>
  <c r="R166" i="18" s="1"/>
  <c r="K165" i="18"/>
  <c r="H165" i="18"/>
  <c r="G165" i="18" s="1"/>
  <c r="K164" i="18"/>
  <c r="H164" i="18"/>
  <c r="G164" i="18" s="1"/>
  <c r="O164" i="18" s="1"/>
  <c r="Q164" i="18" s="1"/>
  <c r="Q163" i="18"/>
  <c r="R163" i="18" s="1"/>
  <c r="K163" i="18"/>
  <c r="H163" i="18"/>
  <c r="G163" i="18" s="1"/>
  <c r="I163" i="18" s="1"/>
  <c r="Q162" i="18"/>
  <c r="K162" i="18"/>
  <c r="H162" i="18"/>
  <c r="G162" i="18" s="1"/>
  <c r="I162" i="18" s="1"/>
  <c r="Q161" i="18"/>
  <c r="K161" i="18"/>
  <c r="H161" i="18"/>
  <c r="G161" i="18" s="1"/>
  <c r="I161" i="18" s="1"/>
  <c r="Q160" i="18"/>
  <c r="K160" i="18"/>
  <c r="H160" i="18"/>
  <c r="G160" i="18" s="1"/>
  <c r="I160" i="18" s="1"/>
  <c r="K159" i="18"/>
  <c r="H159" i="18"/>
  <c r="G159" i="18" s="1"/>
  <c r="O159" i="18" s="1"/>
  <c r="Q159" i="18" s="1"/>
  <c r="R159" i="18" s="1"/>
  <c r="K158" i="18"/>
  <c r="H158" i="18"/>
  <c r="G158" i="18" s="1"/>
  <c r="L157" i="18"/>
  <c r="H157" i="18" s="1"/>
  <c r="G157" i="18" s="1"/>
  <c r="K156" i="18"/>
  <c r="H156" i="18"/>
  <c r="G156" i="18" s="1"/>
  <c r="L155" i="18"/>
  <c r="L154" i="18"/>
  <c r="H154" i="18"/>
  <c r="G154" i="18" s="1"/>
  <c r="Q153" i="18"/>
  <c r="L153" i="18"/>
  <c r="H153" i="18" s="1"/>
  <c r="G153" i="18" s="1"/>
  <c r="I153" i="18" s="1"/>
  <c r="N153" i="18" s="1"/>
  <c r="Q152" i="18"/>
  <c r="R152" i="18" s="1"/>
  <c r="L152" i="18"/>
  <c r="H152" i="18" s="1"/>
  <c r="G152" i="18" s="1"/>
  <c r="I152" i="18" s="1"/>
  <c r="L151" i="18"/>
  <c r="H151" i="18" s="1"/>
  <c r="G151" i="18" s="1"/>
  <c r="K150" i="18"/>
  <c r="H150" i="18"/>
  <c r="G150" i="18" s="1"/>
  <c r="K149" i="18"/>
  <c r="H149" i="18"/>
  <c r="G149" i="18" s="1"/>
  <c r="K148" i="18"/>
  <c r="H148" i="18"/>
  <c r="G148" i="18" s="1"/>
  <c r="K147" i="18"/>
  <c r="H147" i="18"/>
  <c r="Q146" i="18"/>
  <c r="K146" i="18"/>
  <c r="H146" i="18"/>
  <c r="G146" i="18" s="1"/>
  <c r="I146" i="18" s="1"/>
  <c r="Q145" i="18"/>
  <c r="K145" i="18"/>
  <c r="H145" i="18"/>
  <c r="G145" i="18" s="1"/>
  <c r="I145" i="18" s="1"/>
  <c r="Q144" i="18"/>
  <c r="K144" i="18"/>
  <c r="H144" i="18"/>
  <c r="G144" i="18"/>
  <c r="I144" i="18" s="1"/>
  <c r="P143" i="18"/>
  <c r="M143" i="18"/>
  <c r="J143" i="18"/>
  <c r="F143" i="18"/>
  <c r="E143" i="18"/>
  <c r="D143" i="18"/>
  <c r="K142" i="18"/>
  <c r="H142" i="18"/>
  <c r="G142" i="18" s="1"/>
  <c r="O142" i="18" s="1"/>
  <c r="Q142" i="18" s="1"/>
  <c r="Q141" i="18"/>
  <c r="K141" i="18"/>
  <c r="H141" i="18"/>
  <c r="G141" i="18" s="1"/>
  <c r="N141" i="18" s="1"/>
  <c r="R141" i="18" s="1"/>
  <c r="Q140" i="18"/>
  <c r="M140" i="18"/>
  <c r="K140" i="18"/>
  <c r="H140" i="18"/>
  <c r="G140" i="18"/>
  <c r="I140" i="18" s="1"/>
  <c r="K139" i="18"/>
  <c r="H139" i="18"/>
  <c r="G139" i="18" s="1"/>
  <c r="N139" i="18" s="1"/>
  <c r="K138" i="18"/>
  <c r="H138" i="18"/>
  <c r="G138" i="18" s="1"/>
  <c r="O138" i="18" s="1"/>
  <c r="Q138" i="18" s="1"/>
  <c r="K137" i="18"/>
  <c r="H137" i="18"/>
  <c r="K136" i="18"/>
  <c r="H136" i="18"/>
  <c r="K135" i="18"/>
  <c r="H135" i="18"/>
  <c r="K134" i="18"/>
  <c r="H134" i="18"/>
  <c r="G134" i="18"/>
  <c r="N134" i="18" s="1"/>
  <c r="R134" i="18" s="1"/>
  <c r="K133" i="18"/>
  <c r="H133" i="18"/>
  <c r="G133" i="18" s="1"/>
  <c r="K132" i="18"/>
  <c r="H132" i="18"/>
  <c r="K131" i="18"/>
  <c r="H131" i="18"/>
  <c r="G131" i="18" s="1"/>
  <c r="N131" i="18" s="1"/>
  <c r="K130" i="18"/>
  <c r="H130" i="18"/>
  <c r="G130" i="18" s="1"/>
  <c r="K129" i="18"/>
  <c r="H129" i="18"/>
  <c r="K128" i="18"/>
  <c r="H128" i="18"/>
  <c r="G128" i="18" s="1"/>
  <c r="K127" i="18"/>
  <c r="H127" i="18"/>
  <c r="G127" i="18"/>
  <c r="N127" i="18" s="1"/>
  <c r="R127" i="18" s="1"/>
  <c r="K126" i="18"/>
  <c r="H126" i="18"/>
  <c r="G126" i="18" s="1"/>
  <c r="I126" i="18" s="1"/>
  <c r="K125" i="18"/>
  <c r="H125" i="18"/>
  <c r="G125" i="18" s="1"/>
  <c r="P124" i="18"/>
  <c r="M124" i="18"/>
  <c r="L124" i="18"/>
  <c r="J124" i="18"/>
  <c r="F124" i="18"/>
  <c r="E124" i="18"/>
  <c r="D124" i="18"/>
  <c r="B124" i="18"/>
  <c r="S92" i="18"/>
  <c r="K91" i="18"/>
  <c r="K90" i="18"/>
  <c r="K89" i="18"/>
  <c r="R88" i="18"/>
  <c r="K88" i="18"/>
  <c r="H88" i="18"/>
  <c r="G88" i="18" s="1"/>
  <c r="R87" i="18"/>
  <c r="K87" i="18"/>
  <c r="H87" i="18"/>
  <c r="G87" i="18" s="1"/>
  <c r="I87" i="18" s="1"/>
  <c r="K86" i="18"/>
  <c r="H86" i="18"/>
  <c r="G86" i="18" s="1"/>
  <c r="N86" i="18" s="1"/>
  <c r="R86" i="18" s="1"/>
  <c r="K85" i="18"/>
  <c r="H85" i="18"/>
  <c r="G85" i="18" s="1"/>
  <c r="R84" i="18"/>
  <c r="K84" i="18"/>
  <c r="H84" i="18"/>
  <c r="G84" i="18"/>
  <c r="I84" i="18" s="1"/>
  <c r="K83" i="18"/>
  <c r="H83" i="18"/>
  <c r="G83" i="18" s="1"/>
  <c r="N83" i="18" s="1"/>
  <c r="R82" i="18"/>
  <c r="K82" i="18"/>
  <c r="R81" i="18"/>
  <c r="K81" i="18"/>
  <c r="R80" i="18"/>
  <c r="K80" i="18"/>
  <c r="H80" i="18"/>
  <c r="G80" i="18" s="1"/>
  <c r="R79" i="18"/>
  <c r="K79" i="18"/>
  <c r="H79" i="18"/>
  <c r="G79" i="18" s="1"/>
  <c r="K78" i="18"/>
  <c r="H78" i="18"/>
  <c r="G78" i="18" s="1"/>
  <c r="N78" i="18" s="1"/>
  <c r="R78" i="18" s="1"/>
  <c r="K77" i="18"/>
  <c r="H77" i="18"/>
  <c r="G77" i="18" s="1"/>
  <c r="N77" i="18" s="1"/>
  <c r="R77" i="18" s="1"/>
  <c r="R76" i="18"/>
  <c r="K76" i="18"/>
  <c r="H76" i="18"/>
  <c r="G76" i="18" s="1"/>
  <c r="I76" i="18" s="1"/>
  <c r="K75" i="18"/>
  <c r="H75" i="18"/>
  <c r="G75" i="18" s="1"/>
  <c r="N75" i="18" s="1"/>
  <c r="R75" i="18" s="1"/>
  <c r="Q74" i="18"/>
  <c r="P74" i="18"/>
  <c r="O74" i="18"/>
  <c r="M74" i="18"/>
  <c r="L74" i="18"/>
  <c r="J74" i="18"/>
  <c r="F74" i="18"/>
  <c r="E74" i="18"/>
  <c r="D74" i="18"/>
  <c r="C74" i="18"/>
  <c r="C92" i="18" s="1"/>
  <c r="B74" i="18"/>
  <c r="B92" i="18" s="1"/>
  <c r="O73" i="18"/>
  <c r="Q73" i="18" s="1"/>
  <c r="N73" i="18"/>
  <c r="K73" i="18"/>
  <c r="O72" i="18"/>
  <c r="Q72" i="18" s="1"/>
  <c r="N72" i="18"/>
  <c r="K72" i="18"/>
  <c r="Q71" i="18"/>
  <c r="N71" i="18"/>
  <c r="K71" i="18"/>
  <c r="O70" i="18"/>
  <c r="Q70" i="18" s="1"/>
  <c r="N70" i="18"/>
  <c r="K70" i="18"/>
  <c r="Q69" i="18"/>
  <c r="N69" i="18"/>
  <c r="K69" i="18"/>
  <c r="Q68" i="18"/>
  <c r="N68" i="18"/>
  <c r="K68" i="18"/>
  <c r="O67" i="18"/>
  <c r="Q67" i="18" s="1"/>
  <c r="N67" i="18"/>
  <c r="K67" i="18"/>
  <c r="O66" i="18"/>
  <c r="Q66" i="18" s="1"/>
  <c r="N66" i="18"/>
  <c r="K66" i="18"/>
  <c r="O65" i="18"/>
  <c r="Q65" i="18" s="1"/>
  <c r="N65" i="18"/>
  <c r="K65" i="18"/>
  <c r="O64" i="18"/>
  <c r="Q64" i="18" s="1"/>
  <c r="N64" i="18"/>
  <c r="K64" i="18"/>
  <c r="Q63" i="18"/>
  <c r="N63" i="18"/>
  <c r="K63" i="18"/>
  <c r="Q62" i="18"/>
  <c r="N62" i="18"/>
  <c r="K62" i="18"/>
  <c r="Q61" i="18"/>
  <c r="N61" i="18"/>
  <c r="K61" i="18"/>
  <c r="O60" i="18"/>
  <c r="Q60" i="18" s="1"/>
  <c r="N60" i="18"/>
  <c r="K60" i="18"/>
  <c r="O59" i="18"/>
  <c r="Q59" i="18" s="1"/>
  <c r="N59" i="18"/>
  <c r="K59" i="18"/>
  <c r="I59" i="18"/>
  <c r="O58" i="18"/>
  <c r="Q58" i="18" s="1"/>
  <c r="N58" i="18"/>
  <c r="K58" i="18"/>
  <c r="O57" i="18"/>
  <c r="Q57" i="18" s="1"/>
  <c r="N57" i="18"/>
  <c r="K57" i="18"/>
  <c r="O56" i="18"/>
  <c r="Q56" i="18" s="1"/>
  <c r="N56" i="18"/>
  <c r="K56" i="18"/>
  <c r="Q55" i="18"/>
  <c r="N55" i="18"/>
  <c r="K55" i="18"/>
  <c r="Q54" i="18"/>
  <c r="N54" i="18"/>
  <c r="K54" i="18"/>
  <c r="Q53" i="18"/>
  <c r="N53" i="18"/>
  <c r="K53" i="18"/>
  <c r="O52" i="18"/>
  <c r="N52" i="18"/>
  <c r="K52" i="18"/>
  <c r="O51" i="18"/>
  <c r="Q51" i="18" s="1"/>
  <c r="N51" i="18"/>
  <c r="K51" i="18"/>
  <c r="O50" i="18"/>
  <c r="N50" i="18"/>
  <c r="R50" i="18" s="1"/>
  <c r="K50" i="18"/>
  <c r="O49" i="18"/>
  <c r="Q49" i="18" s="1"/>
  <c r="N49" i="18"/>
  <c r="K49" i="18"/>
  <c r="O48" i="18"/>
  <c r="Q48" i="18" s="1"/>
  <c r="N48" i="18"/>
  <c r="K48" i="18"/>
  <c r="I48" i="18"/>
  <c r="O47" i="18"/>
  <c r="Q47" i="18" s="1"/>
  <c r="N47" i="18"/>
  <c r="K47" i="18"/>
  <c r="I47" i="18"/>
  <c r="O46" i="18"/>
  <c r="Q46" i="18" s="1"/>
  <c r="N46" i="18"/>
  <c r="K46" i="18"/>
  <c r="I46" i="18"/>
  <c r="Q45" i="18"/>
  <c r="N45" i="18"/>
  <c r="K45" i="18"/>
  <c r="I45" i="18"/>
  <c r="Q44" i="18"/>
  <c r="R44" i="18" s="1"/>
  <c r="N44" i="18"/>
  <c r="K44" i="18"/>
  <c r="I44" i="18"/>
  <c r="O43" i="18"/>
  <c r="Q43" i="18" s="1"/>
  <c r="N43" i="18"/>
  <c r="K43" i="18"/>
  <c r="I43" i="18"/>
  <c r="O42" i="18"/>
  <c r="Q42" i="18" s="1"/>
  <c r="N42" i="18"/>
  <c r="K42" i="18"/>
  <c r="I42" i="18"/>
  <c r="O41" i="18"/>
  <c r="Q41" i="18" s="1"/>
  <c r="N41" i="18"/>
  <c r="K41" i="18"/>
  <c r="P40" i="18"/>
  <c r="M40" i="18"/>
  <c r="L40" i="18"/>
  <c r="J40" i="18"/>
  <c r="H40" i="18"/>
  <c r="G40" i="18"/>
  <c r="F40" i="18"/>
  <c r="E40" i="18"/>
  <c r="D40" i="18"/>
  <c r="K39" i="18"/>
  <c r="H39" i="18"/>
  <c r="G39" i="18" s="1"/>
  <c r="N39" i="18" s="1"/>
  <c r="R39" i="18" s="1"/>
  <c r="K38" i="18"/>
  <c r="H38" i="18"/>
  <c r="G38" i="18" s="1"/>
  <c r="I38" i="18" s="1"/>
  <c r="K37" i="18"/>
  <c r="E37" i="18"/>
  <c r="H37" i="18" s="1"/>
  <c r="G37" i="18" s="1"/>
  <c r="K36" i="18"/>
  <c r="E36" i="18"/>
  <c r="H36" i="18" s="1"/>
  <c r="K35" i="18"/>
  <c r="E35" i="18"/>
  <c r="H35" i="18" s="1"/>
  <c r="G35" i="18" s="1"/>
  <c r="K34" i="18"/>
  <c r="E34" i="18"/>
  <c r="H34" i="18" s="1"/>
  <c r="K33" i="18"/>
  <c r="H33" i="18"/>
  <c r="G33" i="18" s="1"/>
  <c r="N33" i="18" s="1"/>
  <c r="R33" i="18" s="1"/>
  <c r="K32" i="18"/>
  <c r="H32" i="18"/>
  <c r="G32" i="18" s="1"/>
  <c r="N32" i="18" s="1"/>
  <c r="R32" i="18" s="1"/>
  <c r="K31" i="18"/>
  <c r="E31" i="18"/>
  <c r="H31" i="18" s="1"/>
  <c r="G31" i="18" s="1"/>
  <c r="I31" i="18" s="1"/>
  <c r="K30" i="18"/>
  <c r="E30" i="18"/>
  <c r="H30" i="18" s="1"/>
  <c r="K29" i="18"/>
  <c r="E29" i="18"/>
  <c r="H29" i="18" s="1"/>
  <c r="G29" i="18" s="1"/>
  <c r="D29" i="18"/>
  <c r="B29" i="18"/>
  <c r="K28" i="18"/>
  <c r="H28" i="18"/>
  <c r="G28" i="18" s="1"/>
  <c r="K27" i="18"/>
  <c r="E27" i="18"/>
  <c r="H27" i="18" s="1"/>
  <c r="K26" i="18"/>
  <c r="H26" i="18"/>
  <c r="G26" i="18" s="1"/>
  <c r="K25" i="18"/>
  <c r="H25" i="18"/>
  <c r="G25" i="18" s="1"/>
  <c r="K24" i="18"/>
  <c r="H24" i="18"/>
  <c r="G24" i="18" s="1"/>
  <c r="K23" i="18"/>
  <c r="H23" i="18"/>
  <c r="G23" i="18" s="1"/>
  <c r="I23" i="18" s="1"/>
  <c r="K22" i="18"/>
  <c r="H22" i="18"/>
  <c r="G22" i="18" s="1"/>
  <c r="N22" i="18" s="1"/>
  <c r="R22" i="18" s="1"/>
  <c r="B22" i="18"/>
  <c r="K21" i="18"/>
  <c r="H21" i="18"/>
  <c r="G21" i="18" s="1"/>
  <c r="I21" i="18" s="1"/>
  <c r="K20" i="18"/>
  <c r="H20" i="18"/>
  <c r="G20" i="18" s="1"/>
  <c r="K19" i="18"/>
  <c r="H19" i="18"/>
  <c r="G19" i="18"/>
  <c r="I19" i="18" s="1"/>
  <c r="D19" i="18"/>
  <c r="D18" i="18" s="1"/>
  <c r="P18" i="18"/>
  <c r="M18" i="18"/>
  <c r="L18" i="18"/>
  <c r="J18" i="18"/>
  <c r="F18" i="18"/>
  <c r="I178" i="18" l="1"/>
  <c r="I186" i="18"/>
  <c r="R176" i="18"/>
  <c r="K191" i="18"/>
  <c r="R67" i="18"/>
  <c r="R55" i="18"/>
  <c r="R68" i="18"/>
  <c r="R61" i="18"/>
  <c r="R69" i="18"/>
  <c r="K74" i="18"/>
  <c r="R63" i="18"/>
  <c r="O207" i="18"/>
  <c r="Q207" i="18" s="1"/>
  <c r="R207" i="18" s="1"/>
  <c r="R206" i="18" s="1"/>
  <c r="I207" i="18"/>
  <c r="I206" i="18" s="1"/>
  <c r="I165" i="18"/>
  <c r="O165" i="18"/>
  <c r="Q165" i="18" s="1"/>
  <c r="O201" i="18"/>
  <c r="Q201" i="18" s="1"/>
  <c r="R201" i="18" s="1"/>
  <c r="I201" i="18"/>
  <c r="M92" i="18"/>
  <c r="K18" i="18"/>
  <c r="L92" i="18"/>
  <c r="R70" i="18"/>
  <c r="R71" i="18"/>
  <c r="F92" i="18"/>
  <c r="I131" i="18"/>
  <c r="I164" i="18"/>
  <c r="K143" i="18"/>
  <c r="O191" i="18"/>
  <c r="R43" i="18"/>
  <c r="J92" i="18"/>
  <c r="K124" i="18"/>
  <c r="I171" i="18"/>
  <c r="I189" i="18"/>
  <c r="I190" i="18"/>
  <c r="G34" i="18"/>
  <c r="N38" i="18"/>
  <c r="R38" i="18" s="1"/>
  <c r="D92" i="18"/>
  <c r="P92" i="18"/>
  <c r="R62" i="18"/>
  <c r="I127" i="18"/>
  <c r="G129" i="18"/>
  <c r="N129" i="18" s="1"/>
  <c r="R129" i="18" s="1"/>
  <c r="G132" i="18"/>
  <c r="N132" i="18" s="1"/>
  <c r="R132" i="18" s="1"/>
  <c r="I187" i="18"/>
  <c r="H198" i="18"/>
  <c r="O25" i="18"/>
  <c r="Q25" i="18" s="1"/>
  <c r="I25" i="18"/>
  <c r="O24" i="18"/>
  <c r="Q24" i="18" s="1"/>
  <c r="I24" i="18"/>
  <c r="N26" i="18"/>
  <c r="R26" i="18" s="1"/>
  <c r="I26" i="18"/>
  <c r="R42" i="18"/>
  <c r="R48" i="18"/>
  <c r="O40" i="18"/>
  <c r="R57" i="18"/>
  <c r="R60" i="18"/>
  <c r="I86" i="18"/>
  <c r="R47" i="18"/>
  <c r="R51" i="18"/>
  <c r="R56" i="18"/>
  <c r="I22" i="18"/>
  <c r="I40" i="18"/>
  <c r="R49" i="18"/>
  <c r="R54" i="18"/>
  <c r="R66" i="18"/>
  <c r="I78" i="18"/>
  <c r="K40" i="18"/>
  <c r="R59" i="18"/>
  <c r="I32" i="18"/>
  <c r="I39" i="18"/>
  <c r="R41" i="18"/>
  <c r="R45" i="18"/>
  <c r="R46" i="18"/>
  <c r="R53" i="18"/>
  <c r="R58" i="18"/>
  <c r="R64" i="18"/>
  <c r="I125" i="18"/>
  <c r="N125" i="18"/>
  <c r="N128" i="18"/>
  <c r="R128" i="18" s="1"/>
  <c r="I128" i="18"/>
  <c r="I130" i="18"/>
  <c r="N130" i="18"/>
  <c r="R130" i="18" s="1"/>
  <c r="I133" i="18"/>
  <c r="N133" i="18"/>
  <c r="R133" i="18" s="1"/>
  <c r="N126" i="18"/>
  <c r="I157" i="18"/>
  <c r="O157" i="18"/>
  <c r="Q157" i="18" s="1"/>
  <c r="O185" i="18"/>
  <c r="Q185" i="18" s="1"/>
  <c r="R185" i="18" s="1"/>
  <c r="I185" i="18"/>
  <c r="P210" i="18"/>
  <c r="O126" i="18"/>
  <c r="O131" i="18"/>
  <c r="Q131" i="18" s="1"/>
  <c r="R131" i="18" s="1"/>
  <c r="I134" i="18"/>
  <c r="G137" i="18"/>
  <c r="N137" i="18" s="1"/>
  <c r="R137" i="18" s="1"/>
  <c r="G147" i="18"/>
  <c r="I150" i="18"/>
  <c r="O150" i="18"/>
  <c r="Q150" i="18" s="1"/>
  <c r="O154" i="18"/>
  <c r="Q154" i="18" s="1"/>
  <c r="I154" i="18"/>
  <c r="O156" i="18"/>
  <c r="Q156" i="18" s="1"/>
  <c r="I156" i="18"/>
  <c r="O158" i="18"/>
  <c r="Q158" i="18" s="1"/>
  <c r="R158" i="18" s="1"/>
  <c r="I158" i="18"/>
  <c r="I159" i="18"/>
  <c r="O168" i="18"/>
  <c r="Q168" i="18" s="1"/>
  <c r="I168" i="18"/>
  <c r="O173" i="18"/>
  <c r="Q173" i="18" s="1"/>
  <c r="I173" i="18"/>
  <c r="D210" i="18"/>
  <c r="J210" i="18"/>
  <c r="Q199" i="18"/>
  <c r="G135" i="18"/>
  <c r="N135" i="18" s="1"/>
  <c r="R135" i="18" s="1"/>
  <c r="I148" i="18"/>
  <c r="O148" i="18"/>
  <c r="Q148" i="18" s="1"/>
  <c r="Q191" i="18"/>
  <c r="R192" i="18"/>
  <c r="R191" i="18" s="1"/>
  <c r="G136" i="18"/>
  <c r="I136" i="18" s="1"/>
  <c r="N138" i="18"/>
  <c r="R138" i="18" s="1"/>
  <c r="N140" i="18"/>
  <c r="R140" i="18" s="1"/>
  <c r="O149" i="18"/>
  <c r="Q149" i="18" s="1"/>
  <c r="I149" i="18"/>
  <c r="O181" i="18"/>
  <c r="Q181" i="18" s="1"/>
  <c r="I181" i="18"/>
  <c r="E210" i="18"/>
  <c r="K198" i="18"/>
  <c r="G198" i="18"/>
  <c r="N200" i="18"/>
  <c r="I199" i="18"/>
  <c r="I198" i="18" s="1"/>
  <c r="H155" i="18"/>
  <c r="G155" i="18" s="1"/>
  <c r="L143" i="18"/>
  <c r="L210" i="18" s="1"/>
  <c r="H124" i="18"/>
  <c r="I139" i="18"/>
  <c r="O139" i="18"/>
  <c r="Q139" i="18" s="1"/>
  <c r="R139" i="18" s="1"/>
  <c r="O151" i="18"/>
  <c r="Q151" i="18" s="1"/>
  <c r="R151" i="18" s="1"/>
  <c r="I151" i="18"/>
  <c r="N143" i="18"/>
  <c r="R153" i="18"/>
  <c r="O170" i="18"/>
  <c r="Q170" i="18" s="1"/>
  <c r="R170" i="18" s="1"/>
  <c r="I170" i="18"/>
  <c r="O177" i="18"/>
  <c r="Q177" i="18" s="1"/>
  <c r="R177" i="18" s="1"/>
  <c r="I177" i="18"/>
  <c r="F210" i="18"/>
  <c r="M210" i="18"/>
  <c r="N142" i="18"/>
  <c r="R142" i="18" s="1"/>
  <c r="O167" i="18"/>
  <c r="Q167" i="18" s="1"/>
  <c r="O169" i="18"/>
  <c r="Q169" i="18" s="1"/>
  <c r="O172" i="18"/>
  <c r="Q172" i="18" s="1"/>
  <c r="O174" i="18"/>
  <c r="Q174" i="18" s="1"/>
  <c r="O182" i="18"/>
  <c r="Q182" i="18" s="1"/>
  <c r="N20" i="18"/>
  <c r="R20" i="18" s="1"/>
  <c r="I20" i="18"/>
  <c r="N85" i="18"/>
  <c r="R85" i="18" s="1"/>
  <c r="I85" i="18"/>
  <c r="N29" i="18"/>
  <c r="R29" i="18" s="1"/>
  <c r="I29" i="18"/>
  <c r="N35" i="18"/>
  <c r="R35" i="18" s="1"/>
  <c r="I35" i="18"/>
  <c r="I37" i="18"/>
  <c r="N37" i="18"/>
  <c r="R37" i="18" s="1"/>
  <c r="R65" i="18"/>
  <c r="R73" i="18"/>
  <c r="R83" i="18"/>
  <c r="N28" i="18"/>
  <c r="O28" i="18"/>
  <c r="Q28" i="18" s="1"/>
  <c r="I28" i="18"/>
  <c r="N34" i="18"/>
  <c r="R34" i="18" s="1"/>
  <c r="I34" i="18"/>
  <c r="R72" i="18"/>
  <c r="N23" i="18"/>
  <c r="R23" i="18" s="1"/>
  <c r="N31" i="18"/>
  <c r="R31" i="18" s="1"/>
  <c r="N19" i="18"/>
  <c r="N21" i="18"/>
  <c r="G27" i="18"/>
  <c r="G30" i="18"/>
  <c r="G36" i="18"/>
  <c r="Q52" i="18"/>
  <c r="R52" i="18" s="1"/>
  <c r="G74" i="18"/>
  <c r="I77" i="18"/>
  <c r="I79" i="18"/>
  <c r="E18" i="18"/>
  <c r="E92" i="18" s="1"/>
  <c r="O21" i="18"/>
  <c r="N24" i="18"/>
  <c r="R24" i="18" s="1"/>
  <c r="N25" i="18"/>
  <c r="R25" i="18" s="1"/>
  <c r="I33" i="18"/>
  <c r="N40" i="18"/>
  <c r="H74" i="18"/>
  <c r="H18" i="18"/>
  <c r="I135" i="18" l="1"/>
  <c r="K210" i="18"/>
  <c r="O198" i="18"/>
  <c r="Q198" i="18" s="1"/>
  <c r="K92" i="18"/>
  <c r="R143" i="18"/>
  <c r="I137" i="18"/>
  <c r="I129" i="18"/>
  <c r="I124" i="18" s="1"/>
  <c r="I132" i="18"/>
  <c r="N74" i="18"/>
  <c r="R40" i="18"/>
  <c r="R74" i="18"/>
  <c r="I74" i="18"/>
  <c r="Q126" i="18"/>
  <c r="G124" i="18"/>
  <c r="N198" i="18"/>
  <c r="N210" i="18" s="1"/>
  <c r="R200" i="18"/>
  <c r="R199" i="18" s="1"/>
  <c r="R198" i="18" s="1"/>
  <c r="N136" i="18"/>
  <c r="O136" i="18"/>
  <c r="Q136" i="18" s="1"/>
  <c r="H143" i="18"/>
  <c r="H210" i="18" s="1"/>
  <c r="R125" i="18"/>
  <c r="N124" i="18"/>
  <c r="I155" i="18"/>
  <c r="O155" i="18"/>
  <c r="Q155" i="18" s="1"/>
  <c r="G210" i="18"/>
  <c r="O147" i="18"/>
  <c r="I147" i="18"/>
  <c r="G143" i="18"/>
  <c r="R19" i="18"/>
  <c r="Q40" i="18"/>
  <c r="I36" i="18"/>
  <c r="O36" i="18"/>
  <c r="Q36" i="18" s="1"/>
  <c r="N36" i="18"/>
  <c r="G18" i="18"/>
  <c r="G92" i="18" s="1"/>
  <c r="H92" i="18"/>
  <c r="I30" i="18"/>
  <c r="N30" i="18"/>
  <c r="R30" i="18" s="1"/>
  <c r="Q21" i="18"/>
  <c r="I27" i="18"/>
  <c r="N27" i="18"/>
  <c r="R27" i="18" s="1"/>
  <c r="R28" i="18"/>
  <c r="I18" i="18" l="1"/>
  <c r="I92" i="18" s="1"/>
  <c r="I143" i="18"/>
  <c r="I210" i="18" s="1"/>
  <c r="Q124" i="18"/>
  <c r="O18" i="18"/>
  <c r="O92" i="18" s="1"/>
  <c r="Q18" i="18"/>
  <c r="Q92" i="18" s="1"/>
  <c r="R36" i="18"/>
  <c r="R126" i="18"/>
  <c r="Q147" i="18"/>
  <c r="Q143" i="18" s="1"/>
  <c r="Q210" i="18" s="1"/>
  <c r="O143" i="18"/>
  <c r="R136" i="18"/>
  <c r="O124" i="18"/>
  <c r="N18" i="18"/>
  <c r="N92" i="18" s="1"/>
  <c r="R21" i="18"/>
  <c r="R18" i="18" l="1"/>
  <c r="R92" i="18" s="1"/>
  <c r="O210" i="18"/>
  <c r="R124" i="18"/>
  <c r="R210" i="18" s="1"/>
  <c r="M53" i="10" l="1"/>
  <c r="N21" i="8" l="1"/>
  <c r="M21" i="8"/>
  <c r="L21" i="8"/>
  <c r="K21" i="8"/>
  <c r="J21" i="8"/>
  <c r="I21" i="8"/>
  <c r="H21" i="8"/>
  <c r="G21" i="8"/>
  <c r="F21" i="8"/>
  <c r="E21" i="8"/>
  <c r="D21" i="8"/>
  <c r="C21" i="8"/>
  <c r="R20" i="8"/>
  <c r="R21" i="8" s="1"/>
  <c r="R22" i="8" s="1"/>
  <c r="O20" i="8"/>
  <c r="O21" i="8" s="1"/>
  <c r="O22" i="8" s="1"/>
  <c r="R18" i="8"/>
  <c r="O18" i="8"/>
  <c r="N18" i="8"/>
  <c r="M18" i="8"/>
  <c r="L18" i="8"/>
  <c r="K18" i="8"/>
  <c r="J18" i="8"/>
  <c r="I18" i="8"/>
  <c r="H18" i="8"/>
  <c r="G18" i="8"/>
  <c r="F18" i="8"/>
  <c r="D18" i="8"/>
  <c r="C18" i="8"/>
  <c r="B16" i="8"/>
  <c r="B17" i="8" s="1"/>
  <c r="B18" i="8" s="1"/>
  <c r="N14" i="8"/>
  <c r="N22" i="8" s="1"/>
  <c r="M14" i="8"/>
  <c r="M22" i="8" s="1"/>
  <c r="L14" i="8"/>
  <c r="K14" i="8"/>
  <c r="J14" i="8"/>
  <c r="J22" i="8" s="1"/>
  <c r="I14" i="8"/>
  <c r="H14" i="8"/>
  <c r="G14" i="8"/>
  <c r="F14" i="8"/>
  <c r="F22" i="8" s="1"/>
  <c r="D14" i="8"/>
  <c r="C14" i="8"/>
  <c r="R11" i="8"/>
  <c r="O11" i="8"/>
  <c r="O12" i="8" s="1"/>
  <c r="E11" i="8"/>
  <c r="E12" i="8" s="1"/>
  <c r="E14" i="8" s="1"/>
  <c r="E17" i="8" s="1"/>
  <c r="E18" i="8" s="1"/>
  <c r="E22" i="8" s="1"/>
  <c r="B11" i="8"/>
  <c r="I22" i="8" l="1"/>
  <c r="C22" i="8"/>
  <c r="G22" i="8"/>
  <c r="K22" i="8"/>
  <c r="D22" i="8"/>
  <c r="H22" i="8"/>
  <c r="L22" i="8"/>
  <c r="R14" i="8"/>
  <c r="B12" i="8"/>
  <c r="B14" i="8" s="1"/>
  <c r="O14" i="8"/>
  <c r="R12" i="8"/>
  <c r="H18" i="7" l="1"/>
  <c r="M17" i="7"/>
  <c r="B10" i="7" l="1"/>
  <c r="B20" i="7"/>
  <c r="B15" i="7"/>
  <c r="H23" i="7" l="1"/>
  <c r="B25" i="7" l="1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C10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C15" i="7"/>
  <c r="D20" i="7"/>
  <c r="E20" i="7"/>
  <c r="E25" i="7" s="1"/>
  <c r="F20" i="7"/>
  <c r="G20" i="7"/>
  <c r="H20" i="7"/>
  <c r="I20" i="7"/>
  <c r="K20" i="7"/>
  <c r="L20" i="7"/>
  <c r="M20" i="7"/>
  <c r="N20" i="7"/>
  <c r="O20" i="7"/>
  <c r="P20" i="7"/>
  <c r="Q20" i="7"/>
  <c r="C20" i="7"/>
  <c r="C25" i="7" l="1"/>
  <c r="P25" i="7"/>
  <c r="G25" i="7"/>
  <c r="N25" i="7"/>
  <c r="I25" i="7"/>
  <c r="J25" i="7"/>
  <c r="O25" i="7"/>
  <c r="K25" i="7"/>
  <c r="F25" i="7"/>
  <c r="Q25" i="7"/>
  <c r="D25" i="7"/>
  <c r="L25" i="7"/>
  <c r="M25" i="7"/>
  <c r="H25" i="7"/>
</calcChain>
</file>

<file path=xl/sharedStrings.xml><?xml version="1.0" encoding="utf-8"?>
<sst xmlns="http://schemas.openxmlformats.org/spreadsheetml/2006/main" count="2253" uniqueCount="631">
  <si>
    <t>REGION X</t>
  </si>
  <si>
    <t>REGION / PROVINCE</t>
  </si>
  <si>
    <t>TARGET AREA (ha)</t>
  </si>
  <si>
    <t>AREA PLANTED (ha)</t>
  </si>
  <si>
    <t>% ACC.</t>
  </si>
  <si>
    <t>AREA HARVES-TED (ha)</t>
  </si>
  <si>
    <t>DAMAGE DUE TO EL NINO &amp; OTHER WEATHER DISTURBANCES</t>
  </si>
  <si>
    <t>MEASURES UNDERTAKEN</t>
  </si>
  <si>
    <t>MEASURES TO BE UNDERTAKEN                                                      (For the coming week)</t>
  </si>
  <si>
    <t>Stage of Crop</t>
  </si>
  <si>
    <t>Total Area Affected (ha)</t>
  </si>
  <si>
    <t>Area with No Chance of Recovery (ha)</t>
  </si>
  <si>
    <t>Farmers (No.)</t>
  </si>
  <si>
    <t>With Chance of Recovery</t>
  </si>
  <si>
    <t>Production Loss</t>
  </si>
  <si>
    <t>Area (ha)</t>
  </si>
  <si>
    <t>Yield Loss (%)</t>
  </si>
  <si>
    <t>Volume (mt)</t>
  </si>
  <si>
    <t>Value (P)</t>
  </si>
  <si>
    <t>Intervention (specify)</t>
  </si>
  <si>
    <t>A. RICE</t>
  </si>
  <si>
    <t>Bukidnon</t>
  </si>
  <si>
    <t>Reproductive</t>
  </si>
  <si>
    <t>B. CORN</t>
  </si>
  <si>
    <t>C. HVCDP</t>
  </si>
  <si>
    <t>TOTAL</t>
  </si>
  <si>
    <t>Value</t>
  </si>
  <si>
    <t>CROP DAMAGE REPORT DUE TO TYPHOON HANNA</t>
  </si>
  <si>
    <t>As of  August 18, 2015</t>
  </si>
  <si>
    <t>Lanao del Norte</t>
  </si>
  <si>
    <t xml:space="preserve">Bukidnon </t>
  </si>
  <si>
    <t xml:space="preserve">Seedling  (newly planted), Vegetative  &amp; Tillering </t>
  </si>
  <si>
    <t>Vegetative/Reproductive</t>
  </si>
  <si>
    <t>EL NINO AND OTHER DISTURBANCES SITUATIONER</t>
  </si>
  <si>
    <t>VALIDATED REPORT</t>
  </si>
  <si>
    <r>
      <t xml:space="preserve">As of </t>
    </r>
    <r>
      <rPr>
        <b/>
        <u/>
        <sz val="12"/>
        <color theme="1"/>
        <rFont val="Cambria"/>
        <family val="1"/>
        <scheme val="major"/>
      </rPr>
      <t>February 17, 2016</t>
    </r>
  </si>
  <si>
    <t>Value (P'000)</t>
  </si>
  <si>
    <t>* Provision of Water pumps to LGUs</t>
  </si>
  <si>
    <t>* Recommend Cleaning of irrigation canal</t>
  </si>
  <si>
    <t>Vege., Repro.</t>
  </si>
  <si>
    <t>* Provide technical advisory to LGU to</t>
  </si>
  <si>
    <t>Misamis Or.</t>
  </si>
  <si>
    <t>Vege., Repro</t>
  </si>
  <si>
    <t xml:space="preserve">   implement AWD techno to regulate water use</t>
  </si>
  <si>
    <t>Mis Occ</t>
  </si>
  <si>
    <t>Repro., Ripening</t>
  </si>
  <si>
    <t xml:space="preserve">* Intensify monitoring &amp; validation </t>
  </si>
  <si>
    <t>Sub-Total</t>
  </si>
  <si>
    <t>* Coordinate with LGUs to establish master listing</t>
  </si>
  <si>
    <t xml:space="preserve">  of farmers affected to facilitate prompt release of assistance</t>
  </si>
  <si>
    <t>C. CASSAVA</t>
  </si>
  <si>
    <t>Vegetative</t>
  </si>
  <si>
    <t>Submitted by:</t>
  </si>
  <si>
    <t xml:space="preserve">Noted by: </t>
  </si>
  <si>
    <t>CARLOTA S. MADRIAGA</t>
  </si>
  <si>
    <t>LEALYN A. RAMOS, CESO III</t>
  </si>
  <si>
    <t>Chief - FOD/DMO - V</t>
  </si>
  <si>
    <t>Regional Director</t>
  </si>
  <si>
    <t>Ampalaya</t>
  </si>
  <si>
    <t>REMARKS</t>
  </si>
  <si>
    <t>LANAO DEL NORTE</t>
  </si>
  <si>
    <t>BUKIDNON</t>
  </si>
  <si>
    <r>
      <rPr>
        <b/>
        <sz val="18"/>
        <rFont val="Arial Narrow"/>
        <family val="2"/>
      </rPr>
      <t>DAMAGE ASSESSMENT REPORT FOR</t>
    </r>
    <r>
      <rPr>
        <b/>
        <sz val="20"/>
        <rFont val="Arial Narrow"/>
        <family val="2"/>
      </rPr>
      <t xml:space="preserve"> </t>
    </r>
    <r>
      <rPr>
        <b/>
        <sz val="20"/>
        <rFont val="Arial Black"/>
        <family val="2"/>
      </rPr>
      <t>RICE</t>
    </r>
  </si>
  <si>
    <t>Cause of Damage : Low Pressure Area</t>
  </si>
  <si>
    <t>Date of Occurrence : August 02, 2018</t>
  </si>
  <si>
    <r>
      <t xml:space="preserve">Report as of </t>
    </r>
    <r>
      <rPr>
        <b/>
        <u/>
        <sz val="12"/>
        <rFont val="Arial Narrow"/>
        <family val="2"/>
      </rPr>
      <t>August 06, 2018</t>
    </r>
  </si>
  <si>
    <t>Period Covered (Specify) August 02, 2018- August 06 , 2018</t>
  </si>
  <si>
    <t>A. Geographic Information:</t>
  </si>
  <si>
    <t>B. Type and Level of Report: (Pls. Check)</t>
  </si>
  <si>
    <t>1. Region  10</t>
  </si>
  <si>
    <t>1. Type</t>
  </si>
  <si>
    <t>2. Level</t>
  </si>
  <si>
    <t>2. Province of Lanao del Norte</t>
  </si>
  <si>
    <t>Initial</t>
  </si>
  <si>
    <t>Municipal</t>
  </si>
  <si>
    <t>Progress</t>
  </si>
  <si>
    <t>Provincial</t>
  </si>
  <si>
    <t>Final</t>
  </si>
  <si>
    <t>Regional</t>
  </si>
  <si>
    <t>BARANGAY/
MUNICIPALITY/
PROVINCE</t>
  </si>
  <si>
    <t>ECOSYSTEM/
VARIETY</t>
  </si>
  <si>
    <t>VARIETY / TYPE</t>
  </si>
  <si>
    <t>NUNMBER 
OF
FARMERS
AFFECTED</t>
  </si>
  <si>
    <t>AREA OF
STANDING CROPS
(ha)</t>
  </si>
  <si>
    <t>STAGE OF CROP DEVELOPMENT</t>
  </si>
  <si>
    <t>AREA AFFECTED 
(HA)</t>
  </si>
  <si>
    <t>YIELD PER HECTARE 
(MT)</t>
  </si>
  <si>
    <t>YIELD
LOSS
(%)</t>
  </si>
  <si>
    <t>TOTAL LOSSES</t>
  </si>
  <si>
    <t>Total 
Value
(P)</t>
  </si>
  <si>
    <t>Based on Cost of Prod'n.</t>
  </si>
  <si>
    <t>Based on Farmgate Price</t>
  </si>
  <si>
    <t>Totally Damaged</t>
  </si>
  <si>
    <t>Partially Damaged</t>
  </si>
  <si>
    <t>Before
Calamity</t>
  </si>
  <si>
    <t>After
Calamity</t>
  </si>
  <si>
    <t>Cost of Prod'n/
Ha.
(P)</t>
  </si>
  <si>
    <t>Value
 (P)</t>
  </si>
  <si>
    <t>Volume
(mt)</t>
  </si>
  <si>
    <t>Price/ kg
(P)</t>
  </si>
  <si>
    <t>Value
(P)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</si>
  <si>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</si>
  <si>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</si>
  <si>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</si>
  <si>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</si>
  <si>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</si>
  <si>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</si>
  <si>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</si>
  <si>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</si>
  <si>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</si>
  <si>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</si>
  <si>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</si>
  <si>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(L)</t>
  </si>
  <si>
    <t>(M)</t>
  </si>
  <si>
    <t>(N)</t>
  </si>
  <si>
    <t>(O)</t>
  </si>
  <si>
    <t>(P)</t>
  </si>
  <si>
    <t>(Q)</t>
  </si>
  <si>
    <t>(R)</t>
  </si>
  <si>
    <t>(S)</t>
  </si>
  <si>
    <t>KAPATAGAN</t>
  </si>
  <si>
    <t>Irrigated</t>
  </si>
  <si>
    <t>Certified Seeds</t>
  </si>
  <si>
    <t>Seedling</t>
  </si>
  <si>
    <t>Newly Planted</t>
  </si>
  <si>
    <t>Farm Gate Price was used</t>
  </si>
  <si>
    <t>Rainfed</t>
  </si>
  <si>
    <t>LALA</t>
  </si>
  <si>
    <t xml:space="preserve">Prepared by: </t>
  </si>
  <si>
    <t xml:space="preserve">Reviewed by: </t>
  </si>
  <si>
    <t>Recommending Approval:</t>
  </si>
  <si>
    <t xml:space="preserve">Approved  by: </t>
  </si>
  <si>
    <t>MECHELLE N. MERAMBEL</t>
  </si>
  <si>
    <t>LETECIA G. DITUCALAN</t>
  </si>
  <si>
    <t>ABELISA  C. MANZANO</t>
  </si>
  <si>
    <t>IMELDA QUIBRANZA DIMAPORO</t>
  </si>
  <si>
    <t>Rice Report Officer</t>
  </si>
  <si>
    <t xml:space="preserve">     Provincial Agriculturist</t>
  </si>
  <si>
    <t>Acting PDRRMO</t>
  </si>
  <si>
    <t>Provincial Governor</t>
  </si>
  <si>
    <t xml:space="preserve">                                  Date:</t>
  </si>
  <si>
    <t xml:space="preserve">                              Date:</t>
  </si>
  <si>
    <t xml:space="preserve">                        Date:</t>
  </si>
  <si>
    <t xml:space="preserve">                   </t>
  </si>
  <si>
    <t xml:space="preserve">  Date:</t>
  </si>
  <si>
    <r>
      <t xml:space="preserve">DAMAGE ASSESSMENT REPORT FOR </t>
    </r>
    <r>
      <rPr>
        <b/>
        <sz val="24"/>
        <rFont val="Arial Black"/>
        <family val="2"/>
      </rPr>
      <t>CORN</t>
    </r>
  </si>
  <si>
    <t>Cause of Damage TYPHOON VINTA AND FLOODS</t>
  </si>
  <si>
    <t>Date of Occurrence DECEMBER 22-23, 2017</t>
  </si>
  <si>
    <t>Report as of January 11, 2018</t>
  </si>
  <si>
    <t>Period Covered (Specify) December 23, 2017- January 11, 2018</t>
  </si>
  <si>
    <t>1. Region 10</t>
  </si>
  <si>
    <t>2. Province of LANAO DEL NORTE</t>
  </si>
  <si>
    <t>ECOSYSTEM/
VARIETY (HAS.)</t>
  </si>
  <si>
    <t>Price/kg
(P)</t>
  </si>
  <si>
    <t>BACOLOD</t>
  </si>
  <si>
    <t>OPV-W</t>
  </si>
  <si>
    <t>NEWLY PLANTED</t>
  </si>
  <si>
    <t>BALOI</t>
  </si>
  <si>
    <t>MATURITY</t>
  </si>
  <si>
    <t>KAUSWAGAN</t>
  </si>
  <si>
    <t>VEGETATIVE</t>
  </si>
  <si>
    <t>KOLAMBUGAN</t>
  </si>
  <si>
    <t>MAIGO</t>
  </si>
  <si>
    <t>MAGSAYSAY</t>
  </si>
  <si>
    <t>TAGOLOAN</t>
  </si>
  <si>
    <t>TUBOD</t>
  </si>
  <si>
    <t>LINAMON</t>
  </si>
  <si>
    <t>MATUNGAO</t>
  </si>
  <si>
    <t>SALVADOR</t>
  </si>
  <si>
    <t>HYBRID-Y</t>
  </si>
  <si>
    <t>REPRODUCTIVE</t>
  </si>
  <si>
    <t>MUNAI</t>
  </si>
  <si>
    <t>PANTAO RAGAT</t>
  </si>
  <si>
    <t>TANGKAL</t>
  </si>
  <si>
    <t>NUNUNGAN</t>
  </si>
  <si>
    <t>SAPAD</t>
  </si>
  <si>
    <t xml:space="preserve"> </t>
  </si>
  <si>
    <t>Total Cost of Damage</t>
  </si>
  <si>
    <t>RODOR M. FERNANDEZ</t>
  </si>
  <si>
    <t>AT/ Corn Report Officer</t>
  </si>
  <si>
    <t xml:space="preserve">    Date:</t>
  </si>
  <si>
    <r>
      <t xml:space="preserve">DAMAGE ASSESSMENT REPORT FOR </t>
    </r>
    <r>
      <rPr>
        <b/>
        <sz val="18"/>
        <rFont val="Arial Black"/>
        <family val="2"/>
      </rPr>
      <t>HIGH VALUE CROPS</t>
    </r>
  </si>
  <si>
    <t>Cause of Damage : Typhoon Vinta</t>
  </si>
  <si>
    <t>Date of Occurrence : December 20, 2017</t>
  </si>
  <si>
    <r>
      <t xml:space="preserve">Report as of </t>
    </r>
    <r>
      <rPr>
        <b/>
        <u/>
        <sz val="12"/>
        <rFont val="Arial Narrow"/>
        <family val="2"/>
      </rPr>
      <t>APRIL 12, 2018</t>
    </r>
  </si>
  <si>
    <t>Period Covered (Specify) DECEMBER 20, 2017- APRIL 12 , 2018</t>
  </si>
  <si>
    <t>1. Region _______________________________</t>
  </si>
  <si>
    <t>3. Municipality ___________________________</t>
  </si>
  <si>
    <t>TYPE OF CROP</t>
  </si>
  <si>
    <t>CLASSIFICATION</t>
  </si>
  <si>
    <t>NUMBER OF
FARMERS
AFFECTED</t>
  </si>
  <si>
    <t>STANDING CROPS</t>
  </si>
  <si>
    <t>TREES AFFECTED 
(NUMBER)</t>
  </si>
  <si>
    <t>AREA
(ha)</t>
  </si>
  <si>
    <t>TREES
(number)</t>
  </si>
  <si>
    <t>(T)</t>
  </si>
  <si>
    <t>(U)</t>
  </si>
  <si>
    <t>(V)</t>
  </si>
  <si>
    <t>Banana</t>
  </si>
  <si>
    <t>Latundan</t>
  </si>
  <si>
    <t>Maturity</t>
  </si>
  <si>
    <t>Assorted Vegetables</t>
  </si>
  <si>
    <t>No Planting  Report</t>
  </si>
  <si>
    <t>Cacao</t>
  </si>
  <si>
    <t>Assorted Fruit Trees</t>
  </si>
  <si>
    <t>NO PLANTING REPORT</t>
  </si>
  <si>
    <t>Cardava</t>
  </si>
  <si>
    <t>No Planting Report</t>
  </si>
  <si>
    <t>Coffee</t>
  </si>
  <si>
    <t>TANGCAL</t>
  </si>
  <si>
    <t>Lakatan</t>
  </si>
  <si>
    <t>Damaged exceeds Standing area</t>
  </si>
  <si>
    <t xml:space="preserve">          Recommending Approval:</t>
  </si>
  <si>
    <t>FRANCISCO ROULLO</t>
  </si>
  <si>
    <t>AT/ HVCDP Coordinator</t>
  </si>
  <si>
    <t xml:space="preserve">                     Date:</t>
  </si>
  <si>
    <t xml:space="preserve">               Date:</t>
  </si>
  <si>
    <r>
      <t xml:space="preserve">DAMAGE ASSESSMENT REPORT FOR </t>
    </r>
    <r>
      <rPr>
        <b/>
        <u/>
        <sz val="14"/>
        <rFont val="&quot;Arial Narrow&quot;"/>
      </rPr>
      <t>VEGETABLE</t>
    </r>
  </si>
  <si>
    <t>Cause of Damage: Weak El Niño</t>
  </si>
  <si>
    <t>Date of Occurrence: ____________________</t>
  </si>
  <si>
    <t>Report as of 30 April, 2019</t>
  </si>
  <si>
    <t>Period Covered (Specify) ___________________</t>
  </si>
  <si>
    <t>B. Type and Level of Report: (Pls. Highlight)</t>
  </si>
  <si>
    <r>
      <t xml:space="preserve">1. Region </t>
    </r>
    <r>
      <rPr>
        <b/>
        <u/>
        <sz val="14"/>
        <rFont val="&quot;Arial Narrow&quot;"/>
      </rPr>
      <t>10</t>
    </r>
  </si>
  <si>
    <t>2. Province BUKIDNON &amp; MISAMIS ORIENTAL</t>
  </si>
  <si>
    <t xml:space="preserve">3. Municipality: </t>
  </si>
  <si>
    <t xml:space="preserve">                                </t>
  </si>
  <si>
    <t>SUMILAO</t>
  </si>
  <si>
    <t>VEGETABLES</t>
  </si>
  <si>
    <t>MALAYBALAY CITY</t>
  </si>
  <si>
    <t>SQUASH</t>
  </si>
  <si>
    <t>SUBTOTAL</t>
  </si>
  <si>
    <t>MISAMIS ORIENTAL</t>
  </si>
  <si>
    <t>GITAGUM</t>
  </si>
  <si>
    <t>AMPALAYA</t>
  </si>
  <si>
    <t>EGGPLANT</t>
  </si>
  <si>
    <t>PINAKBET</t>
  </si>
  <si>
    <t>CLAVERIA</t>
  </si>
  <si>
    <t>GINGER</t>
  </si>
  <si>
    <t>MELON</t>
  </si>
  <si>
    <t>BANANA</t>
  </si>
  <si>
    <t>BELL PEPPER</t>
  </si>
  <si>
    <t>SILICOT</t>
  </si>
  <si>
    <t>CHAYOTE</t>
  </si>
  <si>
    <t>BAGUIO BEANS</t>
  </si>
  <si>
    <t>STRING BEANS</t>
  </si>
  <si>
    <t>SWEET POTATO</t>
  </si>
  <si>
    <t>CUCUMBER</t>
  </si>
  <si>
    <t>PEANUT</t>
  </si>
  <si>
    <t>MUNGBEAN</t>
  </si>
  <si>
    <t>RADISH</t>
  </si>
  <si>
    <t>apil ang brgy. Rizal kulang data</t>
  </si>
  <si>
    <t>COFFEE</t>
  </si>
  <si>
    <t>MANTICAO</t>
  </si>
  <si>
    <t>ROOTCROPS</t>
  </si>
  <si>
    <t>ASSORTED VEGETABLE</t>
  </si>
  <si>
    <t>Prepared by:     AUDY G. MAAGAD</t>
  </si>
  <si>
    <t>Approved by:       CARLENE C. COLLADO, CPA</t>
  </si>
  <si>
    <t xml:space="preserve">                    OIC-CHIEF, FOD</t>
  </si>
  <si>
    <t xml:space="preserve">                                             OIC-REGIONAL EXECUTIVE DIRECTOR</t>
  </si>
  <si>
    <t>Date: _______________________________________________</t>
  </si>
  <si>
    <r>
      <t xml:space="preserve">DAMAGE ASSESSMENT REPORT FOR </t>
    </r>
    <r>
      <rPr>
        <b/>
        <sz val="14"/>
        <rFont val="Arial Black"/>
        <family val="2"/>
      </rPr>
      <t>LIVESTOCK AND POULTRY</t>
    </r>
  </si>
  <si>
    <r>
      <t xml:space="preserve">Cause of Damage : </t>
    </r>
    <r>
      <rPr>
        <b/>
        <u/>
        <sz val="14"/>
        <rFont val="Arial Narrow"/>
        <family val="2"/>
      </rPr>
      <t>Typhoon Falcon</t>
    </r>
  </si>
  <si>
    <t xml:space="preserve">Date of Occurrence: </t>
  </si>
  <si>
    <r>
      <t>Report as of August 13,</t>
    </r>
    <r>
      <rPr>
        <b/>
        <u/>
        <sz val="14"/>
        <rFont val="Arial Narrow"/>
        <family val="2"/>
      </rPr>
      <t xml:space="preserve"> 2019</t>
    </r>
  </si>
  <si>
    <r>
      <t>Period Covered (Specify): July 2-30,</t>
    </r>
    <r>
      <rPr>
        <b/>
        <u/>
        <sz val="14"/>
        <rFont val="Arial Narrow"/>
        <family val="2"/>
      </rPr>
      <t xml:space="preserve"> 2019</t>
    </r>
  </si>
  <si>
    <t>1. Region:  10</t>
  </si>
  <si>
    <t>2. Province: LANAO DEL NORTE</t>
  </si>
  <si>
    <t>3. Municipality: SND, Sapad, Pantao-Ragat, Kapatagan, Nunungan</t>
  </si>
  <si>
    <t>4. Barangay: Bauyan,Mina,Ilian,Sigayan; Poblacion; Aloon,Banday,Bubong,Calawe,Dilimbayan,Dimayon,Lomidong,maliwanag,Natangcopan,Pansor,Pantao marug;Lapinig,Sto.tomas,Bagong Silang,Tulatulahan,La libertad, Balili,Pobloacion,Mahayahay;Rebucon:El Salvador,Abaga,Lanipao,San Manuel, Darumawang Ilaya,Rebe, Tenazas,</t>
  </si>
  <si>
    <t>ANIMAL TYPE</t>
  </si>
  <si>
    <t>TYPE OF FARM (Backyard / Commercial)</t>
  </si>
  <si>
    <t>Name of Farms Affected, If Backyard, number of HHs Affected</t>
  </si>
  <si>
    <t>AGE CLASSIFICATION</t>
  </si>
  <si>
    <t>Beginning Inventory
(No. of Heads/Birds)</t>
  </si>
  <si>
    <t>PRODUCTION LOSS</t>
  </si>
  <si>
    <t>FACILITY DAMAGED</t>
  </si>
  <si>
    <t>NO. OF 
HEAD/
BIRDS</t>
  </si>
  <si>
    <t>AVERAGE
LIVEWEIGHT PER HEAD/BIRD
(kg)</t>
  </si>
  <si>
    <t>TOTAL
VOLUME
(kg)</t>
  </si>
  <si>
    <t>Total Value
(P)</t>
  </si>
  <si>
    <t>TYPE</t>
  </si>
  <si>
    <t>PARTICULARS/
DESCRIPTION</t>
  </si>
  <si>
    <t>VALUE
(P)</t>
  </si>
  <si>
    <t>Cost of Prod'n/Unit
(P)</t>
  </si>
  <si>
    <t>Volume
(kg)</t>
  </si>
  <si>
    <t xml:space="preserve">(L) </t>
  </si>
  <si>
    <t>SND</t>
  </si>
  <si>
    <t>Chicken</t>
  </si>
  <si>
    <t>Backyard</t>
  </si>
  <si>
    <t>Subject for validation</t>
  </si>
  <si>
    <t>Duck</t>
  </si>
  <si>
    <t>Goat</t>
  </si>
  <si>
    <t>Cattle</t>
  </si>
  <si>
    <t>Carabao</t>
  </si>
  <si>
    <t>Sapad</t>
  </si>
  <si>
    <t>Turkey</t>
  </si>
  <si>
    <t>Pantao-ragat</t>
  </si>
  <si>
    <t xml:space="preserve">Chicken </t>
  </si>
  <si>
    <t>Kapatagan</t>
  </si>
  <si>
    <t>Fighting cock</t>
  </si>
  <si>
    <t>Swine</t>
  </si>
  <si>
    <t>Nunungan</t>
  </si>
  <si>
    <t xml:space="preserve">Goat </t>
  </si>
  <si>
    <t>Lala</t>
  </si>
  <si>
    <t>Swine(Piglet)</t>
  </si>
  <si>
    <t>Swine (Sow)</t>
  </si>
  <si>
    <t>Period Covered (Specify)  ___________________</t>
  </si>
  <si>
    <t>3. Municipality: _____________________</t>
  </si>
  <si>
    <t>ECOSYSTEM</t>
  </si>
  <si>
    <t>NUMBER 
OF
FARMERS
AFFECTED</t>
  </si>
  <si>
    <t>Province</t>
  </si>
  <si>
    <t>Certified Seed</t>
  </si>
  <si>
    <t>Rice</t>
  </si>
  <si>
    <t>Corn</t>
  </si>
  <si>
    <t>Rubber</t>
  </si>
  <si>
    <t>Livestock</t>
  </si>
  <si>
    <t>Horse</t>
  </si>
  <si>
    <t>Misamis Occidental</t>
  </si>
  <si>
    <t>Misamis Oriental</t>
  </si>
  <si>
    <t>SEEDLING</t>
  </si>
  <si>
    <t>Hybrid</t>
  </si>
  <si>
    <t>OPV</t>
  </si>
  <si>
    <t>Vegetable</t>
  </si>
  <si>
    <t>Eggplant</t>
  </si>
  <si>
    <t>Squash</t>
  </si>
  <si>
    <t>CORN</t>
  </si>
  <si>
    <t>RICE</t>
  </si>
  <si>
    <t>Opol</t>
  </si>
  <si>
    <t>Alubijid</t>
  </si>
  <si>
    <t>Tagoloan</t>
  </si>
  <si>
    <t>Manticao</t>
  </si>
  <si>
    <t>Laguindingan</t>
  </si>
  <si>
    <t>Naawan</t>
  </si>
  <si>
    <t>Lugait</t>
  </si>
  <si>
    <t>Libona</t>
  </si>
  <si>
    <t>Baungon</t>
  </si>
  <si>
    <t>Talakag</t>
  </si>
  <si>
    <t>Manolo Fortich</t>
  </si>
  <si>
    <t>Malitbog</t>
  </si>
  <si>
    <t>San Fernando</t>
  </si>
  <si>
    <t>Impasug-ong</t>
  </si>
  <si>
    <t>Cabanglasan</t>
  </si>
  <si>
    <t>Matungao</t>
  </si>
  <si>
    <t>Pantar</t>
  </si>
  <si>
    <t>MISAMIS OCCIDENTAL</t>
  </si>
  <si>
    <t>Clarin</t>
  </si>
  <si>
    <t>Plaridel</t>
  </si>
  <si>
    <t>Tudela</t>
  </si>
  <si>
    <t>Calamba</t>
  </si>
  <si>
    <t>Panaon</t>
  </si>
  <si>
    <t>Ozamis City</t>
  </si>
  <si>
    <t>CAMIGUIN</t>
  </si>
  <si>
    <t>Valencia City</t>
  </si>
  <si>
    <t>Department of Agriculture</t>
  </si>
  <si>
    <t>ILIGAN</t>
  </si>
  <si>
    <t>CAGAYAN DE ORO</t>
  </si>
  <si>
    <t>GRAND TOTAL</t>
  </si>
  <si>
    <r>
      <t xml:space="preserve">DAMAGE ASSESSMENT REPORT FOR (Specify Commodity: </t>
    </r>
    <r>
      <rPr>
        <b/>
        <u/>
        <sz val="18"/>
        <rFont val="Arial Narrow"/>
        <family val="2"/>
      </rPr>
      <t>Rice )</t>
    </r>
  </si>
  <si>
    <t>Cause of Damage: TS VINTA</t>
  </si>
  <si>
    <t>Date of Occurrence: DECEMBER 22, 2017</t>
  </si>
  <si>
    <t>Report as of January 24, 2018</t>
  </si>
  <si>
    <t>2. Provinces Lanao del Norte, Bukidnon &amp; Misamis Occidental</t>
  </si>
  <si>
    <t>PROVINCE / LOCATION</t>
  </si>
  <si>
    <t>Assistance provided</t>
  </si>
  <si>
    <t>UPLAND</t>
  </si>
  <si>
    <t>3938 bags certified seeds</t>
  </si>
  <si>
    <t>IRRIGATED</t>
  </si>
  <si>
    <t>HYBRID</t>
  </si>
  <si>
    <t>Machineries</t>
  </si>
  <si>
    <t>13=-hand tractor</t>
  </si>
  <si>
    <t>2-4ND tractor</t>
  </si>
  <si>
    <t>IRRIGATED &amp; RAINFED</t>
  </si>
  <si>
    <t>18- mudboat</t>
  </si>
  <si>
    <t>1 - combine harv.</t>
  </si>
  <si>
    <t>MATURITY PHASE</t>
  </si>
  <si>
    <t>5 - transplanter</t>
  </si>
  <si>
    <t>BAROY</t>
  </si>
  <si>
    <t>IRRIGATED, RAINFED &amp; UPLAND</t>
  </si>
  <si>
    <t>DANGCAGAN</t>
  </si>
  <si>
    <t>LL-RF INBRED</t>
  </si>
  <si>
    <t>Inbred</t>
  </si>
  <si>
    <t>FLOODING</t>
  </si>
  <si>
    <t>DONCARLOS</t>
  </si>
  <si>
    <t>lowland rainfed</t>
  </si>
  <si>
    <t>inbred</t>
  </si>
  <si>
    <t>reproductive</t>
  </si>
  <si>
    <t>CBANGLASAN</t>
  </si>
  <si>
    <t>KIBAWE</t>
  </si>
  <si>
    <t>IMPASUGONG</t>
  </si>
  <si>
    <t>Lowland-Irrigated</t>
  </si>
  <si>
    <t>KITAOTAO</t>
  </si>
  <si>
    <t>IR-Inbred</t>
  </si>
  <si>
    <t>Reproductive  stage</t>
  </si>
  <si>
    <t>IR- Inbred</t>
  </si>
  <si>
    <t>MALAYBALAY</t>
  </si>
  <si>
    <t xml:space="preserve">irrigated </t>
  </si>
  <si>
    <t>NP</t>
  </si>
  <si>
    <t>H</t>
  </si>
  <si>
    <t>V</t>
  </si>
  <si>
    <t>CS</t>
  </si>
  <si>
    <t>R</t>
  </si>
  <si>
    <t>QUEZON</t>
  </si>
  <si>
    <t>irrigated rice</t>
  </si>
  <si>
    <t>SAN FERNANDO</t>
  </si>
  <si>
    <t>irrigated</t>
  </si>
  <si>
    <t>RAINFED</t>
  </si>
  <si>
    <t>TALAKAG</t>
  </si>
  <si>
    <t>RC300,216,360,Bohol var. (farmer save seeds)</t>
  </si>
  <si>
    <t>newly planted</t>
  </si>
  <si>
    <t>VALENCIA</t>
  </si>
  <si>
    <t>MIASAMIS OCCIDENTAL</t>
  </si>
  <si>
    <t>OROQUIETA CITY</t>
  </si>
  <si>
    <t>Vegetative Stage</t>
  </si>
  <si>
    <t>BONIFACIO</t>
  </si>
  <si>
    <t>Planting Stage</t>
  </si>
  <si>
    <t>CALAMBA</t>
  </si>
  <si>
    <t>TANGUB CITY</t>
  </si>
  <si>
    <t>not yet submitted</t>
  </si>
  <si>
    <t xml:space="preserve">Approved by: </t>
  </si>
  <si>
    <t>CARLORTA S. MADRIAGA</t>
  </si>
  <si>
    <t>CARLENE C. COLLADO, CPA</t>
  </si>
  <si>
    <t>DMO-V/ Chief FOD</t>
  </si>
  <si>
    <t>REGIONAL DIRECTOR</t>
  </si>
  <si>
    <t xml:space="preserve">ENGR. ROXANA H. HOJAS CESO IV, </t>
  </si>
  <si>
    <t>ASSISTANT REGIONAL DIRECTOR</t>
  </si>
  <si>
    <t>1500 bags OPV CORN</t>
  </si>
  <si>
    <t>7 - mechanical sheller</t>
  </si>
  <si>
    <t>HYB</t>
  </si>
  <si>
    <t>CABANGLASAN</t>
  </si>
  <si>
    <t>Newly planted</t>
  </si>
  <si>
    <t>vegetative</t>
  </si>
  <si>
    <t>Newly planted/Seedling</t>
  </si>
  <si>
    <t>Hybrid Yellow</t>
  </si>
  <si>
    <t>LANDSLIDE &amp; FLOODING</t>
  </si>
  <si>
    <t>HYBRID CORN</t>
  </si>
  <si>
    <t>Flooding</t>
  </si>
  <si>
    <t>hybrid</t>
  </si>
  <si>
    <t>Maturity Stage</t>
  </si>
  <si>
    <t>Along Riverbanks</t>
  </si>
  <si>
    <t>Srong winds</t>
  </si>
  <si>
    <t>LIBONA</t>
  </si>
  <si>
    <t>Strong wind (Lodging)</t>
  </si>
  <si>
    <t>MARAMAG</t>
  </si>
  <si>
    <t>BT</t>
  </si>
  <si>
    <t>MALITBOG</t>
  </si>
  <si>
    <t>MANOLO FORTICH</t>
  </si>
  <si>
    <t>Lodging/ Flooding</t>
  </si>
  <si>
    <t>VT/tasseling</t>
  </si>
  <si>
    <t>OPV White Corn</t>
  </si>
  <si>
    <t>SINACABAN</t>
  </si>
  <si>
    <t>Reproductive Stage</t>
  </si>
  <si>
    <t>OZAMIS CITY</t>
  </si>
  <si>
    <t>SAPANG DALAGA</t>
  </si>
  <si>
    <t xml:space="preserve">OPV </t>
  </si>
  <si>
    <t>flowering</t>
  </si>
  <si>
    <t>CLARIN</t>
  </si>
  <si>
    <t>Vegetative / Maturity</t>
  </si>
  <si>
    <t xml:space="preserve"> VILLANUEVA</t>
  </si>
  <si>
    <t>CARLORTA S. MADRIAGA - DMO-V/ Chief FOD</t>
  </si>
  <si>
    <t>CARLENE C. COLLADO, CPA, REGIONAL DIRECTOR</t>
  </si>
  <si>
    <t>ENGR. ROXANA H. HOJAS CESO IV, ASSISTANT REGIONAL DIRECTOR</t>
  </si>
  <si>
    <t>Regional Field Unit 10</t>
  </si>
  <si>
    <t>Affected Municipalities_pablo</t>
  </si>
  <si>
    <t>Affected Municipalities_Sendong</t>
  </si>
  <si>
    <t>PROVINCE</t>
  </si>
  <si>
    <t>TOTAL AFFECTED (HA)</t>
  </si>
  <si>
    <t>TOTAL DAMAGE (HA)</t>
  </si>
  <si>
    <t>Area affected (ha)</t>
  </si>
  <si>
    <t>Damage Area(ha)</t>
  </si>
  <si>
    <t>District 1</t>
  </si>
  <si>
    <t>D1</t>
  </si>
  <si>
    <t>FOR VALIDATION</t>
  </si>
  <si>
    <t>Manolo</t>
  </si>
  <si>
    <t>to be verified</t>
  </si>
  <si>
    <t>Sumilao</t>
  </si>
  <si>
    <t>District 2</t>
  </si>
  <si>
    <t>D2</t>
  </si>
  <si>
    <t>Valencia</t>
  </si>
  <si>
    <t>Malaybalay</t>
  </si>
  <si>
    <t>District 3</t>
  </si>
  <si>
    <t>D3</t>
  </si>
  <si>
    <t>Damulog</t>
  </si>
  <si>
    <t>Quezon</t>
  </si>
  <si>
    <t>Maramag</t>
  </si>
  <si>
    <t>Tubod</t>
  </si>
  <si>
    <t>Maigo</t>
  </si>
  <si>
    <t>Bacolod</t>
  </si>
  <si>
    <t>Lone Dsitrict</t>
  </si>
  <si>
    <t>LD</t>
  </si>
  <si>
    <t>Iligan City</t>
  </si>
  <si>
    <t>TO BE VALIDATED</t>
  </si>
  <si>
    <t>Baloi</t>
  </si>
  <si>
    <t>Pantao Ragat</t>
  </si>
  <si>
    <t>Kauswagan</t>
  </si>
  <si>
    <t>Aloran</t>
  </si>
  <si>
    <t>Jimenez</t>
  </si>
  <si>
    <t>OROQUIETA</t>
  </si>
  <si>
    <t>Sinacaban</t>
  </si>
  <si>
    <t>Lopez Jaina</t>
  </si>
  <si>
    <t>Medina</t>
  </si>
  <si>
    <t>Talisayan</t>
  </si>
  <si>
    <t>Lagonglong</t>
  </si>
  <si>
    <t>Binuangan</t>
  </si>
  <si>
    <t>Magsaysay</t>
  </si>
  <si>
    <t>Sugbongcogon</t>
  </si>
  <si>
    <t>Gingoog City</t>
  </si>
  <si>
    <t>Kinoguitan</t>
  </si>
  <si>
    <t>Salay</t>
  </si>
  <si>
    <t>Balingasag</t>
  </si>
  <si>
    <t>Libertad</t>
  </si>
  <si>
    <t>Gitagum</t>
  </si>
  <si>
    <t>Villanueva</t>
  </si>
  <si>
    <t>Jasaan</t>
  </si>
  <si>
    <t>Claveria</t>
  </si>
  <si>
    <t>Initao</t>
  </si>
  <si>
    <t>ELSALVADOR</t>
  </si>
  <si>
    <t>CDO1</t>
  </si>
  <si>
    <t>CDO2</t>
  </si>
  <si>
    <r>
      <t>DAMAGE ASSESSMENT REPORT FOR (Specify Commodity: Corn</t>
    </r>
    <r>
      <rPr>
        <b/>
        <u/>
        <sz val="18"/>
        <rFont val="Arial Narrow"/>
        <family val="2"/>
      </rPr>
      <t>)</t>
    </r>
  </si>
  <si>
    <r>
      <t xml:space="preserve">DAMAGE ASSESSMENT REPORT FOR ( </t>
    </r>
    <r>
      <rPr>
        <b/>
        <u/>
        <sz val="22"/>
        <rFont val="Arial Narrow"/>
        <family val="2"/>
      </rPr>
      <t>Rice</t>
    </r>
    <r>
      <rPr>
        <b/>
        <u/>
        <sz val="16"/>
        <rFont val="Arial Narrow"/>
        <family val="2"/>
      </rPr>
      <t xml:space="preserve"> )</t>
    </r>
  </si>
  <si>
    <t>Cause of Damage: HEAVY RAINS (TYPHOON FALCON)</t>
  </si>
  <si>
    <r>
      <t xml:space="preserve">Date of Occurrence: </t>
    </r>
    <r>
      <rPr>
        <b/>
        <u/>
        <sz val="14"/>
        <rFont val="Arial Narrow"/>
        <family val="2"/>
      </rPr>
      <t>July 16, 2019</t>
    </r>
  </si>
  <si>
    <r>
      <t xml:space="preserve">Report as of </t>
    </r>
    <r>
      <rPr>
        <b/>
        <u/>
        <sz val="14"/>
        <rFont val="Arial Narrow"/>
        <family val="2"/>
      </rPr>
      <t>July 22, 2019</t>
    </r>
  </si>
  <si>
    <r>
      <t xml:space="preserve">Period Covered (Specify) : </t>
    </r>
    <r>
      <rPr>
        <b/>
        <u/>
        <sz val="14"/>
        <rFont val="Arial Narrow"/>
        <family val="2"/>
      </rPr>
      <t>July 17- July 22, 2019</t>
    </r>
  </si>
  <si>
    <t>1. Region: X</t>
  </si>
  <si>
    <r>
      <t xml:space="preserve">2. Province: </t>
    </r>
    <r>
      <rPr>
        <b/>
        <sz val="20"/>
        <rFont val="Arial Narrow"/>
        <family val="2"/>
      </rPr>
      <t>Lanao del Norte</t>
    </r>
  </si>
  <si>
    <t>LOCATION/ MUNICIPALITY</t>
  </si>
  <si>
    <t>for Validation</t>
  </si>
  <si>
    <t xml:space="preserve">Irrigated </t>
  </si>
  <si>
    <t>Upland</t>
  </si>
  <si>
    <t>AUDY G. MAAGAD</t>
  </si>
  <si>
    <t>OIC, Field Operations Division/DRRM Focal</t>
  </si>
  <si>
    <t>RTD for Operations</t>
  </si>
  <si>
    <r>
      <t>DAMAGE ASSESSMENT REPORT FOR (Specify Commodity:</t>
    </r>
    <r>
      <rPr>
        <b/>
        <u/>
        <sz val="26"/>
        <rFont val="Arial Narrow"/>
        <family val="2"/>
      </rPr>
      <t xml:space="preserve"> Corn)</t>
    </r>
  </si>
  <si>
    <r>
      <t xml:space="preserve">Date of Occurrence: </t>
    </r>
    <r>
      <rPr>
        <b/>
        <u/>
        <sz val="18"/>
        <rFont val="Arial Narrow"/>
        <family val="2"/>
      </rPr>
      <t>July 16, 2019</t>
    </r>
  </si>
  <si>
    <t>2. Province: Lanao del Norte</t>
  </si>
  <si>
    <t>Lowland</t>
  </si>
  <si>
    <t>Hybrid-Yellow</t>
  </si>
  <si>
    <t>PANTAO-RAGAT</t>
  </si>
  <si>
    <t>Sub for Validation</t>
  </si>
  <si>
    <t>Subj for Validation</t>
  </si>
  <si>
    <t>OIC, Field Operations Division</t>
  </si>
  <si>
    <t>DRR Focal</t>
  </si>
  <si>
    <t>Coconut</t>
  </si>
  <si>
    <t>Sibujing</t>
  </si>
  <si>
    <t>Peanut</t>
  </si>
  <si>
    <t>Watermelon</t>
  </si>
  <si>
    <t>Sweet Potato</t>
  </si>
  <si>
    <t>Upo</t>
  </si>
  <si>
    <t>Beans</t>
  </si>
  <si>
    <t>Okra</t>
  </si>
  <si>
    <t>Bearing</t>
  </si>
  <si>
    <r>
      <t>DAMAGE ASSESSMENT REPORT FOR (Specify Commodity:</t>
    </r>
    <r>
      <rPr>
        <b/>
        <u/>
        <sz val="26"/>
        <rFont val="Arial Narrow"/>
        <family val="2"/>
      </rPr>
      <t xml:space="preserve"> HVCC)</t>
    </r>
  </si>
  <si>
    <t>Table 1. Summary of affected areas (ha.) in Region 10</t>
  </si>
  <si>
    <t>Commodity</t>
  </si>
  <si>
    <t>Assorted Fruits</t>
  </si>
  <si>
    <t>Root Crops</t>
  </si>
  <si>
    <t>Cassava</t>
  </si>
  <si>
    <t>Abacca</t>
  </si>
  <si>
    <t>Palm Oil</t>
  </si>
  <si>
    <t>Table 2. Summary of affected areas (ha.) in Lanao del Norte</t>
  </si>
  <si>
    <t>City/Municipality</t>
  </si>
  <si>
    <t>Salvador</t>
  </si>
  <si>
    <t>Munai</t>
  </si>
  <si>
    <t>Tangkal</t>
  </si>
  <si>
    <t>Kolambogan</t>
  </si>
  <si>
    <t>Baroy</t>
  </si>
  <si>
    <t>Table 3. Summary of affected areas (ha.) in Bukidnon</t>
  </si>
  <si>
    <t>Dangcagan</t>
  </si>
  <si>
    <t>Don Carlos</t>
  </si>
  <si>
    <t>Impasugong</t>
  </si>
  <si>
    <t>Kibawe</t>
  </si>
  <si>
    <t>Kitaotao</t>
  </si>
  <si>
    <t>Table 4. Summary of affected areas (ha.) in Misamis Occidental</t>
  </si>
  <si>
    <t>Bonifacio</t>
  </si>
  <si>
    <t>Ozamiz City</t>
  </si>
  <si>
    <t>Sapang Dalaga</t>
  </si>
  <si>
    <t>Tangub City</t>
  </si>
  <si>
    <t>Oroquieta City</t>
  </si>
  <si>
    <t>Table 5. Summary of affected areas (ha.) in Misamis Oriental</t>
  </si>
  <si>
    <t>Cagayan de Oro City</t>
  </si>
  <si>
    <t>Table 6. Estimated Production level before and after STS Vinta/Estimated Losses in Lanao del Norte</t>
  </si>
  <si>
    <t>Rice (Tons)</t>
  </si>
  <si>
    <t>Estimated Losses</t>
  </si>
  <si>
    <t>Corn (Tons)</t>
  </si>
  <si>
    <t>Before</t>
  </si>
  <si>
    <t>After</t>
  </si>
  <si>
    <t xml:space="preserve">Before </t>
  </si>
  <si>
    <t>Linamon</t>
  </si>
  <si>
    <t>Table 7. Estimated Production level before and after STS Vinta/Estimated Losses in Bukidnon</t>
  </si>
  <si>
    <t>Assorted Vegetable</t>
  </si>
  <si>
    <t>Malaybalay City</t>
  </si>
  <si>
    <t>Table 8. Estimated Production level before and after STS Vinta/Estimated Losses in Misamis Occidental</t>
  </si>
  <si>
    <t>Sapangdalaga</t>
  </si>
  <si>
    <t>Tangub</t>
  </si>
  <si>
    <t xml:space="preserve">Table 9. Estimated Production level before and after STS Vinta/Estimated Losses in Misamis Oriental                          </t>
  </si>
  <si>
    <t>Casava</t>
  </si>
  <si>
    <t xml:space="preserve">Table 10. Losses on Livestock in Lanao del Norte (No. of heads / Estimated Losses)              </t>
  </si>
  <si>
    <t>Cattle(Qty)</t>
  </si>
  <si>
    <t>Goat (Qty)</t>
  </si>
  <si>
    <t>Swine (Qty)</t>
  </si>
  <si>
    <t>Buffalo (Qty)</t>
  </si>
  <si>
    <t>Horse (Qty)</t>
  </si>
  <si>
    <t>Chicken (Qty)</t>
  </si>
  <si>
    <t>Kolambugan</t>
  </si>
  <si>
    <t>Iligan</t>
  </si>
  <si>
    <t xml:space="preserve">Table 10. Losses on Livestock in Misamis Oriental (No. of heads / Estimated Losses)              </t>
  </si>
  <si>
    <t>Buffalo</t>
  </si>
  <si>
    <t>QUICK INTERVENTIONS IN AFFECTED AREAS IN REGION 10</t>
  </si>
  <si>
    <t xml:space="preserve">Table 11. Quick Interventions in Lanao del Norte  (Distribution of Seeds)  </t>
  </si>
  <si>
    <t>(Certified Seeds)</t>
  </si>
  <si>
    <t>(OPV Seeds)</t>
  </si>
  <si>
    <t>No. of Bags</t>
  </si>
  <si>
    <t>Amount</t>
  </si>
  <si>
    <t xml:space="preserve">Table 12. Quick Interventions in Bukidnon  (Distribution of Seeds)  </t>
  </si>
  <si>
    <t>(Hybrid Seeds)</t>
  </si>
  <si>
    <t>Table 13. Calamity Fund/Rehabilitation Fund for STS Vinta Affected Areas</t>
  </si>
  <si>
    <t>High Value Crops</t>
  </si>
  <si>
    <t>Provision of Assorted Vegetable Seeds</t>
  </si>
  <si>
    <t>Quantity (Packet)</t>
  </si>
  <si>
    <t>Procurement Status</t>
  </si>
  <si>
    <t>5 in 1 Vegetable Seeds (5 Sachet/Packet)</t>
  </si>
  <si>
    <t>For distribution</t>
  </si>
  <si>
    <t>Re-stocking of Animals</t>
  </si>
  <si>
    <t>Quantity (No. of hds)</t>
  </si>
  <si>
    <t>Large Ruminant</t>
  </si>
  <si>
    <t>On-going Procurement</t>
  </si>
  <si>
    <t>Horse and Goat</t>
  </si>
  <si>
    <t>Swine/Native Swine/Poultry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</si>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</sst>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-[$₱-464]* #,##0.00_-;\-[$₱-464]* #,##0.00_-;_-[$₱-464]* &quot;-&quot;??_-;_-@_-"/>
    <numFmt numFmtId="168" formatCode="0.0"/>
    <numFmt numFmtId="169" formatCode="_(* #,##0.0_);_(* \(#,##0.0\);_(* &quot;-&quot;??_);_(@_)"/>
    <numFmt numFmtId="170" formatCode="#,##0.00;[Red]#,##0.00"/>
  </numFmts>
  <fonts count="1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Bookman Old Style"/>
      <family val="1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sz val="8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Bookman Old Style"/>
      <family val="1"/>
    </font>
    <font>
      <sz val="12"/>
      <color theme="1"/>
      <name val="Calibri"/>
      <family val="2"/>
      <scheme val="minor"/>
    </font>
    <font>
      <b/>
      <u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b/>
      <sz val="16"/>
      <name val="Arial Narrow"/>
      <family val="2"/>
    </font>
    <font>
      <b/>
      <sz val="18"/>
      <name val="Arial Narrow"/>
      <family val="2"/>
    </font>
    <font>
      <sz val="18"/>
      <name val="Arial Narrow"/>
      <family val="2"/>
    </font>
    <font>
      <sz val="8"/>
      <name val="Arial"/>
      <family val="2"/>
    </font>
    <font>
      <b/>
      <sz val="20"/>
      <name val="Arial Narrow"/>
      <family val="2"/>
    </font>
    <font>
      <sz val="20"/>
      <name val="Arial Narrow"/>
      <family val="2"/>
    </font>
    <font>
      <b/>
      <i/>
      <sz val="18"/>
      <name val="Arial Narrow"/>
      <family val="2"/>
    </font>
    <font>
      <b/>
      <u/>
      <sz val="18"/>
      <name val="Arial Narrow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sz val="18"/>
      <name val="Arial Black"/>
      <family val="2"/>
    </font>
    <font>
      <b/>
      <sz val="14"/>
      <name val="Arial Black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20"/>
      <name val="Arial Black"/>
      <family val="2"/>
    </font>
    <font>
      <b/>
      <sz val="24"/>
      <name val="Arial Black"/>
      <family val="2"/>
    </font>
    <font>
      <sz val="12"/>
      <name val="Arial"/>
      <family val="2"/>
    </font>
    <font>
      <sz val="11"/>
      <name val="Arial"/>
      <family val="2"/>
    </font>
    <font>
      <b/>
      <sz val="5"/>
      <name val="Arial Narrow"/>
      <family val="2"/>
    </font>
    <font>
      <b/>
      <sz val="7"/>
      <name val="Arial"/>
      <family val="2"/>
    </font>
    <font>
      <sz val="7"/>
      <name val="Arial"/>
      <family val="2"/>
    </font>
    <font>
      <b/>
      <u/>
      <sz val="12"/>
      <name val="Arial Narrow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5"/>
      <name val="Arial"/>
      <family val="2"/>
    </font>
    <font>
      <sz val="14"/>
      <name val="Arial"/>
      <family val="2"/>
    </font>
    <font>
      <sz val="11"/>
      <name val="Cambria"/>
      <family val="1"/>
    </font>
    <font>
      <sz val="10"/>
      <name val="Cambria"/>
      <family val="1"/>
    </font>
    <font>
      <b/>
      <sz val="10"/>
      <name val="Cambria"/>
      <family val="1"/>
    </font>
    <font>
      <sz val="9"/>
      <name val="Cambria"/>
      <family val="1"/>
    </font>
    <font>
      <sz val="6"/>
      <name val="Cambria"/>
      <family val="1"/>
    </font>
    <font>
      <sz val="9"/>
      <name val="Arial Narrow"/>
      <family val="2"/>
    </font>
    <font>
      <sz val="8"/>
      <name val="Cambria"/>
      <family val="1"/>
    </font>
    <font>
      <b/>
      <sz val="12"/>
      <name val="Cambria"/>
      <family val="1"/>
    </font>
    <font>
      <b/>
      <sz val="9"/>
      <name val="Cambria"/>
      <family val="1"/>
    </font>
    <font>
      <sz val="24"/>
      <name val="Arial Narrow"/>
      <family val="2"/>
    </font>
    <font>
      <b/>
      <sz val="24"/>
      <name val="Arial Narrow"/>
      <family val="2"/>
    </font>
    <font>
      <sz val="5"/>
      <name val="Arial Narrow"/>
      <family val="2"/>
    </font>
    <font>
      <b/>
      <sz val="14"/>
      <color theme="1"/>
      <name val="Arial Narrow"/>
      <family val="2"/>
    </font>
    <font>
      <b/>
      <sz val="16"/>
      <name val="Arial Black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name val="&quot;Arial Narrow&quot;"/>
    </font>
    <font>
      <b/>
      <u/>
      <sz val="14"/>
      <name val="&quot;Arial Narrow&quot;"/>
    </font>
    <font>
      <sz val="14"/>
      <color rgb="FF000000"/>
      <name val="Arial"/>
      <family val="2"/>
    </font>
    <font>
      <b/>
      <sz val="14"/>
      <color theme="1"/>
      <name val="&quot;Arial Narrow&quot;"/>
    </font>
    <font>
      <sz val="14"/>
      <name val="&quot;Arial Narrow&quot;"/>
    </font>
    <font>
      <sz val="14"/>
      <color theme="1"/>
      <name val="Arial Narrow"/>
      <family val="2"/>
    </font>
    <font>
      <sz val="14"/>
      <color theme="1"/>
      <name val="Arial"/>
      <family val="2"/>
    </font>
    <font>
      <b/>
      <u/>
      <sz val="14"/>
      <name val="Arial Narrow"/>
      <family val="2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name val="Cambria"/>
      <family val="1"/>
    </font>
    <font>
      <b/>
      <i/>
      <sz val="22"/>
      <name val="Cambria"/>
      <family val="1"/>
    </font>
    <font>
      <b/>
      <sz val="22"/>
      <name val="Cambria"/>
      <family val="1"/>
    </font>
    <font>
      <sz val="28"/>
      <name val="Arial Narrow"/>
      <family val="2"/>
    </font>
    <font>
      <sz val="28"/>
      <name val="Cambria"/>
      <family val="1"/>
    </font>
    <font>
      <b/>
      <sz val="28"/>
      <name val="Cambria"/>
      <family val="1"/>
    </font>
    <font>
      <b/>
      <i/>
      <sz val="28"/>
      <name val="Cambria"/>
      <family val="1"/>
    </font>
    <font>
      <b/>
      <i/>
      <sz val="20"/>
      <name val="Arial Narrow"/>
      <family val="2"/>
    </font>
    <font>
      <sz val="20"/>
      <color theme="1"/>
      <name val="Arial Narrow"/>
      <family val="2"/>
    </font>
    <font>
      <sz val="26"/>
      <name val="Arial Narrow"/>
      <family val="2"/>
    </font>
    <font>
      <sz val="16"/>
      <name val="Arial Narrow"/>
      <family val="2"/>
    </font>
    <font>
      <i/>
      <sz val="20"/>
      <name val="Arial Narrow"/>
      <family val="2"/>
    </font>
    <font>
      <b/>
      <sz val="16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name val="Cambria"/>
      <family val="1"/>
      <scheme val="major"/>
    </font>
    <font>
      <b/>
      <u/>
      <sz val="22"/>
      <name val="Arial Narrow"/>
      <family val="2"/>
    </font>
    <font>
      <b/>
      <u/>
      <sz val="16"/>
      <name val="Arial Narrow"/>
      <family val="2"/>
    </font>
    <font>
      <sz val="8"/>
      <name val="Arial Narrow"/>
      <family val="2"/>
    </font>
    <font>
      <b/>
      <i/>
      <sz val="12"/>
      <name val="Arial Narrow"/>
      <family val="2"/>
    </font>
    <font>
      <i/>
      <sz val="12"/>
      <name val="Arial Narrow"/>
      <family val="2"/>
    </font>
    <font>
      <b/>
      <u/>
      <sz val="26"/>
      <name val="Arial Narrow"/>
      <family val="2"/>
    </font>
    <font>
      <b/>
      <sz val="16"/>
      <color rgb="FFFF0000"/>
      <name val="Arial Narrow"/>
      <family val="2"/>
    </font>
    <font>
      <sz val="16"/>
      <color rgb="FFFF0000"/>
      <name val="Arial Narrow"/>
      <family val="2"/>
    </font>
    <font>
      <b/>
      <sz val="9"/>
      <name val="Arial Narrow"/>
      <family val="2"/>
    </font>
    <font>
      <b/>
      <i/>
      <sz val="14"/>
      <name val="Arial Narrow"/>
      <family val="2"/>
    </font>
    <font>
      <b/>
      <i/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i/>
      <sz val="11"/>
      <color theme="1"/>
      <name val="Cambria"/>
      <family val="1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1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15">
    <xf numFmtId="0" fontId="0" fillId="0" borderId="0"/>
    <xf numFmtId="165" fontId="1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0" fontId="38" fillId="0" borderId="0"/>
    <xf numFmtId="0" fontId="1" fillId="0" borderId="0"/>
    <xf numFmtId="9" fontId="20" fillId="0" borderId="0" applyFont="0" applyFill="0" applyBorder="0" applyAlignment="0" applyProtection="0"/>
    <xf numFmtId="0" fontId="39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75" fillId="0" borderId="0"/>
    <xf numFmtId="165" fontId="76" fillId="0" borderId="0" applyFont="0" applyFill="0" applyBorder="0" applyAlignment="0" applyProtection="0"/>
    <xf numFmtId="9" fontId="76" fillId="0" borderId="0" applyFont="0" applyFill="0" applyBorder="0" applyAlignment="0" applyProtection="0"/>
  </cellStyleXfs>
  <cellXfs count="21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/>
    <xf numFmtId="166" fontId="6" fillId="0" borderId="0" xfId="1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Border="1"/>
    <xf numFmtId="165" fontId="0" fillId="0" borderId="0" xfId="1" applyFont="1"/>
    <xf numFmtId="0" fontId="7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165" fontId="4" fillId="0" borderId="9" xfId="1" applyFont="1" applyBorder="1"/>
    <xf numFmtId="2" fontId="4" fillId="0" borderId="9" xfId="0" applyNumberFormat="1" applyFont="1" applyBorder="1"/>
    <xf numFmtId="166" fontId="4" fillId="0" borderId="3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4" fillId="0" borderId="4" xfId="1" applyNumberFormat="1" applyFont="1" applyBorder="1"/>
    <xf numFmtId="166" fontId="4" fillId="0" borderId="9" xfId="1" applyNumberFormat="1" applyFont="1" applyBorder="1"/>
    <xf numFmtId="0" fontId="4" fillId="0" borderId="15" xfId="0" applyFont="1" applyBorder="1"/>
    <xf numFmtId="0" fontId="4" fillId="0" borderId="31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vertical="center"/>
    </xf>
    <xf numFmtId="0" fontId="4" fillId="0" borderId="31" xfId="0" applyFont="1" applyBorder="1"/>
    <xf numFmtId="0" fontId="4" fillId="0" borderId="8" xfId="0" applyFont="1" applyFill="1" applyBorder="1"/>
    <xf numFmtId="0" fontId="9" fillId="0" borderId="0" xfId="0" applyFont="1"/>
    <xf numFmtId="0" fontId="0" fillId="0" borderId="0" xfId="0" applyFont="1"/>
    <xf numFmtId="0" fontId="10" fillId="0" borderId="0" xfId="0" applyFont="1" applyBorder="1" applyAlignment="1">
      <alignment horizontal="center"/>
    </xf>
    <xf numFmtId="165" fontId="0" fillId="0" borderId="0" xfId="1" applyFont="1" applyAlignment="1">
      <alignment horizontal="right"/>
    </xf>
    <xf numFmtId="165" fontId="3" fillId="0" borderId="0" xfId="1" applyFont="1" applyAlignment="1">
      <alignment horizontal="right"/>
    </xf>
    <xf numFmtId="165" fontId="2" fillId="0" borderId="0" xfId="1" applyFont="1" applyAlignment="1">
      <alignment horizontal="right"/>
    </xf>
    <xf numFmtId="165" fontId="10" fillId="0" borderId="0" xfId="1" applyFont="1" applyBorder="1" applyAlignment="1">
      <alignment horizontal="right"/>
    </xf>
    <xf numFmtId="0" fontId="8" fillId="0" borderId="2" xfId="0" applyFont="1" applyBorder="1"/>
    <xf numFmtId="0" fontId="3" fillId="0" borderId="2" xfId="0" applyFont="1" applyBorder="1"/>
    <xf numFmtId="166" fontId="4" fillId="0" borderId="7" xfId="1" applyNumberFormat="1" applyFont="1" applyBorder="1" applyAlignment="1">
      <alignment horizontal="right"/>
    </xf>
    <xf numFmtId="166" fontId="4" fillId="0" borderId="24" xfId="1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165" fontId="4" fillId="0" borderId="9" xfId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2" fontId="4" fillId="0" borderId="15" xfId="1" applyNumberFormat="1" applyFont="1" applyBorder="1"/>
    <xf numFmtId="166" fontId="4" fillId="0" borderId="15" xfId="1" applyNumberFormat="1" applyFont="1" applyBorder="1"/>
    <xf numFmtId="166" fontId="4" fillId="0" borderId="8" xfId="1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166" fontId="4" fillId="0" borderId="32" xfId="1" applyNumberFormat="1" applyFont="1" applyBorder="1" applyAlignment="1">
      <alignment horizontal="right"/>
    </xf>
    <xf numFmtId="166" fontId="4" fillId="0" borderId="31" xfId="1" applyNumberFormat="1" applyFont="1" applyBorder="1" applyAlignment="1">
      <alignment horizontal="right"/>
    </xf>
    <xf numFmtId="166" fontId="4" fillId="0" borderId="29" xfId="1" applyNumberFormat="1" applyFont="1" applyBorder="1" applyAlignment="1">
      <alignment horizontal="right"/>
    </xf>
    <xf numFmtId="166" fontId="4" fillId="0" borderId="33" xfId="1" applyNumberFormat="1" applyFont="1" applyBorder="1" applyAlignment="1">
      <alignment horizontal="right"/>
    </xf>
    <xf numFmtId="166" fontId="4" fillId="0" borderId="1" xfId="1" applyNumberFormat="1" applyFont="1" applyBorder="1" applyAlignment="1">
      <alignment horizontal="right"/>
    </xf>
    <xf numFmtId="166" fontId="4" fillId="0" borderId="2" xfId="1" applyNumberFormat="1" applyFont="1" applyBorder="1" applyAlignment="1">
      <alignment horizontal="right"/>
    </xf>
    <xf numFmtId="166" fontId="4" fillId="0" borderId="5" xfId="1" applyNumberFormat="1" applyFont="1" applyBorder="1" applyAlignment="1">
      <alignment horizontal="right"/>
    </xf>
    <xf numFmtId="166" fontId="4" fillId="0" borderId="34" xfId="1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 wrapText="1"/>
    </xf>
    <xf numFmtId="166" fontId="3" fillId="0" borderId="6" xfId="1" applyNumberFormat="1" applyFont="1" applyBorder="1" applyAlignment="1">
      <alignment horizontal="right"/>
    </xf>
    <xf numFmtId="166" fontId="3" fillId="0" borderId="2" xfId="1" applyNumberFormat="1" applyFont="1" applyBorder="1" applyAlignment="1">
      <alignment horizontal="right" wrapText="1"/>
    </xf>
    <xf numFmtId="166" fontId="3" fillId="0" borderId="1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 vertical="center"/>
    </xf>
    <xf numFmtId="166" fontId="3" fillId="0" borderId="5" xfId="1" applyNumberFormat="1" applyFont="1" applyBorder="1" applyAlignment="1">
      <alignment horizontal="right" vertical="center"/>
    </xf>
    <xf numFmtId="166" fontId="3" fillId="0" borderId="5" xfId="1" applyNumberFormat="1" applyFont="1" applyBorder="1" applyAlignment="1">
      <alignment horizontal="right" vertical="center" wrapText="1"/>
    </xf>
    <xf numFmtId="166" fontId="3" fillId="0" borderId="6" xfId="1" applyNumberFormat="1" applyFont="1" applyBorder="1" applyAlignment="1">
      <alignment horizontal="right" vertical="center"/>
    </xf>
    <xf numFmtId="166" fontId="7" fillId="0" borderId="29" xfId="1" applyNumberFormat="1" applyFont="1" applyBorder="1" applyAlignment="1">
      <alignment horizontal="right"/>
    </xf>
    <xf numFmtId="166" fontId="4" fillId="0" borderId="12" xfId="1" applyNumberFormat="1" applyFont="1" applyBorder="1" applyAlignment="1">
      <alignment horizontal="right"/>
    </xf>
    <xf numFmtId="166" fontId="3" fillId="0" borderId="2" xfId="1" applyNumberFormat="1" applyFont="1" applyBorder="1" applyAlignment="1">
      <alignment horizontal="center" vertical="center" wrapText="1"/>
    </xf>
    <xf numFmtId="166" fontId="4" fillId="0" borderId="31" xfId="1" applyNumberFormat="1" applyFont="1" applyBorder="1" applyAlignment="1">
      <alignment horizontal="center"/>
    </xf>
    <xf numFmtId="166" fontId="4" fillId="0" borderId="24" xfId="1" applyNumberFormat="1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165" fontId="16" fillId="0" borderId="2" xfId="1" applyFont="1" applyBorder="1"/>
    <xf numFmtId="165" fontId="16" fillId="0" borderId="15" xfId="1" applyFont="1" applyBorder="1"/>
    <xf numFmtId="165" fontId="16" fillId="0" borderId="15" xfId="1" applyFont="1" applyBorder="1" applyAlignment="1">
      <alignment horizontal="center"/>
    </xf>
    <xf numFmtId="2" fontId="16" fillId="0" borderId="15" xfId="1" applyNumberFormat="1" applyFont="1" applyBorder="1"/>
    <xf numFmtId="2" fontId="16" fillId="0" borderId="15" xfId="0" applyNumberFormat="1" applyFont="1" applyBorder="1"/>
    <xf numFmtId="166" fontId="16" fillId="0" borderId="15" xfId="1" applyNumberFormat="1" applyFont="1" applyBorder="1"/>
    <xf numFmtId="166" fontId="16" fillId="0" borderId="2" xfId="1" applyNumberFormat="1" applyFont="1" applyBorder="1"/>
    <xf numFmtId="0" fontId="16" fillId="0" borderId="26" xfId="0" applyFont="1" applyBorder="1"/>
    <xf numFmtId="0" fontId="16" fillId="0" borderId="1" xfId="0" applyFont="1" applyBorder="1" applyAlignment="1">
      <alignment horizontal="left"/>
    </xf>
    <xf numFmtId="165" fontId="16" fillId="0" borderId="1" xfId="1" applyFont="1" applyBorder="1"/>
    <xf numFmtId="165" fontId="16" fillId="0" borderId="1" xfId="1" applyFont="1" applyBorder="1" applyAlignment="1">
      <alignment horizontal="center"/>
    </xf>
    <xf numFmtId="2" fontId="16" fillId="0" borderId="1" xfId="1" applyNumberFormat="1" applyFont="1" applyBorder="1"/>
    <xf numFmtId="2" fontId="16" fillId="0" borderId="1" xfId="0" applyNumberFormat="1" applyFont="1" applyBorder="1"/>
    <xf numFmtId="166" fontId="16" fillId="0" borderId="1" xfId="1" applyNumberFormat="1" applyFont="1" applyBorder="1"/>
    <xf numFmtId="0" fontId="16" fillId="0" borderId="39" xfId="0" applyFont="1" applyBorder="1"/>
    <xf numFmtId="0" fontId="15" fillId="0" borderId="1" xfId="0" applyFont="1" applyBorder="1"/>
    <xf numFmtId="165" fontId="17" fillId="0" borderId="1" xfId="1" applyFont="1" applyBorder="1"/>
    <xf numFmtId="165" fontId="18" fillId="0" borderId="1" xfId="1" applyFont="1" applyBorder="1"/>
    <xf numFmtId="165" fontId="17" fillId="0" borderId="1" xfId="1" applyFont="1" applyBorder="1" applyAlignment="1">
      <alignment horizontal="left" wrapText="1"/>
    </xf>
    <xf numFmtId="166" fontId="18" fillId="0" borderId="1" xfId="1" applyNumberFormat="1" applyFont="1" applyBorder="1"/>
    <xf numFmtId="166" fontId="16" fillId="0" borderId="39" xfId="1" applyNumberFormat="1" applyFont="1" applyBorder="1"/>
    <xf numFmtId="165" fontId="18" fillId="0" borderId="2" xfId="1" applyFont="1" applyBorder="1"/>
    <xf numFmtId="165" fontId="4" fillId="0" borderId="0" xfId="1" applyFont="1" applyBorder="1" applyAlignment="1">
      <alignment horizontal="left"/>
    </xf>
    <xf numFmtId="0" fontId="16" fillId="0" borderId="7" xfId="0" applyFont="1" applyBorder="1"/>
    <xf numFmtId="166" fontId="16" fillId="0" borderId="8" xfId="1" applyNumberFormat="1" applyFont="1" applyBorder="1"/>
    <xf numFmtId="165" fontId="18" fillId="0" borderId="7" xfId="1" applyFont="1" applyBorder="1"/>
    <xf numFmtId="166" fontId="18" fillId="0" borderId="7" xfId="1" applyNumberFormat="1" applyFont="1" applyBorder="1"/>
    <xf numFmtId="165" fontId="16" fillId="0" borderId="8" xfId="1" applyFont="1" applyBorder="1"/>
    <xf numFmtId="165" fontId="16" fillId="0" borderId="39" xfId="1" applyFont="1" applyBorder="1"/>
    <xf numFmtId="2" fontId="15" fillId="0" borderId="2" xfId="1" applyNumberFormat="1" applyFont="1" applyBorder="1"/>
    <xf numFmtId="165" fontId="17" fillId="0" borderId="15" xfId="1" applyFont="1" applyBorder="1" applyAlignment="1">
      <alignment horizontal="center"/>
    </xf>
    <xf numFmtId="165" fontId="17" fillId="0" borderId="15" xfId="1" applyFont="1" applyBorder="1"/>
    <xf numFmtId="166" fontId="17" fillId="0" borderId="15" xfId="1" applyNumberFormat="1" applyFont="1" applyBorder="1"/>
    <xf numFmtId="165" fontId="15" fillId="0" borderId="2" xfId="1" applyFont="1" applyBorder="1"/>
    <xf numFmtId="0" fontId="15" fillId="0" borderId="39" xfId="0" applyFont="1" applyBorder="1"/>
    <xf numFmtId="0" fontId="15" fillId="0" borderId="1" xfId="0" applyFont="1" applyBorder="1" applyAlignment="1">
      <alignment vertical="center"/>
    </xf>
    <xf numFmtId="166" fontId="16" fillId="0" borderId="18" xfId="1" applyNumberFormat="1" applyFont="1" applyBorder="1"/>
    <xf numFmtId="165" fontId="18" fillId="0" borderId="18" xfId="1" applyFont="1" applyBorder="1"/>
    <xf numFmtId="0" fontId="13" fillId="0" borderId="0" xfId="0" applyFont="1" applyBorder="1"/>
    <xf numFmtId="166" fontId="16" fillId="0" borderId="7" xfId="1" applyNumberFormat="1" applyFont="1" applyBorder="1"/>
    <xf numFmtId="165" fontId="18" fillId="0" borderId="8" xfId="1" applyFont="1" applyBorder="1"/>
    <xf numFmtId="166" fontId="18" fillId="0" borderId="8" xfId="1" applyNumberFormat="1" applyFont="1" applyBorder="1"/>
    <xf numFmtId="0" fontId="13" fillId="0" borderId="42" xfId="0" applyFont="1" applyBorder="1"/>
    <xf numFmtId="0" fontId="16" fillId="0" borderId="1" xfId="0" applyFont="1" applyBorder="1"/>
    <xf numFmtId="165" fontId="18" fillId="0" borderId="15" xfId="1" applyFont="1" applyBorder="1"/>
    <xf numFmtId="165" fontId="18" fillId="0" borderId="0" xfId="1" applyFont="1" applyBorder="1"/>
    <xf numFmtId="166" fontId="18" fillId="0" borderId="15" xfId="1" applyNumberFormat="1" applyFont="1" applyBorder="1"/>
    <xf numFmtId="166" fontId="16" fillId="0" borderId="39" xfId="0" applyNumberFormat="1" applyFont="1" applyBorder="1"/>
    <xf numFmtId="165" fontId="16" fillId="0" borderId="1" xfId="1" applyNumberFormat="1" applyFont="1" applyBorder="1"/>
    <xf numFmtId="165" fontId="17" fillId="0" borderId="18" xfId="1" applyFont="1" applyBorder="1"/>
    <xf numFmtId="165" fontId="18" fillId="0" borderId="14" xfId="1" applyFont="1" applyBorder="1"/>
    <xf numFmtId="166" fontId="18" fillId="0" borderId="18" xfId="1" applyNumberFormat="1" applyFont="1" applyBorder="1"/>
    <xf numFmtId="165" fontId="16" fillId="0" borderId="7" xfId="1" applyNumberFormat="1" applyFont="1" applyBorder="1"/>
    <xf numFmtId="165" fontId="18" fillId="0" borderId="29" xfId="1" applyFont="1" applyBorder="1"/>
    <xf numFmtId="165" fontId="18" fillId="0" borderId="23" xfId="1" applyFont="1" applyBorder="1"/>
    <xf numFmtId="0" fontId="16" fillId="0" borderId="7" xfId="0" applyFont="1" applyFill="1" applyBorder="1"/>
    <xf numFmtId="165" fontId="16" fillId="0" borderId="14" xfId="1" applyNumberFormat="1" applyFont="1" applyBorder="1"/>
    <xf numFmtId="165" fontId="16" fillId="0" borderId="14" xfId="1" applyFont="1" applyBorder="1"/>
    <xf numFmtId="166" fontId="16" fillId="0" borderId="45" xfId="1" applyNumberFormat="1" applyFont="1" applyBorder="1"/>
    <xf numFmtId="165" fontId="15" fillId="0" borderId="0" xfId="1" applyFont="1"/>
    <xf numFmtId="165" fontId="15" fillId="0" borderId="0" xfId="0" applyNumberFormat="1" applyFont="1"/>
    <xf numFmtId="0" fontId="13" fillId="0" borderId="0" xfId="0" applyFont="1" applyAlignment="1"/>
    <xf numFmtId="0" fontId="19" fillId="0" borderId="0" xfId="0" applyFont="1" applyAlignment="1"/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5" fillId="0" borderId="0" xfId="0" applyFont="1" applyBorder="1"/>
    <xf numFmtId="0" fontId="16" fillId="0" borderId="0" xfId="0" applyFont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166" fontId="32" fillId="0" borderId="47" xfId="3" applyNumberFormat="1" applyFont="1" applyBorder="1" applyAlignment="1">
      <alignment vertical="center"/>
    </xf>
    <xf numFmtId="166" fontId="32" fillId="0" borderId="0" xfId="3" applyNumberFormat="1" applyFont="1" applyBorder="1" applyAlignment="1">
      <alignment vertical="center"/>
    </xf>
    <xf numFmtId="0" fontId="39" fillId="0" borderId="0" xfId="7"/>
    <xf numFmtId="0" fontId="25" fillId="0" borderId="0" xfId="7" applyFont="1" applyBorder="1" applyAlignment="1">
      <alignment horizontal="left" vertical="center" indent="5"/>
    </xf>
    <xf numFmtId="0" fontId="27" fillId="0" borderId="0" xfId="7" applyFont="1" applyBorder="1" applyAlignment="1">
      <alignment horizontal="left" vertical="center" indent="5"/>
    </xf>
    <xf numFmtId="0" fontId="27" fillId="0" borderId="40" xfId="7" applyFont="1" applyBorder="1" applyAlignment="1">
      <alignment horizontal="left" vertical="center" indent="1"/>
    </xf>
    <xf numFmtId="165" fontId="25" fillId="0" borderId="86" xfId="3" applyFont="1" applyBorder="1" applyAlignment="1">
      <alignment horizontal="center" vertical="center"/>
    </xf>
    <xf numFmtId="0" fontId="32" fillId="0" borderId="0" xfId="7" applyFont="1" applyAlignment="1">
      <alignment vertical="center"/>
    </xf>
    <xf numFmtId="0" fontId="28" fillId="0" borderId="0" xfId="7" applyFont="1" applyAlignment="1">
      <alignment vertical="center"/>
    </xf>
    <xf numFmtId="0" fontId="27" fillId="0" borderId="0" xfId="7" applyFont="1" applyBorder="1" applyAlignment="1">
      <alignment horizontal="center" vertical="center"/>
    </xf>
    <xf numFmtId="0" fontId="27" fillId="0" borderId="37" xfId="7" applyFont="1" applyBorder="1" applyAlignment="1">
      <alignment horizontal="left" vertical="center" indent="1"/>
    </xf>
    <xf numFmtId="0" fontId="27" fillId="0" borderId="37" xfId="7" applyFont="1" applyBorder="1" applyAlignment="1">
      <alignment horizontal="center" vertical="center"/>
    </xf>
    <xf numFmtId="0" fontId="27" fillId="0" borderId="5" xfId="7" applyFont="1" applyBorder="1" applyAlignment="1">
      <alignment horizontal="left" indent="1"/>
    </xf>
    <xf numFmtId="166" fontId="28" fillId="0" borderId="47" xfId="3" applyNumberFormat="1" applyFont="1" applyBorder="1" applyAlignment="1">
      <alignment vertical="center"/>
    </xf>
    <xf numFmtId="0" fontId="27" fillId="0" borderId="3" xfId="7" applyFont="1" applyBorder="1" applyAlignment="1">
      <alignment horizontal="left" indent="1"/>
    </xf>
    <xf numFmtId="0" fontId="27" fillId="0" borderId="0" xfId="7" applyFont="1" applyBorder="1" applyAlignment="1">
      <alignment horizontal="left" vertical="center" indent="1"/>
    </xf>
    <xf numFmtId="0" fontId="27" fillId="0" borderId="42" xfId="7" applyFont="1" applyBorder="1" applyAlignment="1">
      <alignment horizontal="center" vertical="center"/>
    </xf>
    <xf numFmtId="0" fontId="27" fillId="0" borderId="0" xfId="7" applyFont="1" applyBorder="1" applyAlignment="1">
      <alignment horizontal="left" indent="3"/>
    </xf>
    <xf numFmtId="0" fontId="27" fillId="0" borderId="30" xfId="7" applyFont="1" applyBorder="1" applyAlignment="1">
      <alignment horizontal="center" vertical="center"/>
    </xf>
    <xf numFmtId="0" fontId="27" fillId="0" borderId="5" xfId="7" applyFont="1" applyBorder="1" applyAlignment="1">
      <alignment horizontal="left" vertical="center" indent="5"/>
    </xf>
    <xf numFmtId="166" fontId="28" fillId="0" borderId="0" xfId="3" applyNumberFormat="1" applyFont="1" applyBorder="1" applyAlignment="1">
      <alignment vertical="center"/>
    </xf>
    <xf numFmtId="0" fontId="27" fillId="0" borderId="0" xfId="7" applyFont="1" applyBorder="1" applyAlignment="1">
      <alignment horizontal="left" vertical="center"/>
    </xf>
    <xf numFmtId="0" fontId="27" fillId="0" borderId="40" xfId="7" applyFont="1" applyBorder="1" applyAlignment="1">
      <alignment horizontal="center" vertical="center"/>
    </xf>
    <xf numFmtId="0" fontId="27" fillId="0" borderId="98" xfId="7" applyFont="1" applyBorder="1" applyAlignment="1">
      <alignment horizontal="center" vertical="center"/>
    </xf>
    <xf numFmtId="49" fontId="28" fillId="0" borderId="69" xfId="7" applyNumberFormat="1" applyFont="1" applyBorder="1" applyAlignment="1">
      <alignment horizontal="center" vertical="center" wrapText="1"/>
    </xf>
    <xf numFmtId="49" fontId="28" fillId="0" borderId="74" xfId="7" applyNumberFormat="1" applyFont="1" applyBorder="1" applyAlignment="1">
      <alignment horizontal="center" vertical="center" wrapText="1"/>
    </xf>
    <xf numFmtId="0" fontId="27" fillId="0" borderId="13" xfId="7" applyFont="1" applyBorder="1" applyAlignment="1">
      <alignment horizontal="center" vertical="center"/>
    </xf>
    <xf numFmtId="0" fontId="27" fillId="0" borderId="23" xfId="7" applyFont="1" applyBorder="1" applyAlignment="1">
      <alignment horizontal="center" vertical="center"/>
    </xf>
    <xf numFmtId="0" fontId="27" fillId="0" borderId="37" xfId="7" applyFont="1" applyBorder="1" applyAlignment="1">
      <alignment horizontal="left" vertical="center" indent="2"/>
    </xf>
    <xf numFmtId="0" fontId="27" fillId="0" borderId="40" xfId="7" applyFont="1" applyBorder="1" applyAlignment="1">
      <alignment horizontal="left" vertical="center" indent="5"/>
    </xf>
    <xf numFmtId="166" fontId="28" fillId="0" borderId="40" xfId="3" applyNumberFormat="1" applyFont="1" applyBorder="1" applyAlignment="1">
      <alignment vertical="center"/>
    </xf>
    <xf numFmtId="0" fontId="27" fillId="0" borderId="40" xfId="7" applyFont="1" applyBorder="1" applyAlignment="1">
      <alignment horizontal="left" vertical="center"/>
    </xf>
    <xf numFmtId="0" fontId="50" fillId="0" borderId="71" xfId="7" applyFont="1" applyBorder="1" applyAlignment="1">
      <alignment vertical="center"/>
    </xf>
    <xf numFmtId="2" fontId="50" fillId="0" borderId="76" xfId="7" applyNumberFormat="1" applyFont="1" applyBorder="1" applyAlignment="1">
      <alignment horizontal="center" vertical="center"/>
    </xf>
    <xf numFmtId="1" fontId="50" fillId="0" borderId="48" xfId="7" applyNumberFormat="1" applyFont="1" applyBorder="1" applyAlignment="1">
      <alignment horizontal="center" vertical="center" wrapText="1"/>
    </xf>
    <xf numFmtId="2" fontId="50" fillId="0" borderId="48" xfId="7" applyNumberFormat="1" applyFont="1" applyBorder="1" applyAlignment="1">
      <alignment horizontal="center" vertical="center" wrapText="1"/>
    </xf>
    <xf numFmtId="2" fontId="50" fillId="0" borderId="84" xfId="7" applyNumberFormat="1" applyFont="1" applyBorder="1" applyAlignment="1">
      <alignment horizontal="center" vertical="center"/>
    </xf>
    <xf numFmtId="2" fontId="50" fillId="0" borderId="48" xfId="7" applyNumberFormat="1" applyFont="1" applyBorder="1" applyAlignment="1">
      <alignment horizontal="center" vertical="center"/>
    </xf>
    <xf numFmtId="2" fontId="50" fillId="0" borderId="50" xfId="3" applyNumberFormat="1" applyFont="1" applyBorder="1" applyAlignment="1">
      <alignment horizontal="center" vertical="center"/>
    </xf>
    <xf numFmtId="2" fontId="50" fillId="0" borderId="50" xfId="7" applyNumberFormat="1" applyFont="1" applyBorder="1" applyAlignment="1">
      <alignment horizontal="center" vertical="center"/>
    </xf>
    <xf numFmtId="165" fontId="50" fillId="0" borderId="84" xfId="3" applyFont="1" applyBorder="1" applyAlignment="1">
      <alignment horizontal="center" vertical="center"/>
    </xf>
    <xf numFmtId="165" fontId="50" fillId="0" borderId="67" xfId="3" applyFont="1" applyBorder="1" applyAlignment="1">
      <alignment horizontal="center" vertical="center"/>
    </xf>
    <xf numFmtId="0" fontId="50" fillId="0" borderId="0" xfId="7" applyFont="1" applyAlignment="1">
      <alignment vertical="center"/>
    </xf>
    <xf numFmtId="2" fontId="50" fillId="0" borderId="83" xfId="7" applyNumberFormat="1" applyFont="1" applyBorder="1" applyAlignment="1">
      <alignment horizontal="center" vertical="center"/>
    </xf>
    <xf numFmtId="165" fontId="50" fillId="0" borderId="50" xfId="3" applyFont="1" applyBorder="1" applyAlignment="1">
      <alignment horizontal="center" vertical="center"/>
    </xf>
    <xf numFmtId="1" fontId="50" fillId="0" borderId="96" xfId="3" applyNumberFormat="1" applyFont="1" applyBorder="1" applyAlignment="1">
      <alignment horizontal="center" vertical="center"/>
    </xf>
    <xf numFmtId="2" fontId="50" fillId="0" borderId="96" xfId="3" applyNumberFormat="1" applyFont="1" applyBorder="1" applyAlignment="1">
      <alignment horizontal="center" vertical="center"/>
    </xf>
    <xf numFmtId="2" fontId="50" fillId="0" borderId="96" xfId="7" applyNumberFormat="1" applyFont="1" applyBorder="1" applyAlignment="1">
      <alignment horizontal="center" vertical="center"/>
    </xf>
    <xf numFmtId="165" fontId="50" fillId="0" borderId="49" xfId="3" applyFont="1" applyBorder="1" applyAlignment="1">
      <alignment horizontal="center" vertical="center"/>
    </xf>
    <xf numFmtId="165" fontId="50" fillId="0" borderId="48" xfId="3" applyFont="1" applyBorder="1" applyAlignment="1">
      <alignment horizontal="center" vertical="center"/>
    </xf>
    <xf numFmtId="0" fontId="50" fillId="0" borderId="0" xfId="7" applyFont="1" applyAlignment="1">
      <alignment horizontal="center" vertical="center"/>
    </xf>
    <xf numFmtId="0" fontId="50" fillId="0" borderId="0" xfId="7" applyFont="1" applyAlignment="1">
      <alignment horizontal="left" vertical="center" indent="1"/>
    </xf>
    <xf numFmtId="166" fontId="50" fillId="0" borderId="0" xfId="3" applyNumberFormat="1" applyFont="1" applyAlignment="1">
      <alignment vertical="center"/>
    </xf>
    <xf numFmtId="0" fontId="21" fillId="0" borderId="0" xfId="7" applyFont="1" applyAlignment="1">
      <alignment horizontal="center" vertical="top"/>
    </xf>
    <xf numFmtId="0" fontId="21" fillId="0" borderId="0" xfId="7" applyFont="1" applyAlignment="1">
      <alignment horizontal="left" vertical="top"/>
    </xf>
    <xf numFmtId="0" fontId="21" fillId="0" borderId="0" xfId="7" applyFont="1" applyAlignment="1">
      <alignment vertical="top"/>
    </xf>
    <xf numFmtId="166" fontId="21" fillId="0" borderId="0" xfId="3" applyNumberFormat="1" applyFont="1" applyAlignment="1">
      <alignment vertical="top"/>
    </xf>
    <xf numFmtId="166" fontId="43" fillId="0" borderId="0" xfId="3" applyNumberFormat="1" applyFont="1" applyAlignment="1">
      <alignment vertical="center"/>
    </xf>
    <xf numFmtId="0" fontId="43" fillId="0" borderId="0" xfId="7" applyFont="1" applyAlignment="1">
      <alignment vertical="center"/>
    </xf>
    <xf numFmtId="166" fontId="47" fillId="0" borderId="101" xfId="3" applyNumberFormat="1" applyFont="1" applyBorder="1" applyAlignment="1">
      <alignment horizontal="center" vertical="center" wrapText="1"/>
    </xf>
    <xf numFmtId="166" fontId="47" fillId="0" borderId="11" xfId="3" applyNumberFormat="1" applyFont="1" applyBorder="1" applyAlignment="1">
      <alignment horizontal="center" vertical="center" wrapText="1"/>
    </xf>
    <xf numFmtId="166" fontId="47" fillId="0" borderId="10" xfId="3" applyNumberFormat="1" applyFont="1" applyBorder="1" applyAlignment="1">
      <alignment horizontal="center" vertical="center" wrapText="1"/>
    </xf>
    <xf numFmtId="1" fontId="50" fillId="0" borderId="100" xfId="7" applyNumberFormat="1" applyFont="1" applyBorder="1" applyAlignment="1">
      <alignment horizontal="center" vertical="center" wrapText="1"/>
    </xf>
    <xf numFmtId="2" fontId="50" fillId="0" borderId="100" xfId="7" applyNumberFormat="1" applyFont="1" applyBorder="1" applyAlignment="1">
      <alignment horizontal="center" vertical="center" wrapText="1"/>
    </xf>
    <xf numFmtId="2" fontId="25" fillId="0" borderId="88" xfId="7" applyNumberFormat="1" applyFont="1" applyBorder="1" applyAlignment="1">
      <alignment horizontal="center" vertical="center"/>
    </xf>
    <xf numFmtId="165" fontId="25" fillId="0" borderId="88" xfId="3" applyFont="1" applyBorder="1" applyAlignment="1">
      <alignment horizontal="center" vertical="center"/>
    </xf>
    <xf numFmtId="0" fontId="47" fillId="0" borderId="19" xfId="7" applyFont="1" applyBorder="1" applyAlignment="1">
      <alignment horizontal="center" vertical="center" wrapText="1"/>
    </xf>
    <xf numFmtId="0" fontId="47" fillId="0" borderId="16" xfId="7" applyFont="1" applyBorder="1" applyAlignment="1">
      <alignment horizontal="center" vertical="center" wrapText="1"/>
    </xf>
    <xf numFmtId="49" fontId="43" fillId="5" borderId="42" xfId="7" applyNumberFormat="1" applyFont="1" applyFill="1" applyBorder="1" applyAlignment="1">
      <alignment horizontal="center" vertical="center" wrapText="1"/>
    </xf>
    <xf numFmtId="49" fontId="43" fillId="5" borderId="39" xfId="7" applyNumberFormat="1" applyFont="1" applyFill="1" applyBorder="1" applyAlignment="1">
      <alignment horizontal="center" vertical="center" wrapText="1"/>
    </xf>
    <xf numFmtId="49" fontId="43" fillId="5" borderId="5" xfId="7" applyNumberFormat="1" applyFont="1" applyFill="1" applyBorder="1" applyAlignment="1">
      <alignment horizontal="center" vertical="center" wrapText="1"/>
    </xf>
    <xf numFmtId="49" fontId="43" fillId="5" borderId="38" xfId="7" applyNumberFormat="1" applyFont="1" applyFill="1" applyBorder="1" applyAlignment="1">
      <alignment horizontal="center" vertical="center" wrapText="1"/>
    </xf>
    <xf numFmtId="49" fontId="43" fillId="5" borderId="6" xfId="7" applyNumberFormat="1" applyFont="1" applyFill="1" applyBorder="1" applyAlignment="1">
      <alignment horizontal="center" vertical="center" wrapText="1"/>
    </xf>
    <xf numFmtId="49" fontId="43" fillId="5" borderId="0" xfId="7" applyNumberFormat="1" applyFont="1" applyFill="1" applyBorder="1" applyAlignment="1">
      <alignment horizontal="center" vertical="center" wrapText="1"/>
    </xf>
    <xf numFmtId="0" fontId="50" fillId="0" borderId="72" xfId="7" applyFont="1" applyBorder="1" applyAlignment="1">
      <alignment vertical="center"/>
    </xf>
    <xf numFmtId="2" fontId="50" fillId="0" borderId="85" xfId="7" applyNumberFormat="1" applyFont="1" applyBorder="1" applyAlignment="1">
      <alignment horizontal="center" vertical="center"/>
    </xf>
    <xf numFmtId="0" fontId="52" fillId="0" borderId="98" xfId="7" applyFont="1" applyBorder="1" applyAlignment="1">
      <alignment horizontal="center" vertical="center" wrapText="1"/>
    </xf>
    <xf numFmtId="9" fontId="50" fillId="0" borderId="71" xfId="6" applyFont="1" applyBorder="1" applyAlignment="1">
      <alignment horizontal="center" vertical="center"/>
    </xf>
    <xf numFmtId="2" fontId="50" fillId="0" borderId="71" xfId="7" applyNumberFormat="1" applyFont="1" applyBorder="1" applyAlignment="1">
      <alignment horizontal="center" vertical="center"/>
    </xf>
    <xf numFmtId="2" fontId="50" fillId="0" borderId="75" xfId="7" applyNumberFormat="1" applyFont="1" applyBorder="1" applyAlignment="1">
      <alignment horizontal="center" vertical="center"/>
    </xf>
    <xf numFmtId="165" fontId="50" fillId="0" borderId="56" xfId="3" applyFont="1" applyBorder="1" applyAlignment="1">
      <alignment horizontal="center" vertical="center"/>
    </xf>
    <xf numFmtId="165" fontId="25" fillId="0" borderId="24" xfId="3" applyFont="1" applyBorder="1" applyAlignment="1">
      <alignment horizontal="center" vertical="center"/>
    </xf>
    <xf numFmtId="49" fontId="43" fillId="5" borderId="1" xfId="7" applyNumberFormat="1" applyFont="1" applyFill="1" applyBorder="1" applyAlignment="1">
      <alignment horizontal="center" vertical="center" wrapText="1"/>
    </xf>
    <xf numFmtId="165" fontId="53" fillId="0" borderId="71" xfId="3" applyFont="1" applyBorder="1" applyAlignment="1">
      <alignment vertical="center" wrapText="1"/>
    </xf>
    <xf numFmtId="2" fontId="50" fillId="0" borderId="70" xfId="7" applyNumberFormat="1" applyFont="1" applyBorder="1" applyAlignment="1">
      <alignment horizontal="center" vertical="center"/>
    </xf>
    <xf numFmtId="0" fontId="29" fillId="0" borderId="7" xfId="7" applyFont="1" applyBorder="1" applyAlignment="1">
      <alignment vertical="center"/>
    </xf>
    <xf numFmtId="0" fontId="27" fillId="0" borderId="40" xfId="7" applyFont="1" applyBorder="1" applyAlignment="1">
      <alignment horizontal="left" vertical="top"/>
    </xf>
    <xf numFmtId="0" fontId="27" fillId="0" borderId="99" xfId="7" applyFont="1" applyBorder="1" applyAlignment="1">
      <alignment horizontal="left" vertical="top" indent="5"/>
    </xf>
    <xf numFmtId="1" fontId="25" fillId="0" borderId="54" xfId="7" applyNumberFormat="1" applyFont="1" applyBorder="1" applyAlignment="1">
      <alignment horizontal="center" vertical="center"/>
    </xf>
    <xf numFmtId="2" fontId="25" fillId="0" borderId="54" xfId="7" applyNumberFormat="1" applyFont="1" applyBorder="1" applyAlignment="1">
      <alignment horizontal="center" vertical="center"/>
    </xf>
    <xf numFmtId="0" fontId="25" fillId="0" borderId="93" xfId="7" applyFont="1" applyBorder="1" applyAlignment="1">
      <alignment horizontal="center" vertical="center"/>
    </xf>
    <xf numFmtId="2" fontId="54" fillId="0" borderId="71" xfId="7" applyNumberFormat="1" applyFont="1" applyBorder="1" applyAlignment="1">
      <alignment horizontal="center" vertical="center" wrapText="1"/>
    </xf>
    <xf numFmtId="2" fontId="50" fillId="0" borderId="42" xfId="7" applyNumberFormat="1" applyFont="1" applyBorder="1" applyAlignment="1">
      <alignment horizontal="center" vertical="center"/>
    </xf>
    <xf numFmtId="2" fontId="50" fillId="0" borderId="1" xfId="7" applyNumberFormat="1" applyFont="1" applyBorder="1" applyAlignment="1">
      <alignment horizontal="center" vertical="center"/>
    </xf>
    <xf numFmtId="2" fontId="20" fillId="0" borderId="76" xfId="7" applyNumberFormat="1" applyFont="1" applyBorder="1" applyAlignment="1">
      <alignment horizontal="center" vertical="center"/>
    </xf>
    <xf numFmtId="2" fontId="20" fillId="0" borderId="76" xfId="7" applyNumberFormat="1" applyFont="1" applyBorder="1" applyAlignment="1">
      <alignment horizontal="center" vertical="center" wrapText="1"/>
    </xf>
    <xf numFmtId="2" fontId="20" fillId="0" borderId="75" xfId="7" applyNumberFormat="1" applyFont="1" applyBorder="1" applyAlignment="1">
      <alignment horizontal="center" vertical="center" wrapText="1"/>
    </xf>
    <xf numFmtId="2" fontId="20" fillId="0" borderId="77" xfId="7" applyNumberFormat="1" applyFont="1" applyBorder="1" applyAlignment="1">
      <alignment horizontal="center" vertical="center" wrapText="1"/>
    </xf>
    <xf numFmtId="49" fontId="43" fillId="5" borderId="1" xfId="7" applyNumberFormat="1" applyFont="1" applyFill="1" applyBorder="1" applyAlignment="1">
      <alignment horizontal="left" vertical="center" wrapText="1"/>
    </xf>
    <xf numFmtId="0" fontId="50" fillId="0" borderId="70" xfId="7" applyFont="1" applyBorder="1" applyAlignment="1">
      <alignment vertical="center"/>
    </xf>
    <xf numFmtId="9" fontId="50" fillId="0" borderId="71" xfId="6" applyNumberFormat="1" applyFont="1" applyBorder="1" applyAlignment="1">
      <alignment horizontal="center" vertical="center"/>
    </xf>
    <xf numFmtId="166" fontId="47" fillId="0" borderId="90" xfId="3" applyNumberFormat="1" applyFont="1" applyBorder="1" applyAlignment="1">
      <alignment horizontal="center" vertical="center" wrapText="1"/>
    </xf>
    <xf numFmtId="165" fontId="50" fillId="0" borderId="55" xfId="3" applyFont="1" applyBorder="1" applyAlignment="1">
      <alignment horizontal="center" vertical="center"/>
    </xf>
    <xf numFmtId="0" fontId="44" fillId="0" borderId="0" xfId="5" applyFont="1" applyAlignment="1"/>
    <xf numFmtId="0" fontId="57" fillId="0" borderId="0" xfId="5" applyFont="1" applyAlignment="1">
      <alignment vertical="top"/>
    </xf>
    <xf numFmtId="165" fontId="50" fillId="0" borderId="42" xfId="3" applyFont="1" applyBorder="1" applyAlignment="1">
      <alignment horizontal="center" vertical="center"/>
    </xf>
    <xf numFmtId="49" fontId="43" fillId="5" borderId="2" xfId="7" applyNumberFormat="1" applyFont="1" applyFill="1" applyBorder="1" applyAlignment="1">
      <alignment horizontal="center" vertical="center" wrapText="1"/>
    </xf>
    <xf numFmtId="165" fontId="50" fillId="0" borderId="91" xfId="3" applyFont="1" applyBorder="1" applyAlignment="1">
      <alignment horizontal="center" vertical="center"/>
    </xf>
    <xf numFmtId="2" fontId="50" fillId="0" borderId="91" xfId="3" applyNumberFormat="1" applyFont="1" applyBorder="1" applyAlignment="1">
      <alignment horizontal="center" vertical="center"/>
    </xf>
    <xf numFmtId="2" fontId="50" fillId="0" borderId="91" xfId="7" applyNumberFormat="1" applyFont="1" applyBorder="1" applyAlignment="1">
      <alignment horizontal="center" vertical="center"/>
    </xf>
    <xf numFmtId="49" fontId="43" fillId="5" borderId="30" xfId="7" applyNumberFormat="1" applyFont="1" applyFill="1" applyBorder="1" applyAlignment="1">
      <alignment horizontal="center" vertical="center" wrapText="1"/>
    </xf>
    <xf numFmtId="165" fontId="50" fillId="0" borderId="38" xfId="3" applyFont="1" applyBorder="1" applyAlignment="1">
      <alignment horizontal="center" vertical="center"/>
    </xf>
    <xf numFmtId="165" fontId="50" fillId="0" borderId="30" xfId="3" applyFont="1" applyBorder="1" applyAlignment="1">
      <alignment horizontal="center" vertical="center"/>
    </xf>
    <xf numFmtId="2" fontId="25" fillId="0" borderId="86" xfId="7" applyNumberFormat="1" applyFont="1" applyBorder="1" applyAlignment="1">
      <alignment horizontal="center" vertical="center"/>
    </xf>
    <xf numFmtId="165" fontId="25" fillId="0" borderId="12" xfId="3" applyFont="1" applyBorder="1" applyAlignment="1">
      <alignment horizontal="center" vertical="center"/>
    </xf>
    <xf numFmtId="0" fontId="52" fillId="0" borderId="99" xfId="7" applyFont="1" applyBorder="1" applyAlignment="1">
      <alignment horizontal="center" vertical="center" wrapText="1"/>
    </xf>
    <xf numFmtId="2" fontId="25" fillId="0" borderId="24" xfId="7" applyNumberFormat="1" applyFont="1" applyBorder="1" applyAlignment="1">
      <alignment horizontal="center" vertical="center"/>
    </xf>
    <xf numFmtId="9" fontId="25" fillId="0" borderId="7" xfId="6" applyFont="1" applyBorder="1" applyAlignment="1">
      <alignment horizontal="center" vertical="center"/>
    </xf>
    <xf numFmtId="165" fontId="50" fillId="0" borderId="79" xfId="7" applyNumberFormat="1" applyFont="1" applyBorder="1" applyAlignment="1">
      <alignment horizontal="center" vertical="center"/>
    </xf>
    <xf numFmtId="0" fontId="43" fillId="0" borderId="0" xfId="7" applyFont="1" applyAlignment="1">
      <alignment horizontal="left" vertical="center" indent="1"/>
    </xf>
    <xf numFmtId="165" fontId="27" fillId="0" borderId="0" xfId="7" applyNumberFormat="1" applyFont="1" applyBorder="1" applyAlignment="1">
      <alignment horizontal="right" vertical="center"/>
    </xf>
    <xf numFmtId="165" fontId="27" fillId="0" borderId="37" xfId="7" applyNumberFormat="1" applyFont="1" applyBorder="1" applyAlignment="1">
      <alignment horizontal="right" vertical="center"/>
    </xf>
    <xf numFmtId="165" fontId="27" fillId="0" borderId="40" xfId="7" applyNumberFormat="1" applyFont="1" applyBorder="1" applyAlignment="1">
      <alignment horizontal="right" vertical="center"/>
    </xf>
    <xf numFmtId="165" fontId="46" fillId="0" borderId="41" xfId="7" applyNumberFormat="1" applyFont="1" applyBorder="1" applyAlignment="1">
      <alignment horizontal="right" vertical="center" wrapText="1"/>
    </xf>
    <xf numFmtId="165" fontId="43" fillId="5" borderId="6" xfId="7" applyNumberFormat="1" applyFont="1" applyFill="1" applyBorder="1" applyAlignment="1">
      <alignment horizontal="right" vertical="center" wrapText="1"/>
    </xf>
    <xf numFmtId="165" fontId="50" fillId="0" borderId="50" xfId="3" applyNumberFormat="1" applyFont="1" applyBorder="1" applyAlignment="1">
      <alignment horizontal="right" vertical="center"/>
    </xf>
    <xf numFmtId="165" fontId="25" fillId="0" borderId="12" xfId="7" applyNumberFormat="1" applyFont="1" applyBorder="1" applyAlignment="1">
      <alignment horizontal="right" vertical="center"/>
    </xf>
    <xf numFmtId="165" fontId="50" fillId="0" borderId="0" xfId="7" applyNumberFormat="1" applyFont="1" applyAlignment="1">
      <alignment horizontal="right" vertical="center"/>
    </xf>
    <xf numFmtId="165" fontId="21" fillId="0" borderId="0" xfId="7" applyNumberFormat="1" applyFont="1" applyAlignment="1">
      <alignment horizontal="right" vertical="top"/>
    </xf>
    <xf numFmtId="2" fontId="50" fillId="0" borderId="127" xfId="7" applyNumberFormat="1" applyFont="1" applyBorder="1" applyAlignment="1">
      <alignment horizontal="center" vertical="center"/>
    </xf>
    <xf numFmtId="0" fontId="31" fillId="0" borderId="0" xfId="7" applyFont="1" applyBorder="1" applyAlignment="1">
      <alignment horizontal="center" vertical="center"/>
    </xf>
    <xf numFmtId="0" fontId="31" fillId="0" borderId="37" xfId="7" applyFont="1" applyBorder="1" applyAlignment="1">
      <alignment horizontal="left" vertical="center" indent="1"/>
    </xf>
    <xf numFmtId="0" fontId="31" fillId="0" borderId="0" xfId="7" applyFont="1" applyBorder="1" applyAlignment="1">
      <alignment horizontal="left" vertical="center" indent="1"/>
    </xf>
    <xf numFmtId="49" fontId="29" fillId="0" borderId="52" xfId="7" applyNumberFormat="1" applyFont="1" applyBorder="1" applyAlignment="1">
      <alignment horizontal="center" vertical="center" wrapText="1"/>
    </xf>
    <xf numFmtId="49" fontId="29" fillId="0" borderId="53" xfId="7" applyNumberFormat="1" applyFont="1" applyBorder="1" applyAlignment="1">
      <alignment horizontal="center" vertical="center" wrapText="1"/>
    </xf>
    <xf numFmtId="49" fontId="29" fillId="0" borderId="74" xfId="7" applyNumberFormat="1" applyFont="1" applyBorder="1" applyAlignment="1">
      <alignment horizontal="center" vertical="center" wrapText="1"/>
    </xf>
    <xf numFmtId="49" fontId="29" fillId="0" borderId="51" xfId="7" applyNumberFormat="1" applyFont="1" applyBorder="1" applyAlignment="1">
      <alignment horizontal="center" vertical="center" wrapText="1"/>
    </xf>
    <xf numFmtId="49" fontId="29" fillId="0" borderId="20" xfId="7" applyNumberFormat="1" applyFont="1" applyBorder="1" applyAlignment="1">
      <alignment horizontal="center" vertical="center" wrapText="1"/>
    </xf>
    <xf numFmtId="49" fontId="29" fillId="0" borderId="73" xfId="7" applyNumberFormat="1" applyFont="1" applyBorder="1" applyAlignment="1">
      <alignment horizontal="center" vertical="center" wrapText="1"/>
    </xf>
    <xf numFmtId="49" fontId="29" fillId="0" borderId="28" xfId="7" applyNumberFormat="1" applyFont="1" applyBorder="1" applyAlignment="1">
      <alignment horizontal="center" vertical="center" wrapText="1"/>
    </xf>
    <xf numFmtId="49" fontId="29" fillId="0" borderId="52" xfId="7" applyNumberFormat="1" applyFont="1" applyFill="1" applyBorder="1" applyAlignment="1">
      <alignment horizontal="center" vertical="center" wrapText="1"/>
    </xf>
    <xf numFmtId="0" fontId="25" fillId="0" borderId="24" xfId="7" applyFont="1" applyBorder="1" applyAlignment="1">
      <alignment vertical="center"/>
    </xf>
    <xf numFmtId="0" fontId="25" fillId="0" borderId="88" xfId="7" applyFont="1" applyBorder="1" applyAlignment="1">
      <alignment vertical="center"/>
    </xf>
    <xf numFmtId="0" fontId="69" fillId="0" borderId="0" xfId="7" applyFont="1" applyFill="1" applyBorder="1" applyAlignment="1">
      <alignment vertical="center"/>
    </xf>
    <xf numFmtId="0" fontId="70" fillId="0" borderId="42" xfId="7" applyFont="1" applyFill="1" applyBorder="1" applyAlignment="1">
      <alignment horizontal="left" vertical="center" indent="1"/>
    </xf>
    <xf numFmtId="0" fontId="70" fillId="0" borderId="0" xfId="7" applyFont="1" applyFill="1" applyBorder="1" applyAlignment="1">
      <alignment horizontal="left" vertical="center" indent="1"/>
    </xf>
    <xf numFmtId="0" fontId="21" fillId="0" borderId="76" xfId="7" applyFont="1" applyFill="1" applyBorder="1" applyAlignment="1">
      <alignment vertical="center"/>
    </xf>
    <xf numFmtId="0" fontId="71" fillId="0" borderId="75" xfId="7" applyFont="1" applyFill="1" applyBorder="1" applyAlignment="1">
      <alignment horizontal="center" vertical="center" wrapText="1"/>
    </xf>
    <xf numFmtId="2" fontId="50" fillId="0" borderId="103" xfId="7" applyNumberFormat="1" applyFont="1" applyBorder="1" applyAlignment="1">
      <alignment horizontal="center" vertical="center"/>
    </xf>
    <xf numFmtId="2" fontId="25" fillId="0" borderId="19" xfId="7" applyNumberFormat="1" applyFont="1" applyBorder="1" applyAlignment="1">
      <alignment horizontal="center" vertical="center"/>
    </xf>
    <xf numFmtId="2" fontId="74" fillId="0" borderId="49" xfId="7" applyNumberFormat="1" applyFont="1" applyBorder="1" applyAlignment="1">
      <alignment horizontal="left" vertical="center" wrapText="1"/>
    </xf>
    <xf numFmtId="2" fontId="74" fillId="0" borderId="6" xfId="7" applyNumberFormat="1" applyFont="1" applyBorder="1" applyAlignment="1">
      <alignment horizontal="left" vertical="center" wrapText="1"/>
    </xf>
    <xf numFmtId="2" fontId="74" fillId="0" borderId="107" xfId="7" applyNumberFormat="1" applyFont="1" applyBorder="1" applyAlignment="1">
      <alignment horizontal="left" vertical="center" wrapText="1"/>
    </xf>
    <xf numFmtId="0" fontId="21" fillId="0" borderId="75" xfId="7" applyFont="1" applyFill="1" applyBorder="1" applyAlignment="1">
      <alignment horizontal="center" vertical="center" wrapText="1"/>
    </xf>
    <xf numFmtId="2" fontId="20" fillId="0" borderId="48" xfId="7" applyNumberFormat="1" applyFont="1" applyBorder="1" applyAlignment="1">
      <alignment horizontal="center" vertical="center" wrapText="1"/>
    </xf>
    <xf numFmtId="2" fontId="20" fillId="0" borderId="96" xfId="3" applyNumberFormat="1" applyFont="1" applyBorder="1" applyAlignment="1">
      <alignment horizontal="center" vertical="center" wrapText="1"/>
    </xf>
    <xf numFmtId="2" fontId="21" fillId="0" borderId="0" xfId="7" applyNumberFormat="1" applyFont="1" applyAlignment="1">
      <alignment horizontal="left" vertical="center" indent="1"/>
    </xf>
    <xf numFmtId="1" fontId="50" fillId="0" borderId="48" xfId="7" applyNumberFormat="1" applyFont="1" applyBorder="1" applyAlignment="1">
      <alignment horizontal="center" vertical="center"/>
    </xf>
    <xf numFmtId="2" fontId="51" fillId="0" borderId="50" xfId="7" applyNumberFormat="1" applyFont="1" applyBorder="1" applyAlignment="1">
      <alignment horizontal="center" vertical="center" wrapText="1"/>
    </xf>
    <xf numFmtId="0" fontId="21" fillId="0" borderId="0" xfId="7" applyFont="1" applyAlignment="1">
      <alignment horizontal="left" vertical="center" indent="1"/>
    </xf>
    <xf numFmtId="0" fontId="21" fillId="0" borderId="0" xfId="7" applyFont="1" applyAlignment="1">
      <alignment vertical="center"/>
    </xf>
    <xf numFmtId="166" fontId="21" fillId="0" borderId="0" xfId="3" applyNumberFormat="1" applyFont="1" applyAlignment="1">
      <alignment vertical="center"/>
    </xf>
    <xf numFmtId="0" fontId="32" fillId="0" borderId="0" xfId="7" applyFont="1" applyAlignment="1">
      <alignment vertical="center"/>
    </xf>
    <xf numFmtId="0" fontId="28" fillId="0" borderId="0" xfId="7" applyFont="1" applyAlignment="1">
      <alignment vertical="center"/>
    </xf>
    <xf numFmtId="166" fontId="28" fillId="0" borderId="0" xfId="3" applyNumberFormat="1" applyFont="1" applyBorder="1" applyAlignment="1">
      <alignment vertical="center"/>
    </xf>
    <xf numFmtId="0" fontId="21" fillId="0" borderId="0" xfId="7" applyFont="1" applyAlignment="1">
      <alignment horizontal="center" vertical="center"/>
    </xf>
    <xf numFmtId="0" fontId="50" fillId="0" borderId="0" xfId="7" applyFont="1" applyAlignment="1">
      <alignment vertical="center"/>
    </xf>
    <xf numFmtId="0" fontId="50" fillId="0" borderId="0" xfId="7" applyFont="1" applyAlignment="1">
      <alignment horizontal="center" vertical="center"/>
    </xf>
    <xf numFmtId="0" fontId="50" fillId="0" borderId="0" xfId="7" applyFont="1" applyAlignment="1">
      <alignment horizontal="left" vertical="center" indent="1"/>
    </xf>
    <xf numFmtId="166" fontId="50" fillId="0" borderId="0" xfId="3" applyNumberFormat="1" applyFont="1" applyAlignment="1">
      <alignment vertical="center"/>
    </xf>
    <xf numFmtId="0" fontId="21" fillId="0" borderId="0" xfId="7" applyFont="1" applyAlignment="1">
      <alignment horizontal="center" vertical="top"/>
    </xf>
    <xf numFmtId="0" fontId="21" fillId="0" borderId="0" xfId="7" applyFont="1" applyAlignment="1">
      <alignment horizontal="left" vertical="top"/>
    </xf>
    <xf numFmtId="0" fontId="21" fillId="0" borderId="0" xfId="7" applyFont="1" applyAlignment="1">
      <alignment vertical="top"/>
    </xf>
    <xf numFmtId="166" fontId="21" fillId="0" borderId="0" xfId="3" applyNumberFormat="1" applyFont="1" applyAlignment="1">
      <alignment vertical="top"/>
    </xf>
    <xf numFmtId="166" fontId="47" fillId="0" borderId="101" xfId="3" applyNumberFormat="1" applyFont="1" applyBorder="1" applyAlignment="1">
      <alignment horizontal="center" vertical="center" wrapText="1"/>
    </xf>
    <xf numFmtId="166" fontId="47" fillId="0" borderId="11" xfId="3" applyNumberFormat="1" applyFont="1" applyBorder="1" applyAlignment="1">
      <alignment horizontal="center" vertical="center" wrapText="1"/>
    </xf>
    <xf numFmtId="166" fontId="47" fillId="0" borderId="10" xfId="3" applyNumberFormat="1" applyFont="1" applyBorder="1" applyAlignment="1">
      <alignment horizontal="center" vertical="center" wrapText="1"/>
    </xf>
    <xf numFmtId="0" fontId="57" fillId="0" borderId="0" xfId="5" applyFont="1" applyAlignment="1">
      <alignment vertical="top"/>
    </xf>
    <xf numFmtId="0" fontId="27" fillId="0" borderId="0" xfId="2" applyFont="1" applyBorder="1" applyAlignment="1">
      <alignment horizontal="center" vertical="center"/>
    </xf>
    <xf numFmtId="0" fontId="27" fillId="0" borderId="37" xfId="2" applyFont="1" applyBorder="1" applyAlignment="1">
      <alignment horizontal="left" vertical="center" indent="2"/>
    </xf>
    <xf numFmtId="0" fontId="27" fillId="0" borderId="37" xfId="2" applyFont="1" applyBorder="1" applyAlignment="1">
      <alignment horizontal="center" vertical="center"/>
    </xf>
    <xf numFmtId="166" fontId="28" fillId="0" borderId="37" xfId="3" applyNumberFormat="1" applyFont="1" applyBorder="1" applyAlignment="1">
      <alignment vertical="center"/>
    </xf>
    <xf numFmtId="0" fontId="27" fillId="0" borderId="37" xfId="2" applyFont="1" applyBorder="1" applyAlignment="1">
      <alignment horizontal="left" indent="1"/>
    </xf>
    <xf numFmtId="0" fontId="27" fillId="0" borderId="13" xfId="2" applyFont="1" applyBorder="1" applyAlignment="1">
      <alignment horizontal="center" vertical="center"/>
    </xf>
    <xf numFmtId="0" fontId="27" fillId="0" borderId="0" xfId="2" applyFont="1" applyBorder="1" applyAlignment="1">
      <alignment horizontal="left" vertical="center" indent="5"/>
    </xf>
    <xf numFmtId="0" fontId="27" fillId="0" borderId="0" xfId="2" applyFont="1" applyBorder="1" applyAlignment="1">
      <alignment horizontal="left" indent="1"/>
    </xf>
    <xf numFmtId="0" fontId="27" fillId="0" borderId="0" xfId="2" applyFont="1" applyBorder="1" applyAlignment="1">
      <alignment horizontal="left" indent="3"/>
    </xf>
    <xf numFmtId="0" fontId="27" fillId="0" borderId="30" xfId="2" applyFont="1" applyBorder="1" applyAlignment="1">
      <alignment horizontal="center" vertical="center"/>
    </xf>
    <xf numFmtId="0" fontId="27" fillId="0" borderId="0" xfId="2" applyFont="1" applyBorder="1" applyAlignment="1">
      <alignment horizontal="left" vertical="center"/>
    </xf>
    <xf numFmtId="0" fontId="27" fillId="0" borderId="40" xfId="2" applyFont="1" applyBorder="1" applyAlignment="1">
      <alignment horizontal="left" vertical="center" indent="1"/>
    </xf>
    <xf numFmtId="0" fontId="27" fillId="0" borderId="40" xfId="2" applyFont="1" applyBorder="1" applyAlignment="1">
      <alignment horizontal="center" vertical="center"/>
    </xf>
    <xf numFmtId="0" fontId="27" fillId="0" borderId="23" xfId="2" applyFont="1" applyBorder="1" applyAlignment="1">
      <alignment horizontal="center" vertical="center"/>
    </xf>
    <xf numFmtId="49" fontId="21" fillId="0" borderId="69" xfId="2" applyNumberFormat="1" applyFont="1" applyBorder="1" applyAlignment="1">
      <alignment horizontal="center" vertical="center" wrapText="1"/>
    </xf>
    <xf numFmtId="49" fontId="21" fillId="0" borderId="52" xfId="2" applyNumberFormat="1" applyFont="1" applyBorder="1" applyAlignment="1">
      <alignment horizontal="center" vertical="center" wrapText="1"/>
    </xf>
    <xf numFmtId="49" fontId="21" fillId="0" borderId="73" xfId="2" applyNumberFormat="1" applyFont="1" applyBorder="1" applyAlignment="1">
      <alignment horizontal="center" vertical="center" wrapText="1"/>
    </xf>
    <xf numFmtId="49" fontId="21" fillId="0" borderId="51" xfId="2" applyNumberFormat="1" applyFont="1" applyBorder="1" applyAlignment="1">
      <alignment horizontal="center" vertical="center" wrapText="1"/>
    </xf>
    <xf numFmtId="49" fontId="21" fillId="0" borderId="53" xfId="2" applyNumberFormat="1" applyFont="1" applyBorder="1" applyAlignment="1">
      <alignment horizontal="center" vertical="center" wrapText="1"/>
    </xf>
    <xf numFmtId="49" fontId="21" fillId="0" borderId="20" xfId="2" applyNumberFormat="1" applyFont="1" applyBorder="1" applyAlignment="1">
      <alignment horizontal="center" vertical="center" wrapText="1"/>
    </xf>
    <xf numFmtId="0" fontId="20" fillId="0" borderId="71" xfId="2" applyFont="1" applyBorder="1" applyAlignment="1">
      <alignment horizontal="left" vertical="center"/>
    </xf>
    <xf numFmtId="0" fontId="20" fillId="0" borderId="70" xfId="2" applyFont="1" applyBorder="1" applyAlignment="1">
      <alignment horizontal="left" vertical="center"/>
    </xf>
    <xf numFmtId="0" fontId="20" fillId="0" borderId="96" xfId="2" applyFont="1" applyBorder="1" applyAlignment="1">
      <alignment horizontal="center" vertical="center"/>
    </xf>
    <xf numFmtId="0" fontId="33" fillId="0" borderId="78" xfId="2" applyFont="1" applyBorder="1" applyAlignment="1">
      <alignment horizontal="center" vertical="center"/>
    </xf>
    <xf numFmtId="0" fontId="20" fillId="0" borderId="83" xfId="2" applyFont="1" applyBorder="1" applyAlignment="1">
      <alignment horizontal="center" vertical="center"/>
    </xf>
    <xf numFmtId="0" fontId="20" fillId="0" borderId="49" xfId="2" applyFont="1" applyBorder="1" applyAlignment="1">
      <alignment horizontal="center" vertical="center"/>
    </xf>
    <xf numFmtId="9" fontId="20" fillId="0" borderId="55" xfId="2" applyNumberFormat="1" applyFont="1" applyBorder="1" applyAlignment="1">
      <alignment horizontal="center" vertical="center"/>
    </xf>
    <xf numFmtId="3" fontId="20" fillId="0" borderId="83" xfId="2" applyNumberFormat="1" applyFont="1" applyBorder="1" applyAlignment="1">
      <alignment horizontal="center" vertical="center"/>
    </xf>
    <xf numFmtId="165" fontId="20" fillId="0" borderId="66" xfId="3" applyFont="1" applyBorder="1" applyAlignment="1">
      <alignment horizontal="center" vertical="center"/>
    </xf>
    <xf numFmtId="0" fontId="20" fillId="0" borderId="48" xfId="2" applyFont="1" applyBorder="1" applyAlignment="1">
      <alignment horizontal="center" vertical="center" wrapText="1"/>
    </xf>
    <xf numFmtId="0" fontId="33" fillId="0" borderId="79" xfId="2" applyFont="1" applyBorder="1" applyAlignment="1">
      <alignment horizontal="center" vertical="center" wrapText="1"/>
    </xf>
    <xf numFmtId="0" fontId="20" fillId="0" borderId="84" xfId="2" applyFont="1" applyBorder="1" applyAlignment="1">
      <alignment horizontal="center" vertical="center"/>
    </xf>
    <xf numFmtId="0" fontId="20" fillId="0" borderId="48" xfId="2" applyFont="1" applyBorder="1" applyAlignment="1">
      <alignment horizontal="center" vertical="center"/>
    </xf>
    <xf numFmtId="9" fontId="20" fillId="0" borderId="56" xfId="2" applyNumberFormat="1" applyFont="1" applyBorder="1" applyAlignment="1">
      <alignment horizontal="center" vertical="center"/>
    </xf>
    <xf numFmtId="2" fontId="20" fillId="0" borderId="84" xfId="2" applyNumberFormat="1" applyFont="1" applyBorder="1" applyAlignment="1">
      <alignment horizontal="center" vertical="center"/>
    </xf>
    <xf numFmtId="0" fontId="20" fillId="0" borderId="72" xfId="2" applyFont="1" applyBorder="1" applyAlignment="1">
      <alignment horizontal="left" vertical="center"/>
    </xf>
    <xf numFmtId="0" fontId="20" fillId="0" borderId="100" xfId="2" applyFont="1" applyBorder="1" applyAlignment="1">
      <alignment horizontal="center" vertical="center" wrapText="1"/>
    </xf>
    <xf numFmtId="0" fontId="20" fillId="0" borderId="85" xfId="2" applyFont="1" applyBorder="1" applyAlignment="1">
      <alignment horizontal="center" vertical="center"/>
    </xf>
    <xf numFmtId="0" fontId="20" fillId="0" borderId="100" xfId="2" applyFont="1" applyBorder="1" applyAlignment="1">
      <alignment horizontal="center" vertical="center"/>
    </xf>
    <xf numFmtId="3" fontId="20" fillId="0" borderId="84" xfId="2" applyNumberFormat="1" applyFont="1" applyBorder="1" applyAlignment="1">
      <alignment horizontal="center" vertical="center"/>
    </xf>
    <xf numFmtId="4" fontId="57" fillId="0" borderId="89" xfId="2" applyNumberFormat="1" applyFont="1" applyBorder="1" applyAlignment="1">
      <alignment horizontal="center" vertical="center"/>
    </xf>
    <xf numFmtId="0" fontId="33" fillId="0" borderId="80" xfId="2" applyFont="1" applyBorder="1" applyAlignment="1">
      <alignment horizontal="center" vertical="center" wrapText="1"/>
    </xf>
    <xf numFmtId="9" fontId="20" fillId="0" borderId="65" xfId="2" applyNumberFormat="1" applyFont="1" applyBorder="1" applyAlignment="1">
      <alignment horizontal="center" vertical="center"/>
    </xf>
    <xf numFmtId="0" fontId="20" fillId="0" borderId="77" xfId="2" applyFont="1" applyBorder="1" applyAlignment="1">
      <alignment horizontal="center" vertical="center"/>
    </xf>
    <xf numFmtId="0" fontId="20" fillId="0" borderId="71" xfId="2" applyFont="1" applyBorder="1" applyAlignment="1">
      <alignment horizontal="center" vertical="center"/>
    </xf>
    <xf numFmtId="165" fontId="20" fillId="0" borderId="70" xfId="3" applyFont="1" applyBorder="1" applyAlignment="1">
      <alignment horizontal="center" vertical="center"/>
    </xf>
    <xf numFmtId="0" fontId="42" fillId="0" borderId="7" xfId="2" applyFont="1" applyBorder="1" applyAlignment="1">
      <alignment horizontal="center" vertical="center"/>
    </xf>
    <xf numFmtId="0" fontId="42" fillId="0" borderId="54" xfId="2" applyFont="1" applyBorder="1" applyAlignment="1">
      <alignment horizontal="center" vertical="center"/>
    </xf>
    <xf numFmtId="0" fontId="42" fillId="0" borderId="81" xfId="2" applyFont="1" applyBorder="1" applyAlignment="1">
      <alignment horizontal="center" vertical="center"/>
    </xf>
    <xf numFmtId="0" fontId="42" fillId="0" borderId="86" xfId="2" applyFont="1" applyBorder="1" applyAlignment="1">
      <alignment horizontal="center" vertical="center"/>
    </xf>
    <xf numFmtId="0" fontId="42" fillId="0" borderId="93" xfId="2" applyFont="1" applyBorder="1" applyAlignment="1">
      <alignment horizontal="center" vertical="center"/>
    </xf>
    <xf numFmtId="0" fontId="42" fillId="0" borderId="24" xfId="2" applyFont="1" applyBorder="1" applyAlignment="1">
      <alignment horizontal="center" vertical="center"/>
    </xf>
    <xf numFmtId="3" fontId="42" fillId="0" borderId="86" xfId="2" applyNumberFormat="1" applyFont="1" applyBorder="1" applyAlignment="1">
      <alignment horizontal="center" vertical="center"/>
    </xf>
    <xf numFmtId="165" fontId="42" fillId="0" borderId="81" xfId="2" applyNumberFormat="1" applyFont="1" applyBorder="1" applyAlignment="1">
      <alignment horizontal="center" vertical="center"/>
    </xf>
    <xf numFmtId="165" fontId="42" fillId="0" borderId="7" xfId="3" applyFont="1" applyBorder="1" applyAlignment="1">
      <alignment horizontal="center" vertical="center"/>
    </xf>
    <xf numFmtId="0" fontId="47" fillId="0" borderId="19" xfId="2" applyFont="1" applyBorder="1" applyAlignment="1">
      <alignment horizontal="center" vertical="center" wrapText="1"/>
    </xf>
    <xf numFmtId="0" fontId="47" fillId="0" borderId="16" xfId="2" applyFont="1" applyBorder="1" applyAlignment="1">
      <alignment horizontal="center" vertical="center" wrapText="1"/>
    </xf>
    <xf numFmtId="0" fontId="47" fillId="0" borderId="41" xfId="2" applyFont="1" applyBorder="1" applyAlignment="1">
      <alignment horizontal="center" vertical="center" wrapText="1"/>
    </xf>
    <xf numFmtId="0" fontId="20" fillId="0" borderId="0" xfId="7" applyFont="1" applyAlignment="1">
      <alignment horizontal="center" vertical="center"/>
    </xf>
    <xf numFmtId="0" fontId="20" fillId="0" borderId="0" xfId="7" applyFont="1" applyAlignment="1">
      <alignment horizontal="left" vertical="center" indent="1"/>
    </xf>
    <xf numFmtId="0" fontId="43" fillId="4" borderId="24" xfId="7" applyFont="1" applyFill="1" applyBorder="1" applyAlignment="1">
      <alignment horizontal="left" vertical="center"/>
    </xf>
    <xf numFmtId="0" fontId="28" fillId="4" borderId="24" xfId="2" applyFont="1" applyFill="1" applyBorder="1" applyAlignment="1">
      <alignment vertical="center"/>
    </xf>
    <xf numFmtId="166" fontId="28" fillId="4" borderId="24" xfId="3" applyNumberFormat="1" applyFont="1" applyFill="1" applyBorder="1" applyAlignment="1">
      <alignment vertical="center"/>
    </xf>
    <xf numFmtId="0" fontId="28" fillId="4" borderId="12" xfId="2" applyFont="1" applyFill="1" applyBorder="1" applyAlignment="1">
      <alignment vertical="center"/>
    </xf>
    <xf numFmtId="0" fontId="20" fillId="0" borderId="70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106" xfId="2" applyFont="1" applyBorder="1" applyAlignment="1">
      <alignment horizontal="center" vertical="center"/>
    </xf>
    <xf numFmtId="4" fontId="57" fillId="0" borderId="84" xfId="2" applyNumberFormat="1" applyFont="1" applyBorder="1" applyAlignment="1">
      <alignment horizontal="center" vertical="center"/>
    </xf>
    <xf numFmtId="2" fontId="57" fillId="0" borderId="84" xfId="2" applyNumberFormat="1" applyFont="1" applyFill="1" applyBorder="1" applyAlignment="1">
      <alignment horizontal="center" vertical="center"/>
    </xf>
    <xf numFmtId="165" fontId="58" fillId="0" borderId="71" xfId="2" applyNumberFormat="1" applyFont="1" applyBorder="1" applyAlignment="1">
      <alignment horizontal="center" vertical="center" wrapText="1"/>
    </xf>
    <xf numFmtId="0" fontId="58" fillId="0" borderId="71" xfId="2" applyFont="1" applyBorder="1" applyAlignment="1">
      <alignment horizontal="center" vertical="center"/>
    </xf>
    <xf numFmtId="0" fontId="58" fillId="0" borderId="71" xfId="2" applyFont="1" applyBorder="1" applyAlignment="1">
      <alignment horizontal="center" vertical="center" wrapText="1"/>
    </xf>
    <xf numFmtId="4" fontId="57" fillId="0" borderId="77" xfId="2" applyNumberFormat="1" applyFont="1" applyBorder="1" applyAlignment="1">
      <alignment horizontal="center" vertical="center"/>
    </xf>
    <xf numFmtId="165" fontId="42" fillId="0" borderId="86" xfId="3" applyFont="1" applyBorder="1" applyAlignment="1">
      <alignment horizontal="center" vertical="center"/>
    </xf>
    <xf numFmtId="0" fontId="27" fillId="0" borderId="47" xfId="2" applyFont="1" applyBorder="1" applyAlignment="1">
      <alignment horizontal="center" vertical="center"/>
    </xf>
    <xf numFmtId="0" fontId="27" fillId="0" borderId="42" xfId="2" applyFont="1" applyBorder="1" applyAlignment="1">
      <alignment horizontal="center" vertical="center"/>
    </xf>
    <xf numFmtId="0" fontId="27" fillId="0" borderId="98" xfId="2" applyFont="1" applyBorder="1" applyAlignment="1">
      <alignment horizontal="center" vertical="center"/>
    </xf>
    <xf numFmtId="0" fontId="25" fillId="0" borderId="0" xfId="2" applyFont="1" applyBorder="1" applyAlignment="1">
      <alignment horizontal="left" vertical="center" indent="5"/>
    </xf>
    <xf numFmtId="0" fontId="43" fillId="0" borderId="0" xfId="7" applyFont="1" applyAlignment="1">
      <alignment horizontal="center" vertical="center"/>
    </xf>
    <xf numFmtId="165" fontId="21" fillId="0" borderId="0" xfId="7" applyNumberFormat="1" applyFont="1" applyAlignment="1">
      <alignment horizontal="right" vertical="center"/>
    </xf>
    <xf numFmtId="165" fontId="50" fillId="0" borderId="0" xfId="7" applyNumberFormat="1" applyFont="1" applyAlignment="1">
      <alignment horizontal="right" vertical="center"/>
    </xf>
    <xf numFmtId="165" fontId="21" fillId="0" borderId="0" xfId="7" applyNumberFormat="1" applyFont="1" applyAlignment="1">
      <alignment horizontal="right" vertical="top"/>
    </xf>
    <xf numFmtId="49" fontId="21" fillId="0" borderId="47" xfId="2" applyNumberFormat="1" applyFont="1" applyBorder="1" applyAlignment="1">
      <alignment horizontal="center" vertical="center" wrapText="1"/>
    </xf>
    <xf numFmtId="0" fontId="21" fillId="0" borderId="105" xfId="2" applyFont="1" applyBorder="1" applyAlignment="1">
      <alignment horizontal="center" vertical="center"/>
    </xf>
    <xf numFmtId="0" fontId="21" fillId="0" borderId="84" xfId="2" applyFont="1" applyBorder="1" applyAlignment="1">
      <alignment horizontal="center" vertical="center"/>
    </xf>
    <xf numFmtId="0" fontId="21" fillId="0" borderId="19" xfId="2" applyFont="1" applyBorder="1" applyAlignment="1">
      <alignment horizontal="center" vertical="center"/>
    </xf>
    <xf numFmtId="49" fontId="42" fillId="0" borderId="88" xfId="3" applyNumberFormat="1" applyFont="1" applyBorder="1" applyAlignment="1">
      <alignment horizontal="center" vertical="center"/>
    </xf>
    <xf numFmtId="0" fontId="28" fillId="4" borderId="24" xfId="2" applyFont="1" applyFill="1" applyBorder="1" applyAlignment="1">
      <alignment horizontal="center" vertical="center"/>
    </xf>
    <xf numFmtId="0" fontId="69" fillId="0" borderId="0" xfId="7" applyFont="1" applyFill="1" applyBorder="1" applyAlignment="1">
      <alignment vertical="center"/>
    </xf>
    <xf numFmtId="0" fontId="50" fillId="0" borderId="0" xfId="7" applyFont="1" applyAlignment="1"/>
    <xf numFmtId="0" fontId="50" fillId="0" borderId="0" xfId="7" applyFont="1" applyAlignment="1">
      <alignment horizontal="left"/>
    </xf>
    <xf numFmtId="0" fontId="43" fillId="0" borderId="0" xfId="7" applyFont="1" applyAlignment="1">
      <alignment horizontal="left"/>
    </xf>
    <xf numFmtId="166" fontId="50" fillId="0" borderId="0" xfId="3" applyNumberFormat="1" applyFont="1" applyAlignment="1"/>
    <xf numFmtId="165" fontId="50" fillId="0" borderId="0" xfId="7" applyNumberFormat="1" applyFont="1" applyAlignment="1">
      <alignment horizontal="right"/>
    </xf>
    <xf numFmtId="166" fontId="43" fillId="0" borderId="0" xfId="3" applyNumberFormat="1" applyFont="1" applyAlignment="1"/>
    <xf numFmtId="0" fontId="56" fillId="0" borderId="0" xfId="5" applyFont="1" applyAlignment="1"/>
    <xf numFmtId="165" fontId="20" fillId="0" borderId="49" xfId="2" applyNumberFormat="1" applyFont="1" applyBorder="1" applyAlignment="1">
      <alignment horizontal="center" vertical="center"/>
    </xf>
    <xf numFmtId="166" fontId="20" fillId="0" borderId="48" xfId="3" applyNumberFormat="1" applyFont="1" applyBorder="1" applyAlignment="1">
      <alignment horizontal="center" vertical="center"/>
    </xf>
    <xf numFmtId="3" fontId="33" fillId="0" borderId="79" xfId="2" applyNumberFormat="1" applyFont="1" applyBorder="1" applyAlignment="1">
      <alignment horizontal="center" vertical="center" wrapText="1"/>
    </xf>
    <xf numFmtId="1" fontId="20" fillId="0" borderId="48" xfId="2" applyNumberFormat="1" applyFont="1" applyBorder="1" applyAlignment="1">
      <alignment horizontal="center" vertical="center" wrapText="1"/>
    </xf>
    <xf numFmtId="166" fontId="20" fillId="0" borderId="84" xfId="2" applyNumberFormat="1" applyFont="1" applyBorder="1" applyAlignment="1">
      <alignment horizontal="center" vertical="center"/>
    </xf>
    <xf numFmtId="165" fontId="20" fillId="0" borderId="78" xfId="2" applyNumberFormat="1" applyFont="1" applyBorder="1" applyAlignment="1">
      <alignment horizontal="center" vertical="center"/>
    </xf>
    <xf numFmtId="165" fontId="20" fillId="0" borderId="78" xfId="3" applyNumberFormat="1" applyFont="1" applyBorder="1" applyAlignment="1">
      <alignment horizontal="center" vertical="center"/>
    </xf>
    <xf numFmtId="165" fontId="20" fillId="0" borderId="79" xfId="3" applyNumberFormat="1" applyFont="1" applyBorder="1" applyAlignment="1">
      <alignment horizontal="center" vertical="center"/>
    </xf>
    <xf numFmtId="165" fontId="20" fillId="0" borderId="80" xfId="2" applyNumberFormat="1" applyFont="1" applyBorder="1" applyAlignment="1">
      <alignment horizontal="center" vertical="center"/>
    </xf>
    <xf numFmtId="165" fontId="20" fillId="0" borderId="79" xfId="2" applyNumberFormat="1" applyFont="1" applyBorder="1" applyAlignment="1">
      <alignment horizontal="center" vertical="center"/>
    </xf>
    <xf numFmtId="165" fontId="20" fillId="0" borderId="80" xfId="3" applyNumberFormat="1" applyFont="1" applyBorder="1" applyAlignment="1">
      <alignment horizontal="center" vertical="center"/>
    </xf>
    <xf numFmtId="166" fontId="20" fillId="0" borderId="49" xfId="3" applyNumberFormat="1" applyFont="1" applyBorder="1" applyAlignment="1">
      <alignment horizontal="center" vertical="center"/>
    </xf>
    <xf numFmtId="0" fontId="39" fillId="0" borderId="0" xfId="7"/>
    <xf numFmtId="0" fontId="21" fillId="0" borderId="0" xfId="7" applyFont="1" applyAlignment="1">
      <alignment horizontal="left" vertical="center" indent="1"/>
    </xf>
    <xf numFmtId="0" fontId="21" fillId="0" borderId="0" xfId="7" applyFont="1" applyAlignment="1">
      <alignment vertical="center"/>
    </xf>
    <xf numFmtId="166" fontId="21" fillId="0" borderId="0" xfId="3" applyNumberFormat="1" applyFont="1" applyAlignment="1">
      <alignment vertical="center"/>
    </xf>
    <xf numFmtId="165" fontId="25" fillId="0" borderId="0" xfId="3" applyFont="1" applyBorder="1" applyAlignment="1">
      <alignment horizontal="center" vertical="center"/>
    </xf>
    <xf numFmtId="165" fontId="23" fillId="0" borderId="37" xfId="3" applyFont="1" applyBorder="1" applyAlignment="1">
      <alignment horizontal="center" vertical="center"/>
    </xf>
    <xf numFmtId="165" fontId="23" fillId="0" borderId="13" xfId="3" applyFont="1" applyBorder="1" applyAlignment="1">
      <alignment horizontal="center" vertical="center"/>
    </xf>
    <xf numFmtId="165" fontId="23" fillId="0" borderId="0" xfId="3" applyFont="1" applyBorder="1" applyAlignment="1">
      <alignment horizontal="left" indent="3"/>
    </xf>
    <xf numFmtId="165" fontId="23" fillId="0" borderId="0" xfId="3" applyFont="1" applyBorder="1" applyAlignment="1">
      <alignment horizontal="center" vertical="center"/>
    </xf>
    <xf numFmtId="165" fontId="23" fillId="0" borderId="30" xfId="3" applyFont="1" applyBorder="1" applyAlignment="1">
      <alignment horizontal="center" vertical="center"/>
    </xf>
    <xf numFmtId="165" fontId="21" fillId="0" borderId="0" xfId="3" applyFont="1" applyBorder="1" applyAlignment="1">
      <alignment vertical="center"/>
    </xf>
    <xf numFmtId="165" fontId="23" fillId="0" borderId="0" xfId="3" applyFont="1" applyBorder="1" applyAlignment="1">
      <alignment horizontal="left" vertical="center"/>
    </xf>
    <xf numFmtId="165" fontId="23" fillId="0" borderId="40" xfId="3" applyFont="1" applyBorder="1" applyAlignment="1">
      <alignment horizontal="center" vertical="center"/>
    </xf>
    <xf numFmtId="165" fontId="23" fillId="0" borderId="23" xfId="3" applyFont="1" applyBorder="1" applyAlignment="1">
      <alignment horizontal="center" vertical="center"/>
    </xf>
    <xf numFmtId="165" fontId="25" fillId="0" borderId="9" xfId="3" applyFont="1" applyBorder="1" applyAlignment="1">
      <alignment horizontal="left" vertical="center" indent="2"/>
    </xf>
    <xf numFmtId="165" fontId="21" fillId="0" borderId="47" xfId="3" applyFont="1" applyBorder="1" applyAlignment="1">
      <alignment vertical="center"/>
    </xf>
    <xf numFmtId="165" fontId="23" fillId="0" borderId="3" xfId="3" applyFont="1" applyBorder="1" applyAlignment="1">
      <alignment horizontal="left" indent="1"/>
    </xf>
    <xf numFmtId="165" fontId="25" fillId="0" borderId="2" xfId="3" applyFont="1" applyBorder="1" applyAlignment="1">
      <alignment horizontal="left" vertical="center" indent="5"/>
    </xf>
    <xf numFmtId="165" fontId="23" fillId="0" borderId="42" xfId="3" applyFont="1" applyBorder="1" applyAlignment="1">
      <alignment horizontal="center" vertical="center"/>
    </xf>
    <xf numFmtId="165" fontId="23" fillId="0" borderId="5" xfId="3" applyFont="1" applyBorder="1" applyAlignment="1">
      <alignment horizontal="left" indent="1"/>
    </xf>
    <xf numFmtId="165" fontId="27" fillId="0" borderId="2" xfId="3" applyFont="1" applyBorder="1" applyAlignment="1">
      <alignment horizontal="left" vertical="center" indent="5"/>
    </xf>
    <xf numFmtId="165" fontId="27" fillId="0" borderId="14" xfId="3" applyFont="1" applyBorder="1" applyAlignment="1">
      <alignment horizontal="left" vertical="center" indent="1"/>
    </xf>
    <xf numFmtId="165" fontId="23" fillId="0" borderId="98" xfId="3" applyFont="1" applyBorder="1" applyAlignment="1">
      <alignment horizontal="center" vertical="center"/>
    </xf>
    <xf numFmtId="165" fontId="23" fillId="0" borderId="99" xfId="3" applyFont="1" applyBorder="1" applyAlignment="1">
      <alignment horizontal="center" vertical="center"/>
    </xf>
    <xf numFmtId="165" fontId="25" fillId="0" borderId="86" xfId="3" applyFont="1" applyBorder="1" applyAlignment="1">
      <alignment horizontal="center" vertical="center"/>
    </xf>
    <xf numFmtId="165" fontId="26" fillId="0" borderId="0" xfId="3" applyFont="1" applyAlignment="1">
      <alignment vertical="center"/>
    </xf>
    <xf numFmtId="165" fontId="22" fillId="0" borderId="0" xfId="3" applyFont="1" applyAlignment="1">
      <alignment vertical="center"/>
    </xf>
    <xf numFmtId="0" fontId="32" fillId="0" borderId="0" xfId="7" applyFont="1" applyAlignment="1">
      <alignment vertical="center"/>
    </xf>
    <xf numFmtId="0" fontId="28" fillId="0" borderId="0" xfId="7" applyFont="1" applyAlignment="1">
      <alignment vertical="center"/>
    </xf>
    <xf numFmtId="165" fontId="23" fillId="0" borderId="5" xfId="3" applyFont="1" applyBorder="1" applyAlignment="1">
      <alignment horizontal="left" vertical="center" indent="6"/>
    </xf>
    <xf numFmtId="0" fontId="21" fillId="0" borderId="0" xfId="7" applyFont="1" applyAlignment="1">
      <alignment horizontal="center" vertical="center"/>
    </xf>
    <xf numFmtId="0" fontId="50" fillId="0" borderId="0" xfId="7" applyFont="1" applyAlignment="1">
      <alignment vertical="center"/>
    </xf>
    <xf numFmtId="0" fontId="50" fillId="0" borderId="0" xfId="7" applyFont="1" applyAlignment="1">
      <alignment horizontal="center" vertical="center"/>
    </xf>
    <xf numFmtId="0" fontId="50" fillId="0" borderId="0" xfId="7" applyFont="1" applyAlignment="1">
      <alignment horizontal="left" vertical="center" indent="1"/>
    </xf>
    <xf numFmtId="166" fontId="50" fillId="0" borderId="0" xfId="3" applyNumberFormat="1" applyFont="1" applyAlignment="1">
      <alignment vertical="center"/>
    </xf>
    <xf numFmtId="0" fontId="50" fillId="0" borderId="0" xfId="7" applyFont="1" applyBorder="1" applyAlignment="1">
      <alignment vertical="center"/>
    </xf>
    <xf numFmtId="0" fontId="21" fillId="0" borderId="0" xfId="7" applyFont="1" applyAlignment="1">
      <alignment horizontal="center" vertical="top"/>
    </xf>
    <xf numFmtId="0" fontId="21" fillId="0" borderId="0" xfId="7" applyFont="1" applyAlignment="1">
      <alignment horizontal="left" vertical="top"/>
    </xf>
    <xf numFmtId="0" fontId="21" fillId="0" borderId="0" xfId="7" applyFont="1" applyAlignment="1">
      <alignment vertical="top"/>
    </xf>
    <xf numFmtId="166" fontId="21" fillId="0" borderId="0" xfId="3" applyNumberFormat="1" applyFont="1" applyAlignment="1">
      <alignment vertical="top"/>
    </xf>
    <xf numFmtId="0" fontId="21" fillId="0" borderId="0" xfId="7" applyFont="1" applyBorder="1" applyAlignment="1">
      <alignment vertical="top"/>
    </xf>
    <xf numFmtId="0" fontId="57" fillId="0" borderId="0" xfId="5" applyFont="1" applyAlignment="1">
      <alignment vertical="top"/>
    </xf>
    <xf numFmtId="0" fontId="20" fillId="0" borderId="0" xfId="7" applyFont="1" applyAlignment="1">
      <alignment horizontal="center" vertical="center"/>
    </xf>
    <xf numFmtId="165" fontId="22" fillId="0" borderId="16" xfId="3" applyFont="1" applyBorder="1" applyAlignment="1">
      <alignment horizontal="center" vertical="center" wrapText="1"/>
    </xf>
    <xf numFmtId="165" fontId="22" fillId="0" borderId="10" xfId="3" applyFont="1" applyBorder="1" applyAlignment="1">
      <alignment horizontal="center" vertical="center" wrapText="1"/>
    </xf>
    <xf numFmtId="165" fontId="62" fillId="0" borderId="48" xfId="3" applyFont="1" applyBorder="1" applyAlignment="1">
      <alignment vertical="center"/>
    </xf>
    <xf numFmtId="165" fontId="63" fillId="0" borderId="48" xfId="3" applyFont="1" applyBorder="1" applyAlignment="1">
      <alignment horizontal="center" vertical="center" wrapText="1"/>
    </xf>
    <xf numFmtId="165" fontId="63" fillId="0" borderId="48" xfId="3" applyFont="1" applyBorder="1" applyAlignment="1">
      <alignment vertical="center"/>
    </xf>
    <xf numFmtId="165" fontId="68" fillId="0" borderId="48" xfId="3" applyFont="1" applyBorder="1" applyAlignment="1">
      <alignment vertical="center"/>
    </xf>
    <xf numFmtId="0" fontId="43" fillId="0" borderId="0" xfId="7" applyFont="1" applyAlignment="1">
      <alignment horizontal="center" vertical="center"/>
    </xf>
    <xf numFmtId="165" fontId="21" fillId="0" borderId="0" xfId="7" applyNumberFormat="1" applyFont="1" applyAlignment="1">
      <alignment horizontal="right" vertical="center"/>
    </xf>
    <xf numFmtId="165" fontId="50" fillId="0" borderId="0" xfId="7" applyNumberFormat="1" applyFont="1" applyAlignment="1">
      <alignment horizontal="right" vertical="center"/>
    </xf>
    <xf numFmtId="165" fontId="21" fillId="0" borderId="0" xfId="7" applyNumberFormat="1" applyFont="1" applyAlignment="1">
      <alignment horizontal="right" vertical="top"/>
    </xf>
    <xf numFmtId="0" fontId="69" fillId="0" borderId="0" xfId="7" applyFont="1" applyFill="1" applyBorder="1" applyAlignment="1">
      <alignment vertical="center"/>
    </xf>
    <xf numFmtId="0" fontId="50" fillId="0" borderId="0" xfId="7" applyFont="1" applyAlignment="1">
      <alignment horizontal="center"/>
    </xf>
    <xf numFmtId="0" fontId="50" fillId="0" borderId="0" xfId="7" applyFont="1" applyAlignment="1"/>
    <xf numFmtId="0" fontId="50" fillId="0" borderId="0" xfId="7" applyFont="1" applyAlignment="1">
      <alignment horizontal="left"/>
    </xf>
    <xf numFmtId="0" fontId="43" fillId="0" borderId="0" xfId="7" applyFont="1" applyAlignment="1">
      <alignment horizontal="left"/>
    </xf>
    <xf numFmtId="166" fontId="50" fillId="0" borderId="0" xfId="3" applyNumberFormat="1" applyFont="1" applyAlignment="1"/>
    <xf numFmtId="165" fontId="50" fillId="0" borderId="0" xfId="7" applyNumberFormat="1" applyFont="1" applyAlignment="1">
      <alignment horizontal="right"/>
    </xf>
    <xf numFmtId="166" fontId="43" fillId="0" borderId="0" xfId="3" applyNumberFormat="1" applyFont="1" applyAlignment="1"/>
    <xf numFmtId="0" fontId="50" fillId="0" borderId="0" xfId="7" applyFont="1" applyBorder="1" applyAlignment="1"/>
    <xf numFmtId="0" fontId="56" fillId="0" borderId="0" xfId="5" applyFont="1" applyAlignment="1"/>
    <xf numFmtId="165" fontId="29" fillId="0" borderId="48" xfId="3" applyFont="1" applyBorder="1" applyAlignment="1">
      <alignment vertical="center"/>
    </xf>
    <xf numFmtId="9" fontId="29" fillId="0" borderId="48" xfId="3" applyNumberFormat="1" applyFont="1" applyBorder="1" applyAlignment="1">
      <alignment vertical="center"/>
    </xf>
    <xf numFmtId="165" fontId="23" fillId="0" borderId="54" xfId="3" applyFont="1" applyBorder="1" applyAlignment="1">
      <alignment horizontal="center" vertical="center"/>
    </xf>
    <xf numFmtId="165" fontId="24" fillId="0" borderId="93" xfId="3" applyFont="1" applyBorder="1" applyAlignment="1">
      <alignment vertical="center"/>
    </xf>
    <xf numFmtId="165" fontId="25" fillId="3" borderId="0" xfId="3" applyFont="1" applyFill="1" applyBorder="1" applyAlignment="1">
      <alignment horizontal="center" vertical="center"/>
    </xf>
    <xf numFmtId="165" fontId="23" fillId="3" borderId="37" xfId="3" applyFont="1" applyFill="1" applyBorder="1" applyAlignment="1">
      <alignment horizontal="center" vertical="center"/>
    </xf>
    <xf numFmtId="165" fontId="23" fillId="3" borderId="0" xfId="3" applyFont="1" applyFill="1" applyBorder="1" applyAlignment="1">
      <alignment horizontal="center" vertical="center"/>
    </xf>
    <xf numFmtId="165" fontId="23" fillId="3" borderId="40" xfId="3" applyFont="1" applyFill="1" applyBorder="1" applyAlignment="1">
      <alignment horizontal="center" vertical="center"/>
    </xf>
    <xf numFmtId="165" fontId="22" fillId="3" borderId="16" xfId="3" applyFont="1" applyFill="1" applyBorder="1" applyAlignment="1">
      <alignment horizontal="center" vertical="center" wrapText="1"/>
    </xf>
    <xf numFmtId="165" fontId="29" fillId="3" borderId="48" xfId="3" applyFont="1" applyFill="1" applyBorder="1" applyAlignment="1">
      <alignment vertical="center"/>
    </xf>
    <xf numFmtId="165" fontId="29" fillId="3" borderId="48" xfId="3" applyFont="1" applyFill="1" applyBorder="1" applyAlignment="1">
      <alignment horizontal="left" vertical="center" indent="2"/>
    </xf>
    <xf numFmtId="165" fontId="23" fillId="3" borderId="54" xfId="3" applyFont="1" applyFill="1" applyBorder="1" applyAlignment="1">
      <alignment horizontal="center" vertical="center"/>
    </xf>
    <xf numFmtId="165" fontId="21" fillId="3" borderId="0" xfId="3" applyFont="1" applyFill="1" applyAlignment="1">
      <alignment vertical="center"/>
    </xf>
    <xf numFmtId="165" fontId="25" fillId="0" borderId="0" xfId="3" applyFont="1" applyFill="1" applyBorder="1" applyAlignment="1">
      <alignment horizontal="center" vertical="center"/>
    </xf>
    <xf numFmtId="165" fontId="23" fillId="0" borderId="37" xfId="3" applyFont="1" applyFill="1" applyBorder="1" applyAlignment="1">
      <alignment horizontal="center" vertical="center"/>
    </xf>
    <xf numFmtId="165" fontId="23" fillId="0" borderId="0" xfId="3" applyFont="1" applyFill="1" applyBorder="1" applyAlignment="1">
      <alignment horizontal="center" vertical="center"/>
    </xf>
    <xf numFmtId="165" fontId="23" fillId="0" borderId="40" xfId="3" applyFont="1" applyFill="1" applyBorder="1" applyAlignment="1">
      <alignment horizontal="center" vertical="center"/>
    </xf>
    <xf numFmtId="165" fontId="22" fillId="0" borderId="16" xfId="3" applyFont="1" applyFill="1" applyBorder="1" applyAlignment="1">
      <alignment horizontal="center" vertical="center" wrapText="1"/>
    </xf>
    <xf numFmtId="165" fontId="29" fillId="0" borderId="48" xfId="3" applyFont="1" applyFill="1" applyBorder="1" applyAlignment="1">
      <alignment vertical="center"/>
    </xf>
    <xf numFmtId="165" fontId="23" fillId="0" borderId="54" xfId="3" applyFont="1" applyFill="1" applyBorder="1" applyAlignment="1">
      <alignment horizontal="center" vertical="center"/>
    </xf>
    <xf numFmtId="165" fontId="25" fillId="0" borderId="0" xfId="3" applyFont="1" applyBorder="1" applyAlignment="1">
      <alignment horizontal="center" vertical="center" wrapText="1"/>
    </xf>
    <xf numFmtId="165" fontId="23" fillId="0" borderId="37" xfId="3" applyFont="1" applyBorder="1" applyAlignment="1">
      <alignment horizontal="left" vertical="center" wrapText="1"/>
    </xf>
    <xf numFmtId="165" fontId="23" fillId="0" borderId="0" xfId="3" applyFont="1" applyBorder="1" applyAlignment="1">
      <alignment horizontal="left" vertical="center" wrapText="1"/>
    </xf>
    <xf numFmtId="165" fontId="23" fillId="0" borderId="40" xfId="3" applyFont="1" applyBorder="1" applyAlignment="1">
      <alignment horizontal="left" vertical="center" wrapText="1"/>
    </xf>
    <xf numFmtId="165" fontId="23" fillId="0" borderId="54" xfId="3" applyFont="1" applyBorder="1" applyAlignment="1">
      <alignment horizontal="left" vertical="center" wrapText="1"/>
    </xf>
    <xf numFmtId="165" fontId="26" fillId="0" borderId="0" xfId="3" applyFont="1" applyAlignment="1">
      <alignment vertical="center" wrapText="1"/>
    </xf>
    <xf numFmtId="165" fontId="22" fillId="0" borderId="0" xfId="3" applyFont="1" applyAlignment="1">
      <alignment vertical="center" wrapText="1"/>
    </xf>
    <xf numFmtId="165" fontId="67" fillId="0" borderId="48" xfId="3" applyFont="1" applyBorder="1" applyAlignment="1">
      <alignment vertical="center"/>
    </xf>
    <xf numFmtId="49" fontId="24" fillId="0" borderId="122" xfId="11" applyNumberFormat="1" applyFont="1" applyBorder="1" applyAlignment="1">
      <alignment horizontal="center" vertical="center"/>
    </xf>
    <xf numFmtId="49" fontId="24" fillId="0" borderId="122" xfId="11" applyNumberFormat="1" applyFont="1" applyBorder="1" applyAlignment="1">
      <alignment horizontal="center" vertical="center" wrapText="1"/>
    </xf>
    <xf numFmtId="49" fontId="24" fillId="3" borderId="122" xfId="11" applyNumberFormat="1" applyFont="1" applyFill="1" applyBorder="1" applyAlignment="1">
      <alignment horizontal="center" vertical="center"/>
    </xf>
    <xf numFmtId="49" fontId="24" fillId="0" borderId="122" xfId="11" applyNumberFormat="1" applyFont="1" applyFill="1" applyBorder="1" applyAlignment="1">
      <alignment horizontal="center" vertical="center"/>
    </xf>
    <xf numFmtId="49" fontId="21" fillId="0" borderId="122" xfId="11" applyNumberFormat="1" applyFont="1" applyFill="1" applyBorder="1" applyAlignment="1">
      <alignment horizontal="center" vertical="center"/>
    </xf>
    <xf numFmtId="49" fontId="21" fillId="0" borderId="122" xfId="11" applyNumberFormat="1" applyFont="1" applyBorder="1" applyAlignment="1">
      <alignment horizontal="center" vertical="center"/>
    </xf>
    <xf numFmtId="49" fontId="21" fillId="0" borderId="122" xfId="11" applyNumberFormat="1" applyFont="1" applyBorder="1" applyAlignment="1">
      <alignment horizontal="center" vertical="center" wrapText="1"/>
    </xf>
    <xf numFmtId="165" fontId="21" fillId="0" borderId="122" xfId="3" applyFont="1" applyBorder="1" applyAlignment="1">
      <alignment horizontal="center" vertical="center"/>
    </xf>
    <xf numFmtId="165" fontId="21" fillId="0" borderId="122" xfId="3" applyFont="1" applyBorder="1" applyAlignment="1">
      <alignment horizontal="center" vertical="center" wrapText="1"/>
    </xf>
    <xf numFmtId="165" fontId="24" fillId="0" borderId="122" xfId="3" applyFont="1" applyBorder="1" applyAlignment="1">
      <alignment horizontal="center" vertical="center"/>
    </xf>
    <xf numFmtId="165" fontId="60" fillId="0" borderId="48" xfId="3" applyFont="1" applyBorder="1" applyAlignment="1">
      <alignment horizontal="center" vertical="center" wrapText="1"/>
    </xf>
    <xf numFmtId="166" fontId="61" fillId="0" borderId="48" xfId="3" applyNumberFormat="1" applyFont="1" applyBorder="1" applyAlignment="1">
      <alignment vertical="center"/>
    </xf>
    <xf numFmtId="165" fontId="61" fillId="0" borderId="48" xfId="3" applyFont="1" applyBorder="1" applyAlignment="1">
      <alignment vertical="center"/>
    </xf>
    <xf numFmtId="0" fontId="61" fillId="0" borderId="48" xfId="3" applyNumberFormat="1" applyFont="1" applyBorder="1" applyAlignment="1">
      <alignment vertical="center"/>
    </xf>
    <xf numFmtId="165" fontId="63" fillId="0" borderId="48" xfId="3" applyNumberFormat="1" applyFont="1" applyBorder="1" applyAlignment="1">
      <alignment vertical="center"/>
    </xf>
    <xf numFmtId="166" fontId="63" fillId="0" borderId="48" xfId="3" applyNumberFormat="1" applyFont="1" applyBorder="1" applyAlignment="1">
      <alignment vertical="center"/>
    </xf>
    <xf numFmtId="165" fontId="66" fillId="0" borderId="48" xfId="3" applyFont="1" applyBorder="1" applyAlignment="1">
      <alignment vertical="center" wrapText="1"/>
    </xf>
    <xf numFmtId="165" fontId="61" fillId="0" borderId="48" xfId="3" applyFont="1" applyBorder="1" applyAlignment="1">
      <alignment horizontal="center" vertical="center" wrapText="1"/>
    </xf>
    <xf numFmtId="165" fontId="61" fillId="0" borderId="48" xfId="3" applyFont="1" applyBorder="1" applyAlignment="1">
      <alignment vertical="center" wrapText="1"/>
    </xf>
    <xf numFmtId="165" fontId="64" fillId="0" borderId="48" xfId="3" applyFont="1" applyBorder="1" applyAlignment="1">
      <alignment vertical="center"/>
    </xf>
    <xf numFmtId="165" fontId="29" fillId="0" borderId="48" xfId="3" applyFont="1" applyBorder="1" applyAlignment="1">
      <alignment vertical="center" wrapText="1"/>
    </xf>
    <xf numFmtId="165" fontId="29" fillId="3" borderId="48" xfId="3" applyFont="1" applyFill="1" applyBorder="1" applyAlignment="1">
      <alignment horizontal="center" vertical="center"/>
    </xf>
    <xf numFmtId="165" fontId="24" fillId="3" borderId="48" xfId="3" applyFont="1" applyFill="1" applyBorder="1" applyAlignment="1">
      <alignment horizontal="center" vertical="center"/>
    </xf>
    <xf numFmtId="165" fontId="26" fillId="3" borderId="0" xfId="3" applyFont="1" applyFill="1" applyAlignment="1">
      <alignment horizontal="center" vertical="center"/>
    </xf>
    <xf numFmtId="165" fontId="22" fillId="3" borderId="0" xfId="3" applyFont="1" applyFill="1" applyAlignment="1">
      <alignment horizontal="center" vertical="center"/>
    </xf>
    <xf numFmtId="165" fontId="60" fillId="3" borderId="48" xfId="3" applyFont="1" applyFill="1" applyBorder="1" applyAlignment="1">
      <alignment horizontal="center" vertical="center" wrapText="1"/>
    </xf>
    <xf numFmtId="165" fontId="60" fillId="3" borderId="48" xfId="3" applyFont="1" applyFill="1" applyBorder="1" applyAlignment="1">
      <alignment horizontal="center" vertical="center"/>
    </xf>
    <xf numFmtId="9" fontId="61" fillId="0" borderId="48" xfId="3" applyNumberFormat="1" applyFont="1" applyBorder="1" applyAlignment="1">
      <alignment horizontal="center" vertical="center"/>
    </xf>
    <xf numFmtId="0" fontId="61" fillId="0" borderId="48" xfId="3" applyNumberFormat="1" applyFont="1" applyBorder="1" applyAlignment="1">
      <alignment horizontal="center" vertical="center"/>
    </xf>
    <xf numFmtId="166" fontId="61" fillId="0" borderId="48" xfId="3" applyNumberFormat="1" applyFont="1" applyBorder="1" applyAlignment="1">
      <alignment horizontal="center" vertical="center"/>
    </xf>
    <xf numFmtId="166" fontId="63" fillId="0" borderId="48" xfId="3" applyNumberFormat="1" applyFont="1" applyBorder="1" applyAlignment="1">
      <alignment horizontal="center" vertical="center"/>
    </xf>
    <xf numFmtId="0" fontId="63" fillId="0" borderId="48" xfId="3" applyNumberFormat="1" applyFont="1" applyBorder="1" applyAlignment="1">
      <alignment horizontal="center" vertical="center"/>
    </xf>
    <xf numFmtId="165" fontId="61" fillId="0" borderId="48" xfId="3" applyFont="1" applyBorder="1" applyAlignment="1">
      <alignment horizontal="center" vertical="center"/>
    </xf>
    <xf numFmtId="165" fontId="63" fillId="0" borderId="48" xfId="3" applyFont="1" applyBorder="1" applyAlignment="1">
      <alignment horizontal="center" vertical="center"/>
    </xf>
    <xf numFmtId="0" fontId="61" fillId="0" borderId="48" xfId="3" applyNumberFormat="1" applyFont="1" applyBorder="1" applyAlignment="1">
      <alignment horizontal="center" vertical="center" wrapText="1"/>
    </xf>
    <xf numFmtId="0" fontId="63" fillId="0" borderId="48" xfId="3" applyNumberFormat="1" applyFont="1" applyBorder="1" applyAlignment="1">
      <alignment horizontal="center" vertical="center" wrapText="1"/>
    </xf>
    <xf numFmtId="1" fontId="61" fillId="0" borderId="48" xfId="3" applyNumberFormat="1" applyFont="1" applyBorder="1" applyAlignment="1">
      <alignment horizontal="center" vertical="center"/>
    </xf>
    <xf numFmtId="1" fontId="61" fillId="0" borderId="48" xfId="3" applyNumberFormat="1" applyFont="1" applyBorder="1" applyAlignment="1">
      <alignment horizontal="center" vertical="center" wrapText="1"/>
    </xf>
    <xf numFmtId="1" fontId="63" fillId="0" borderId="48" xfId="3" applyNumberFormat="1" applyFont="1" applyBorder="1" applyAlignment="1">
      <alignment horizontal="center" vertical="center" wrapText="1"/>
    </xf>
    <xf numFmtId="1" fontId="63" fillId="0" borderId="48" xfId="3" applyNumberFormat="1" applyFont="1" applyBorder="1" applyAlignment="1">
      <alignment horizontal="center" vertical="center"/>
    </xf>
    <xf numFmtId="165" fontId="63" fillId="0" borderId="48" xfId="3" applyNumberFormat="1" applyFont="1" applyBorder="1" applyAlignment="1">
      <alignment horizontal="center" vertical="center" wrapText="1"/>
    </xf>
    <xf numFmtId="165" fontId="63" fillId="0" borderId="48" xfId="3" applyNumberFormat="1" applyFont="1" applyBorder="1" applyAlignment="1">
      <alignment horizontal="center" vertical="center"/>
    </xf>
    <xf numFmtId="166" fontId="62" fillId="0" borderId="48" xfId="3" applyNumberFormat="1" applyFont="1" applyBorder="1" applyAlignment="1">
      <alignment vertical="center"/>
    </xf>
    <xf numFmtId="165" fontId="60" fillId="0" borderId="48" xfId="3" applyNumberFormat="1" applyFont="1" applyBorder="1" applyAlignment="1">
      <alignment horizontal="center" vertical="center"/>
    </xf>
    <xf numFmtId="0" fontId="29" fillId="3" borderId="48" xfId="3" applyNumberFormat="1" applyFont="1" applyFill="1" applyBorder="1" applyAlignment="1">
      <alignment horizontal="center" vertical="center"/>
    </xf>
    <xf numFmtId="165" fontId="73" fillId="0" borderId="2" xfId="3" applyFont="1" applyBorder="1" applyAlignment="1">
      <alignment horizontal="left" vertical="center" indent="5"/>
    </xf>
    <xf numFmtId="0" fontId="0" fillId="0" borderId="0" xfId="0"/>
    <xf numFmtId="0" fontId="0" fillId="0" borderId="29" xfId="0" applyBorder="1"/>
    <xf numFmtId="0" fontId="75" fillId="0" borderId="0" xfId="12" applyFont="1" applyAlignment="1"/>
    <xf numFmtId="165" fontId="25" fillId="0" borderId="0" xfId="13" applyFont="1" applyBorder="1" applyAlignment="1">
      <alignment horizontal="center" vertical="center"/>
    </xf>
    <xf numFmtId="165" fontId="25" fillId="0" borderId="0" xfId="13" applyFont="1" applyBorder="1" applyAlignment="1">
      <alignment horizontal="right" vertical="center"/>
    </xf>
    <xf numFmtId="0" fontId="25" fillId="0" borderId="0" xfId="12" applyFont="1" applyBorder="1" applyAlignment="1">
      <alignment horizontal="center" vertical="center"/>
    </xf>
    <xf numFmtId="0" fontId="25" fillId="0" borderId="18" xfId="12" applyFont="1" applyBorder="1" applyAlignment="1">
      <alignment horizontal="left" vertical="center"/>
    </xf>
    <xf numFmtId="0" fontId="59" fillId="0" borderId="0" xfId="12" applyFont="1"/>
    <xf numFmtId="0" fontId="77" fillId="0" borderId="0" xfId="12" applyFont="1" applyAlignment="1">
      <alignment horizontal="center"/>
    </xf>
    <xf numFmtId="0" fontId="80" fillId="0" borderId="0" xfId="12" applyFont="1" applyAlignment="1">
      <alignment horizontal="center"/>
    </xf>
    <xf numFmtId="2" fontId="77" fillId="0" borderId="0" xfId="12" applyNumberFormat="1" applyFont="1" applyAlignment="1">
      <alignment horizontal="center"/>
    </xf>
    <xf numFmtId="0" fontId="77" fillId="0" borderId="0" xfId="12" applyFont="1" applyAlignment="1">
      <alignment horizontal="right"/>
    </xf>
    <xf numFmtId="0" fontId="77" fillId="0" borderId="129" xfId="12" applyFont="1" applyBorder="1" applyAlignment="1">
      <alignment horizontal="center"/>
    </xf>
    <xf numFmtId="0" fontId="80" fillId="0" borderId="129" xfId="12" applyFont="1" applyBorder="1" applyAlignment="1">
      <alignment horizontal="center"/>
    </xf>
    <xf numFmtId="2" fontId="77" fillId="0" borderId="129" xfId="12" applyNumberFormat="1" applyFont="1" applyBorder="1" applyAlignment="1">
      <alignment horizontal="center"/>
    </xf>
    <xf numFmtId="0" fontId="81" fillId="0" borderId="130" xfId="12" applyFont="1" applyBorder="1" applyAlignment="1"/>
    <xf numFmtId="0" fontId="77" fillId="0" borderId="130" xfId="12" applyFont="1" applyBorder="1" applyAlignment="1">
      <alignment horizontal="center"/>
    </xf>
    <xf numFmtId="0" fontId="77" fillId="0" borderId="132" xfId="12" applyFont="1" applyBorder="1" applyAlignment="1">
      <alignment horizontal="center"/>
    </xf>
    <xf numFmtId="0" fontId="77" fillId="0" borderId="0" xfId="12" applyFont="1" applyAlignment="1">
      <alignment horizontal="left"/>
    </xf>
    <xf numFmtId="0" fontId="59" fillId="0" borderId="0" xfId="12" applyFont="1" applyAlignment="1">
      <alignment horizontal="right" vertical="top"/>
    </xf>
    <xf numFmtId="0" fontId="45" fillId="0" borderId="0" xfId="12" applyFont="1" applyAlignment="1"/>
    <xf numFmtId="0" fontId="77" fillId="0" borderId="132" xfId="12" applyFont="1" applyBorder="1" applyAlignment="1">
      <alignment horizontal="left"/>
    </xf>
    <xf numFmtId="0" fontId="77" fillId="0" borderId="131" xfId="12" applyFont="1" applyBorder="1" applyAlignment="1"/>
    <xf numFmtId="0" fontId="77" fillId="6" borderId="0" xfId="12" applyFont="1" applyFill="1" applyAlignment="1">
      <alignment horizontal="right"/>
    </xf>
    <xf numFmtId="0" fontId="77" fillId="6" borderId="0" xfId="12" applyFont="1" applyFill="1" applyAlignment="1">
      <alignment horizontal="center"/>
    </xf>
    <xf numFmtId="0" fontId="77" fillId="0" borderId="133" xfId="12" applyFont="1" applyBorder="1" applyAlignment="1">
      <alignment horizontal="left"/>
    </xf>
    <xf numFmtId="0" fontId="77" fillId="0" borderId="134" xfId="12" applyFont="1" applyBorder="1" applyAlignment="1">
      <alignment horizontal="left"/>
    </xf>
    <xf numFmtId="0" fontId="77" fillId="0" borderId="134" xfId="12" applyFont="1" applyBorder="1" applyAlignment="1">
      <alignment horizontal="center"/>
    </xf>
    <xf numFmtId="0" fontId="80" fillId="0" borderId="134" xfId="12" applyFont="1" applyBorder="1" applyAlignment="1">
      <alignment horizontal="center"/>
    </xf>
    <xf numFmtId="2" fontId="77" fillId="0" borderId="134" xfId="12" applyNumberFormat="1" applyFont="1" applyBorder="1" applyAlignment="1">
      <alignment horizontal="center"/>
    </xf>
    <xf numFmtId="0" fontId="77" fillId="0" borderId="135" xfId="12" applyFont="1" applyBorder="1" applyAlignment="1">
      <alignment horizontal="center"/>
    </xf>
    <xf numFmtId="0" fontId="77" fillId="0" borderId="134" xfId="12" applyFont="1" applyBorder="1" applyAlignment="1">
      <alignment horizontal="right"/>
    </xf>
    <xf numFmtId="0" fontId="77" fillId="0" borderId="136" xfId="12" applyFont="1" applyBorder="1" applyAlignment="1">
      <alignment horizontal="center"/>
    </xf>
    <xf numFmtId="0" fontId="29" fillId="0" borderId="0" xfId="12" applyFont="1" applyAlignment="1">
      <alignment vertical="center"/>
    </xf>
    <xf numFmtId="0" fontId="25" fillId="0" borderId="19" xfId="12" applyFont="1" applyBorder="1" applyAlignment="1">
      <alignment horizontal="center" vertical="center" wrapText="1"/>
    </xf>
    <xf numFmtId="0" fontId="25" fillId="0" borderId="16" xfId="12" applyFont="1" applyBorder="1" applyAlignment="1">
      <alignment horizontal="center" vertical="center" wrapText="1"/>
    </xf>
    <xf numFmtId="0" fontId="25" fillId="0" borderId="41" xfId="12" applyFont="1" applyBorder="1" applyAlignment="1">
      <alignment horizontal="center" vertical="center" wrapText="1"/>
    </xf>
    <xf numFmtId="0" fontId="72" fillId="0" borderId="19" xfId="12" applyFont="1" applyBorder="1" applyAlignment="1">
      <alignment horizontal="center" vertical="center" wrapText="1"/>
    </xf>
    <xf numFmtId="2" fontId="25" fillId="0" borderId="41" xfId="12" applyNumberFormat="1" applyFont="1" applyBorder="1" applyAlignment="1">
      <alignment horizontal="center" vertical="center" wrapText="1"/>
    </xf>
    <xf numFmtId="166" fontId="25" fillId="0" borderId="101" xfId="13" applyNumberFormat="1" applyFont="1" applyBorder="1" applyAlignment="1">
      <alignment horizontal="center" vertical="center" wrapText="1"/>
    </xf>
    <xf numFmtId="166" fontId="25" fillId="0" borderId="11" xfId="13" applyNumberFormat="1" applyFont="1" applyBorder="1" applyAlignment="1">
      <alignment horizontal="center" vertical="center" wrapText="1"/>
    </xf>
    <xf numFmtId="166" fontId="25" fillId="0" borderId="101" xfId="13" applyNumberFormat="1" applyFont="1" applyBorder="1" applyAlignment="1">
      <alignment horizontal="right" vertical="center" wrapText="1"/>
    </xf>
    <xf numFmtId="166" fontId="25" fillId="0" borderId="10" xfId="13" applyNumberFormat="1" applyFont="1" applyBorder="1" applyAlignment="1">
      <alignment horizontal="center" vertical="center" wrapText="1"/>
    </xf>
    <xf numFmtId="166" fontId="25" fillId="0" borderId="102" xfId="13" applyNumberFormat="1" applyFont="1" applyBorder="1" applyAlignment="1">
      <alignment horizontal="center" vertical="center" wrapText="1"/>
    </xf>
    <xf numFmtId="49" fontId="29" fillId="0" borderId="15" xfId="12" applyNumberFormat="1" applyFont="1" applyBorder="1" applyAlignment="1">
      <alignment horizontal="center" vertical="center" wrapText="1"/>
    </xf>
    <xf numFmtId="49" fontId="29" fillId="0" borderId="47" xfId="12" applyNumberFormat="1" applyFont="1" applyBorder="1" applyAlignment="1">
      <alignment horizontal="center" vertical="center" wrapText="1"/>
    </xf>
    <xf numFmtId="49" fontId="29" fillId="0" borderId="36" xfId="12" applyNumberFormat="1" applyFont="1" applyBorder="1" applyAlignment="1">
      <alignment horizontal="center" vertical="center" wrapText="1"/>
    </xf>
    <xf numFmtId="49" fontId="29" fillId="0" borderId="3" xfId="12" applyNumberFormat="1" applyFont="1" applyBorder="1" applyAlignment="1">
      <alignment horizontal="center" vertical="center" wrapText="1"/>
    </xf>
    <xf numFmtId="49" fontId="29" fillId="0" borderId="35" xfId="12" applyNumberFormat="1" applyFont="1" applyBorder="1" applyAlignment="1">
      <alignment horizontal="center" vertical="center" wrapText="1"/>
    </xf>
    <xf numFmtId="49" fontId="29" fillId="0" borderId="4" xfId="12" applyNumberFormat="1" applyFont="1" applyBorder="1" applyAlignment="1">
      <alignment horizontal="center" vertical="center" wrapText="1"/>
    </xf>
    <xf numFmtId="49" fontId="82" fillId="0" borderId="35" xfId="12" applyNumberFormat="1" applyFont="1" applyBorder="1" applyAlignment="1">
      <alignment horizontal="center" vertical="center" wrapText="1"/>
    </xf>
    <xf numFmtId="2" fontId="29" fillId="0" borderId="4" xfId="12" applyNumberFormat="1" applyFont="1" applyBorder="1" applyAlignment="1">
      <alignment horizontal="center" vertical="center" wrapText="1"/>
    </xf>
    <xf numFmtId="49" fontId="29" fillId="0" borderId="37" xfId="12" applyNumberFormat="1" applyFont="1" applyBorder="1" applyAlignment="1">
      <alignment horizontal="center" vertical="center" wrapText="1"/>
    </xf>
    <xf numFmtId="49" fontId="29" fillId="0" borderId="35" xfId="12" applyNumberFormat="1" applyFont="1" applyBorder="1" applyAlignment="1">
      <alignment horizontal="right" vertical="center" wrapText="1"/>
    </xf>
    <xf numFmtId="49" fontId="29" fillId="0" borderId="13" xfId="12" applyNumberFormat="1" applyFont="1" applyBorder="1" applyAlignment="1">
      <alignment horizontal="center" vertical="center" wrapText="1"/>
    </xf>
    <xf numFmtId="49" fontId="29" fillId="0" borderId="0" xfId="12" applyNumberFormat="1" applyFont="1" applyAlignment="1">
      <alignment horizontal="center" vertical="center"/>
    </xf>
    <xf numFmtId="49" fontId="25" fillId="4" borderId="71" xfId="12" applyNumberFormat="1" applyFont="1" applyFill="1" applyBorder="1" applyAlignment="1">
      <alignment horizontal="left" vertical="center" wrapText="1"/>
    </xf>
    <xf numFmtId="49" fontId="29" fillId="0" borderId="71" xfId="12" applyNumberFormat="1" applyFont="1" applyBorder="1" applyAlignment="1">
      <alignment horizontal="center" vertical="center" wrapText="1"/>
    </xf>
    <xf numFmtId="49" fontId="29" fillId="0" borderId="71" xfId="12" applyNumberFormat="1" applyFont="1" applyBorder="1" applyAlignment="1">
      <alignment horizontal="right" vertical="center" wrapText="1"/>
    </xf>
    <xf numFmtId="49" fontId="82" fillId="0" borderId="71" xfId="12" applyNumberFormat="1" applyFont="1" applyBorder="1" applyAlignment="1">
      <alignment horizontal="center" vertical="center" wrapText="1"/>
    </xf>
    <xf numFmtId="2" fontId="29" fillId="0" borderId="71" xfId="12" applyNumberFormat="1" applyFont="1" applyBorder="1" applyAlignment="1">
      <alignment horizontal="center" vertical="center" wrapText="1"/>
    </xf>
    <xf numFmtId="0" fontId="29" fillId="0" borderId="71" xfId="12" applyFont="1" applyBorder="1" applyAlignment="1">
      <alignment vertical="center"/>
    </xf>
    <xf numFmtId="2" fontId="29" fillId="0" borderId="71" xfId="12" applyNumberFormat="1" applyFont="1" applyBorder="1" applyAlignment="1">
      <alignment vertical="center" wrapText="1"/>
    </xf>
    <xf numFmtId="0" fontId="29" fillId="0" borderId="71" xfId="12" applyFont="1" applyBorder="1" applyAlignment="1">
      <alignment horizontal="center" vertical="center" wrapText="1"/>
    </xf>
    <xf numFmtId="0" fontId="29" fillId="0" borderId="71" xfId="12" applyFont="1" applyBorder="1" applyAlignment="1">
      <alignment horizontal="right" vertical="center"/>
    </xf>
    <xf numFmtId="2" fontId="29" fillId="0" borderId="71" xfId="12" applyNumberFormat="1" applyFont="1" applyBorder="1" applyAlignment="1">
      <alignment vertical="center"/>
    </xf>
    <xf numFmtId="2" fontId="29" fillId="0" borderId="71" xfId="12" applyNumberFormat="1" applyFont="1" applyBorder="1" applyAlignment="1">
      <alignment horizontal="right" vertical="center"/>
    </xf>
    <xf numFmtId="0" fontId="82" fillId="0" borderId="71" xfId="12" applyFont="1" applyBorder="1" applyAlignment="1">
      <alignment vertical="center"/>
    </xf>
    <xf numFmtId="9" fontId="29" fillId="0" borderId="71" xfId="12" applyNumberFormat="1" applyFont="1" applyBorder="1" applyAlignment="1">
      <alignment vertical="center"/>
    </xf>
    <xf numFmtId="4" fontId="29" fillId="0" borderId="71" xfId="12" applyNumberFormat="1" applyFont="1" applyBorder="1" applyAlignment="1">
      <alignment vertical="center"/>
    </xf>
    <xf numFmtId="0" fontId="25" fillId="0" borderId="71" xfId="12" applyFont="1" applyBorder="1" applyAlignment="1">
      <alignment vertical="center"/>
    </xf>
    <xf numFmtId="2" fontId="25" fillId="0" borderId="71" xfId="12" applyNumberFormat="1" applyFont="1" applyBorder="1" applyAlignment="1">
      <alignment vertical="center" wrapText="1"/>
    </xf>
    <xf numFmtId="0" fontId="25" fillId="0" borderId="71" xfId="12" applyFont="1" applyBorder="1" applyAlignment="1">
      <alignment horizontal="center" vertical="center" wrapText="1"/>
    </xf>
    <xf numFmtId="2" fontId="25" fillId="0" borderId="71" xfId="12" applyNumberFormat="1" applyFont="1" applyBorder="1" applyAlignment="1">
      <alignment horizontal="right" vertical="center"/>
    </xf>
    <xf numFmtId="2" fontId="25" fillId="0" borderId="71" xfId="12" applyNumberFormat="1" applyFont="1" applyBorder="1" applyAlignment="1">
      <alignment vertical="center"/>
    </xf>
    <xf numFmtId="0" fontId="72" fillId="0" borderId="71" xfId="12" applyFont="1" applyBorder="1" applyAlignment="1">
      <alignment vertical="center"/>
    </xf>
    <xf numFmtId="9" fontId="25" fillId="0" borderId="71" xfId="12" applyNumberFormat="1" applyFont="1" applyBorder="1" applyAlignment="1">
      <alignment vertical="center"/>
    </xf>
    <xf numFmtId="4" fontId="25" fillId="0" borderId="71" xfId="12" applyNumberFormat="1" applyFont="1" applyBorder="1" applyAlignment="1">
      <alignment vertical="center"/>
    </xf>
    <xf numFmtId="0" fontId="25" fillId="4" borderId="71" xfId="12" applyFont="1" applyFill="1" applyBorder="1" applyAlignment="1">
      <alignment vertical="center"/>
    </xf>
    <xf numFmtId="165" fontId="29" fillId="0" borderId="71" xfId="13" applyFont="1" applyBorder="1" applyAlignment="1">
      <alignment vertical="center"/>
    </xf>
    <xf numFmtId="0" fontId="25" fillId="0" borderId="98" xfId="12" applyFont="1" applyBorder="1" applyAlignment="1">
      <alignment horizontal="left" vertical="center" indent="1"/>
    </xf>
    <xf numFmtId="2" fontId="25" fillId="0" borderId="16" xfId="12" applyNumberFormat="1" applyFont="1" applyBorder="1" applyAlignment="1">
      <alignment vertical="center"/>
    </xf>
    <xf numFmtId="0" fontId="25" fillId="0" borderId="99" xfId="12" applyFont="1" applyBorder="1" applyAlignment="1">
      <alignment horizontal="center" vertical="center"/>
    </xf>
    <xf numFmtId="2" fontId="25" fillId="0" borderId="16" xfId="12" applyNumberFormat="1" applyFont="1" applyBorder="1" applyAlignment="1">
      <alignment horizontal="right" vertical="center"/>
    </xf>
    <xf numFmtId="2" fontId="25" fillId="0" borderId="16" xfId="13" applyNumberFormat="1" applyFont="1" applyBorder="1" applyAlignment="1">
      <alignment horizontal="right" vertical="center"/>
    </xf>
    <xf numFmtId="2" fontId="25" fillId="0" borderId="41" xfId="13" applyNumberFormat="1" applyFont="1" applyBorder="1" applyAlignment="1">
      <alignment horizontal="right" vertical="center"/>
    </xf>
    <xf numFmtId="2" fontId="72" fillId="0" borderId="19" xfId="12" applyNumberFormat="1" applyFont="1" applyBorder="1" applyAlignment="1">
      <alignment horizontal="right" vertical="center"/>
    </xf>
    <xf numFmtId="2" fontId="25" fillId="0" borderId="41" xfId="12" applyNumberFormat="1" applyFont="1" applyBorder="1" applyAlignment="1">
      <alignment horizontal="center" vertical="center"/>
    </xf>
    <xf numFmtId="0" fontId="25" fillId="0" borderId="40" xfId="12" applyFont="1" applyBorder="1" applyAlignment="1">
      <alignment horizontal="center" vertical="center"/>
    </xf>
    <xf numFmtId="165" fontId="25" fillId="0" borderId="19" xfId="12" applyNumberFormat="1" applyFont="1" applyBorder="1" applyAlignment="1">
      <alignment horizontal="center" vertical="center"/>
    </xf>
    <xf numFmtId="165" fontId="25" fillId="0" borderId="99" xfId="12" applyNumberFormat="1" applyFont="1" applyBorder="1" applyAlignment="1">
      <alignment horizontal="center" vertical="center"/>
    </xf>
    <xf numFmtId="2" fontId="25" fillId="0" borderId="19" xfId="13" applyNumberFormat="1" applyFont="1" applyBorder="1" applyAlignment="1">
      <alignment horizontal="right" vertical="center"/>
    </xf>
    <xf numFmtId="0" fontId="25" fillId="0" borderId="16" xfId="12" applyFont="1" applyBorder="1" applyAlignment="1">
      <alignment horizontal="center" vertical="center"/>
    </xf>
    <xf numFmtId="4" fontId="25" fillId="0" borderId="41" xfId="13" applyNumberFormat="1" applyFont="1" applyBorder="1" applyAlignment="1">
      <alignment horizontal="right" vertical="center"/>
    </xf>
    <xf numFmtId="4" fontId="25" fillId="0" borderId="23" xfId="13" applyNumberFormat="1" applyFont="1" applyBorder="1" applyAlignment="1">
      <alignment horizontal="right" vertical="center"/>
    </xf>
    <xf numFmtId="0" fontId="25" fillId="0" borderId="23" xfId="12" applyFont="1" applyBorder="1" applyAlignment="1">
      <alignment vertical="center"/>
    </xf>
    <xf numFmtId="0" fontId="25" fillId="0" borderId="0" xfId="12" applyFont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0" fontId="25" fillId="0" borderId="0" xfId="12" applyFont="1" applyBorder="1" applyAlignment="1">
      <alignment vertical="center"/>
    </xf>
    <xf numFmtId="2" fontId="25" fillId="0" borderId="0" xfId="12" applyNumberFormat="1" applyFont="1" applyBorder="1" applyAlignment="1">
      <alignment horizontal="right" vertical="center"/>
    </xf>
    <xf numFmtId="2" fontId="72" fillId="0" borderId="0" xfId="12" applyNumberFormat="1" applyFont="1" applyBorder="1" applyAlignment="1">
      <alignment horizontal="right" vertical="center"/>
    </xf>
    <xf numFmtId="2" fontId="25" fillId="0" borderId="0" xfId="12" applyNumberFormat="1" applyFont="1" applyBorder="1" applyAlignment="1">
      <alignment horizontal="center" vertical="center"/>
    </xf>
    <xf numFmtId="165" fontId="25" fillId="0" borderId="0" xfId="12" applyNumberFormat="1" applyFont="1" applyBorder="1" applyAlignment="1">
      <alignment horizontal="center" vertical="center"/>
    </xf>
    <xf numFmtId="0" fontId="29" fillId="0" borderId="0" xfId="12" applyFont="1" applyBorder="1" applyAlignment="1">
      <alignment vertical="center"/>
    </xf>
    <xf numFmtId="0" fontId="83" fillId="0" borderId="0" xfId="12" applyFont="1"/>
    <xf numFmtId="2" fontId="59" fillId="0" borderId="0" xfId="12" applyNumberFormat="1" applyFont="1"/>
    <xf numFmtId="0" fontId="59" fillId="0" borderId="0" xfId="12" applyFont="1" applyAlignment="1">
      <alignment horizontal="right"/>
    </xf>
    <xf numFmtId="0" fontId="25" fillId="0" borderId="0" xfId="12" applyFont="1" applyAlignment="1">
      <alignment horizontal="left" vertical="center" indent="1"/>
    </xf>
    <xf numFmtId="0" fontId="29" fillId="0" borderId="0" xfId="12" applyFont="1" applyAlignment="1">
      <alignment horizontal="left" vertical="center" indent="1"/>
    </xf>
    <xf numFmtId="0" fontId="82" fillId="0" borderId="0" xfId="12" applyFont="1" applyAlignment="1">
      <alignment vertical="center"/>
    </xf>
    <xf numFmtId="2" fontId="29" fillId="0" borderId="0" xfId="12" applyNumberFormat="1" applyFont="1" applyAlignment="1">
      <alignment vertical="center"/>
    </xf>
    <xf numFmtId="166" fontId="29" fillId="0" borderId="0" xfId="13" applyNumberFormat="1" applyFont="1" applyAlignment="1">
      <alignment vertical="center"/>
    </xf>
    <xf numFmtId="166" fontId="29" fillId="0" borderId="0" xfId="13" applyNumberFormat="1" applyFont="1" applyAlignment="1">
      <alignment horizontal="right" vertical="center"/>
    </xf>
    <xf numFmtId="166" fontId="25" fillId="0" borderId="0" xfId="13" applyNumberFormat="1" applyFont="1" applyAlignment="1">
      <alignment vertical="center"/>
    </xf>
    <xf numFmtId="0" fontId="59" fillId="0" borderId="0" xfId="12" applyFont="1" applyAlignment="1">
      <alignment horizontal="center"/>
    </xf>
    <xf numFmtId="0" fontId="29" fillId="0" borderId="71" xfId="12" applyFont="1" applyBorder="1" applyAlignment="1">
      <alignment vertical="center" wrapText="1"/>
    </xf>
    <xf numFmtId="165" fontId="25" fillId="0" borderId="71" xfId="13" applyFont="1" applyBorder="1" applyAlignment="1">
      <alignment vertical="center"/>
    </xf>
    <xf numFmtId="0" fontId="25" fillId="0" borderId="16" xfId="12" applyFont="1" applyBorder="1" applyAlignment="1">
      <alignment horizontal="right" vertical="center"/>
    </xf>
    <xf numFmtId="0" fontId="29" fillId="0" borderId="0" xfId="12" applyFont="1" applyAlignment="1">
      <alignment horizontal="center" vertical="center"/>
    </xf>
    <xf numFmtId="0" fontId="29" fillId="0" borderId="71" xfId="12" applyFont="1" applyBorder="1" applyAlignment="1">
      <alignment horizontal="right" vertical="center" wrapText="1"/>
    </xf>
    <xf numFmtId="0" fontId="25" fillId="0" borderId="71" xfId="12" applyFont="1" applyBorder="1" applyAlignment="1">
      <alignment horizontal="right" vertical="center" wrapText="1"/>
    </xf>
    <xf numFmtId="0" fontId="25" fillId="0" borderId="0" xfId="12" applyFont="1" applyBorder="1" applyAlignment="1">
      <alignment horizontal="left" vertical="center"/>
    </xf>
    <xf numFmtId="0" fontId="25" fillId="0" borderId="0" xfId="12" applyFont="1" applyBorder="1" applyAlignment="1">
      <alignment horizontal="right" vertical="center"/>
    </xf>
    <xf numFmtId="2" fontId="25" fillId="0" borderId="0" xfId="12" applyNumberFormat="1" applyFont="1" applyBorder="1" applyAlignment="1">
      <alignment vertical="center"/>
    </xf>
    <xf numFmtId="2" fontId="25" fillId="0" borderId="0" xfId="13" applyNumberFormat="1" applyFont="1" applyBorder="1" applyAlignment="1">
      <alignment horizontal="right" vertical="center"/>
    </xf>
    <xf numFmtId="4" fontId="25" fillId="0" borderId="0" xfId="13" applyNumberFormat="1" applyFont="1" applyBorder="1" applyAlignment="1">
      <alignment horizontal="right" vertical="center"/>
    </xf>
    <xf numFmtId="0" fontId="23" fillId="0" borderId="0" xfId="11" applyFont="1" applyBorder="1" applyAlignment="1">
      <alignment horizontal="center" vertical="center"/>
    </xf>
    <xf numFmtId="0" fontId="23" fillId="0" borderId="0" xfId="11" applyFont="1" applyBorder="1" applyAlignment="1">
      <alignment horizontal="left" indent="1"/>
    </xf>
    <xf numFmtId="0" fontId="23" fillId="0" borderId="0" xfId="11" applyFont="1" applyBorder="1" applyAlignment="1">
      <alignment horizontal="left" indent="3"/>
    </xf>
    <xf numFmtId="49" fontId="24" fillId="0" borderId="51" xfId="11" applyNumberFormat="1" applyFont="1" applyBorder="1" applyAlignment="1">
      <alignment horizontal="center" vertical="center"/>
    </xf>
    <xf numFmtId="49" fontId="24" fillId="0" borderId="52" xfId="11" applyNumberFormat="1" applyFont="1" applyBorder="1" applyAlignment="1">
      <alignment horizontal="center" vertical="center"/>
    </xf>
    <xf numFmtId="49" fontId="21" fillId="0" borderId="52" xfId="11" applyNumberFormat="1" applyFont="1" applyBorder="1" applyAlignment="1">
      <alignment horizontal="center" vertical="center"/>
    </xf>
    <xf numFmtId="49" fontId="24" fillId="0" borderId="53" xfId="11" applyNumberFormat="1" applyFont="1" applyBorder="1" applyAlignment="1">
      <alignment horizontal="center" vertical="center"/>
    </xf>
    <xf numFmtId="0" fontId="23" fillId="0" borderId="37" xfId="11" applyFont="1" applyBorder="1" applyAlignment="1">
      <alignment horizontal="left" vertical="center" indent="1"/>
    </xf>
    <xf numFmtId="0" fontId="23" fillId="0" borderId="37" xfId="11" applyFont="1" applyBorder="1" applyAlignment="1">
      <alignment horizontal="center" vertical="center"/>
    </xf>
    <xf numFmtId="0" fontId="23" fillId="0" borderId="40" xfId="11" applyFont="1" applyBorder="1" applyAlignment="1">
      <alignment horizontal="left" vertical="center" indent="1"/>
    </xf>
    <xf numFmtId="166" fontId="21" fillId="0" borderId="47" xfId="3" applyNumberFormat="1" applyFont="1" applyBorder="1" applyAlignment="1">
      <alignment vertical="center"/>
    </xf>
    <xf numFmtId="0" fontId="23" fillId="0" borderId="13" xfId="11" applyFont="1" applyBorder="1" applyAlignment="1">
      <alignment horizontal="center" vertical="center"/>
    </xf>
    <xf numFmtId="0" fontId="23" fillId="0" borderId="30" xfId="11" applyFont="1" applyBorder="1" applyAlignment="1">
      <alignment horizontal="center" vertical="center"/>
    </xf>
    <xf numFmtId="166" fontId="21" fillId="0" borderId="0" xfId="3" applyNumberFormat="1" applyFont="1" applyBorder="1" applyAlignment="1">
      <alignment vertical="center"/>
    </xf>
    <xf numFmtId="0" fontId="25" fillId="0" borderId="9" xfId="11" applyFont="1" applyBorder="1" applyAlignment="1">
      <alignment horizontal="left" vertical="center" indent="2"/>
    </xf>
    <xf numFmtId="0" fontId="23" fillId="0" borderId="37" xfId="11" applyFont="1" applyBorder="1" applyAlignment="1">
      <alignment horizontal="left" indent="1"/>
    </xf>
    <xf numFmtId="166" fontId="21" fillId="0" borderId="37" xfId="3" applyNumberFormat="1" applyFont="1" applyBorder="1" applyAlignment="1">
      <alignment vertical="center"/>
    </xf>
    <xf numFmtId="0" fontId="23" fillId="0" borderId="30" xfId="11" applyFont="1" applyBorder="1" applyAlignment="1">
      <alignment horizontal="left" vertical="center"/>
    </xf>
    <xf numFmtId="49" fontId="24" fillId="0" borderId="69" xfId="11" applyNumberFormat="1" applyFont="1" applyBorder="1" applyAlignment="1">
      <alignment horizontal="center" vertical="center"/>
    </xf>
    <xf numFmtId="49" fontId="24" fillId="0" borderId="73" xfId="11" applyNumberFormat="1" applyFont="1" applyBorder="1" applyAlignment="1">
      <alignment horizontal="center" vertical="center"/>
    </xf>
    <xf numFmtId="49" fontId="24" fillId="0" borderId="82" xfId="11" applyNumberFormat="1" applyFont="1" applyBorder="1" applyAlignment="1">
      <alignment horizontal="center" vertical="center"/>
    </xf>
    <xf numFmtId="49" fontId="24" fillId="0" borderId="74" xfId="11" applyNumberFormat="1" applyFont="1" applyBorder="1" applyAlignment="1">
      <alignment horizontal="center" vertical="center"/>
    </xf>
    <xf numFmtId="49" fontId="24" fillId="0" borderId="17" xfId="11" applyNumberFormat="1" applyFont="1" applyBorder="1" applyAlignment="1">
      <alignment horizontal="center" vertical="center"/>
    </xf>
    <xf numFmtId="49" fontId="21" fillId="0" borderId="53" xfId="11" applyNumberFormat="1" applyFont="1" applyBorder="1" applyAlignment="1">
      <alignment horizontal="center" vertical="center"/>
    </xf>
    <xf numFmtId="49" fontId="21" fillId="0" borderId="20" xfId="11" applyNumberFormat="1" applyFont="1" applyBorder="1" applyAlignment="1">
      <alignment horizontal="center" vertical="center"/>
    </xf>
    <xf numFmtId="49" fontId="21" fillId="0" borderId="51" xfId="11" applyNumberFormat="1" applyFont="1" applyBorder="1" applyAlignment="1">
      <alignment horizontal="center" vertical="center"/>
    </xf>
    <xf numFmtId="0" fontId="32" fillId="0" borderId="0" xfId="11" applyFont="1" applyAlignment="1">
      <alignment vertical="center"/>
    </xf>
    <xf numFmtId="165" fontId="21" fillId="0" borderId="28" xfId="3" applyFont="1" applyBorder="1" applyAlignment="1">
      <alignment horizontal="center" vertical="center"/>
    </xf>
    <xf numFmtId="0" fontId="23" fillId="0" borderId="0" xfId="11" applyFont="1" applyBorder="1" applyAlignment="1">
      <alignment horizontal="left" vertical="center" indent="6"/>
    </xf>
    <xf numFmtId="0" fontId="32" fillId="0" borderId="48" xfId="11" applyFont="1" applyBorder="1" applyAlignment="1">
      <alignment horizontal="left" vertical="center" wrapText="1" indent="2"/>
    </xf>
    <xf numFmtId="0" fontId="32" fillId="0" borderId="48" xfId="11" applyFont="1" applyBorder="1" applyAlignment="1">
      <alignment vertical="center"/>
    </xf>
    <xf numFmtId="0" fontId="32" fillId="0" borderId="56" xfId="11" applyFont="1" applyBorder="1" applyAlignment="1">
      <alignment vertical="center"/>
    </xf>
    <xf numFmtId="0" fontId="32" fillId="0" borderId="85" xfId="11" applyFont="1" applyBorder="1" applyAlignment="1">
      <alignment vertical="center"/>
    </xf>
    <xf numFmtId="0" fontId="32" fillId="0" borderId="100" xfId="11" applyFont="1" applyBorder="1" applyAlignment="1">
      <alignment vertical="center"/>
    </xf>
    <xf numFmtId="0" fontId="32" fillId="0" borderId="92" xfId="11" applyFont="1" applyBorder="1" applyAlignment="1">
      <alignment vertical="center"/>
    </xf>
    <xf numFmtId="0" fontId="32" fillId="0" borderId="65" xfId="11" applyFont="1" applyBorder="1" applyAlignment="1">
      <alignment vertical="center"/>
    </xf>
    <xf numFmtId="166" fontId="32" fillId="0" borderId="0" xfId="3" applyNumberFormat="1" applyFont="1" applyAlignment="1">
      <alignment vertical="center"/>
    </xf>
    <xf numFmtId="0" fontId="31" fillId="0" borderId="0" xfId="11" applyFont="1" applyAlignment="1">
      <alignment horizontal="left" vertical="center" indent="1"/>
    </xf>
    <xf numFmtId="166" fontId="31" fillId="0" borderId="0" xfId="3" applyNumberFormat="1" applyFont="1" applyAlignment="1">
      <alignment vertical="center"/>
    </xf>
    <xf numFmtId="0" fontId="31" fillId="0" borderId="0" xfId="11" applyFont="1" applyAlignment="1">
      <alignment vertical="center"/>
    </xf>
    <xf numFmtId="0" fontId="32" fillId="0" borderId="83" xfId="11" applyFont="1" applyBorder="1" applyAlignment="1">
      <alignment horizontal="left" vertical="center" indent="2"/>
    </xf>
    <xf numFmtId="165" fontId="32" fillId="0" borderId="49" xfId="3" applyFont="1" applyBorder="1" applyAlignment="1">
      <alignment horizontal="center" vertical="center"/>
    </xf>
    <xf numFmtId="165" fontId="32" fillId="0" borderId="55" xfId="3" applyFont="1" applyBorder="1" applyAlignment="1">
      <alignment horizontal="center" vertical="center"/>
    </xf>
    <xf numFmtId="0" fontId="32" fillId="0" borderId="60" xfId="11" applyFont="1" applyBorder="1" applyAlignment="1">
      <alignment horizontal="left" vertical="center" wrapText="1" indent="2"/>
    </xf>
    <xf numFmtId="49" fontId="21" fillId="2" borderId="58" xfId="11" applyNumberFormat="1" applyFont="1" applyFill="1" applyBorder="1" applyAlignment="1">
      <alignment horizontal="center" vertical="center"/>
    </xf>
    <xf numFmtId="49" fontId="21" fillId="2" borderId="52" xfId="11" applyNumberFormat="1" applyFont="1" applyFill="1" applyBorder="1" applyAlignment="1">
      <alignment horizontal="center" vertical="center"/>
    </xf>
    <xf numFmtId="49" fontId="24" fillId="2" borderId="82" xfId="11" applyNumberFormat="1" applyFont="1" applyFill="1" applyBorder="1" applyAlignment="1">
      <alignment horizontal="center" vertical="center"/>
    </xf>
    <xf numFmtId="0" fontId="32" fillId="2" borderId="59" xfId="11" applyFont="1" applyFill="1" applyBorder="1" applyAlignment="1">
      <alignment vertical="center"/>
    </xf>
    <xf numFmtId="0" fontId="32" fillId="2" borderId="48" xfId="11" applyFont="1" applyFill="1" applyBorder="1" applyAlignment="1">
      <alignment vertical="center"/>
    </xf>
    <xf numFmtId="0" fontId="32" fillId="2" borderId="60" xfId="11" applyFont="1" applyFill="1" applyBorder="1" applyAlignment="1">
      <alignment vertical="center"/>
    </xf>
    <xf numFmtId="166" fontId="32" fillId="0" borderId="78" xfId="3" applyNumberFormat="1" applyFont="1" applyBorder="1" applyAlignment="1">
      <alignment horizontal="center" vertical="center"/>
    </xf>
    <xf numFmtId="166" fontId="32" fillId="0" borderId="49" xfId="3" applyNumberFormat="1" applyFont="1" applyBorder="1" applyAlignment="1">
      <alignment vertical="center"/>
    </xf>
    <xf numFmtId="166" fontId="32" fillId="0" borderId="83" xfId="11" applyNumberFormat="1" applyFont="1" applyBorder="1" applyAlignment="1">
      <alignment horizontal="center" vertical="center"/>
    </xf>
    <xf numFmtId="0" fontId="32" fillId="0" borderId="100" xfId="11" applyFont="1" applyBorder="1" applyAlignment="1">
      <alignment horizontal="left" vertical="center" wrapText="1" indent="2"/>
    </xf>
    <xf numFmtId="0" fontId="32" fillId="0" borderId="62" xfId="11" applyFont="1" applyBorder="1" applyAlignment="1">
      <alignment horizontal="left" vertical="center" wrapText="1" indent="2"/>
    </xf>
    <xf numFmtId="0" fontId="32" fillId="0" borderId="80" xfId="11" applyFont="1" applyBorder="1" applyAlignment="1">
      <alignment vertical="center"/>
    </xf>
    <xf numFmtId="0" fontId="32" fillId="2" borderId="61" xfId="11" applyFont="1" applyFill="1" applyBorder="1" applyAlignment="1">
      <alignment vertical="center"/>
    </xf>
    <xf numFmtId="0" fontId="32" fillId="2" borderId="100" xfId="11" applyFont="1" applyFill="1" applyBorder="1" applyAlignment="1">
      <alignment vertical="center"/>
    </xf>
    <xf numFmtId="0" fontId="32" fillId="2" borderId="62" xfId="11" applyFont="1" applyFill="1" applyBorder="1" applyAlignment="1">
      <alignment vertical="center"/>
    </xf>
    <xf numFmtId="0" fontId="32" fillId="0" borderId="77" xfId="11" applyFont="1" applyBorder="1" applyAlignment="1">
      <alignment horizontal="center" vertical="center"/>
    </xf>
    <xf numFmtId="0" fontId="32" fillId="0" borderId="77" xfId="11" applyFont="1" applyBorder="1" applyAlignment="1">
      <alignment horizontal="center" vertical="center" wrapText="1"/>
    </xf>
    <xf numFmtId="0" fontId="32" fillId="0" borderId="76" xfId="11" applyFont="1" applyBorder="1" applyAlignment="1">
      <alignment horizontal="center" vertical="center" wrapText="1"/>
    </xf>
    <xf numFmtId="0" fontId="31" fillId="0" borderId="16" xfId="11" applyFont="1" applyBorder="1" applyAlignment="1">
      <alignment horizontal="center" vertical="center"/>
    </xf>
    <xf numFmtId="0" fontId="31" fillId="0" borderId="118" xfId="11" applyFont="1" applyBorder="1" applyAlignment="1">
      <alignment horizontal="center" vertical="center"/>
    </xf>
    <xf numFmtId="166" fontId="31" fillId="0" borderId="98" xfId="11" applyNumberFormat="1" applyFont="1" applyBorder="1" applyAlignment="1">
      <alignment horizontal="center" vertical="center"/>
    </xf>
    <xf numFmtId="166" fontId="31" fillId="0" borderId="40" xfId="11" applyNumberFormat="1" applyFont="1" applyBorder="1" applyAlignment="1">
      <alignment horizontal="center" vertical="center"/>
    </xf>
    <xf numFmtId="0" fontId="31" fillId="0" borderId="19" xfId="11" applyFont="1" applyBorder="1" applyAlignment="1">
      <alignment horizontal="center" vertical="center"/>
    </xf>
    <xf numFmtId="166" fontId="31" fillId="0" borderId="23" xfId="11" applyNumberFormat="1" applyFont="1" applyBorder="1" applyAlignment="1">
      <alignment horizontal="center" vertical="center"/>
    </xf>
    <xf numFmtId="166" fontId="31" fillId="0" borderId="19" xfId="11" applyNumberFormat="1" applyFont="1" applyBorder="1" applyAlignment="1">
      <alignment horizontal="center" vertical="center"/>
    </xf>
    <xf numFmtId="0" fontId="31" fillId="0" borderId="98" xfId="11" applyFont="1" applyBorder="1" applyAlignment="1">
      <alignment horizontal="center" vertical="center"/>
    </xf>
    <xf numFmtId="165" fontId="31" fillId="0" borderId="23" xfId="11" applyNumberFormat="1" applyFont="1" applyBorder="1" applyAlignment="1">
      <alignment horizontal="center" vertical="center"/>
    </xf>
    <xf numFmtId="165" fontId="31" fillId="0" borderId="40" xfId="11" applyNumberFormat="1" applyFont="1" applyBorder="1" applyAlignment="1">
      <alignment horizontal="center" vertical="center"/>
    </xf>
    <xf numFmtId="0" fontId="23" fillId="2" borderId="57" xfId="11" applyFont="1" applyFill="1" applyBorder="1" applyAlignment="1">
      <alignment horizontal="center" vertical="center"/>
    </xf>
    <xf numFmtId="0" fontId="23" fillId="2" borderId="98" xfId="11" applyFont="1" applyFill="1" applyBorder="1" applyAlignment="1">
      <alignment horizontal="center" vertical="center"/>
    </xf>
    <xf numFmtId="0" fontId="23" fillId="2" borderId="138" xfId="11" applyFont="1" applyFill="1" applyBorder="1" applyAlignment="1">
      <alignment horizontal="center" vertical="center"/>
    </xf>
    <xf numFmtId="0" fontId="24" fillId="0" borderId="23" xfId="11" applyFont="1" applyBorder="1" applyAlignment="1">
      <alignment vertical="center"/>
    </xf>
    <xf numFmtId="0" fontId="32" fillId="0" borderId="29" xfId="11" applyFont="1" applyBorder="1" applyAlignment="1">
      <alignment vertical="center"/>
    </xf>
    <xf numFmtId="0" fontId="32" fillId="0" borderId="29" xfId="11" applyFont="1" applyBorder="1" applyAlignment="1">
      <alignment horizontal="left" vertical="center" indent="2"/>
    </xf>
    <xf numFmtId="0" fontId="32" fillId="0" borderId="29" xfId="11" applyFont="1" applyBorder="1" applyAlignment="1">
      <alignment horizontal="left" vertical="center" wrapText="1" indent="2"/>
    </xf>
    <xf numFmtId="166" fontId="32" fillId="0" borderId="29" xfId="3" applyNumberFormat="1" applyFont="1" applyBorder="1" applyAlignment="1">
      <alignment vertical="center"/>
    </xf>
    <xf numFmtId="0" fontId="32" fillId="2" borderId="29" xfId="11" applyFont="1" applyFill="1" applyBorder="1" applyAlignment="1">
      <alignment vertical="center"/>
    </xf>
    <xf numFmtId="0" fontId="32" fillId="0" borderId="29" xfId="11" applyFont="1" applyBorder="1" applyAlignment="1">
      <alignment horizontal="center" vertical="center"/>
    </xf>
    <xf numFmtId="0" fontId="32" fillId="0" borderId="22" xfId="11" applyFont="1" applyBorder="1" applyAlignment="1">
      <alignment vertical="center"/>
    </xf>
    <xf numFmtId="0" fontId="32" fillId="0" borderId="29" xfId="11" applyFont="1" applyBorder="1" applyAlignment="1">
      <alignment horizontal="center" vertical="center" wrapText="1"/>
    </xf>
    <xf numFmtId="165" fontId="32" fillId="0" borderId="84" xfId="3" applyNumberFormat="1" applyFont="1" applyBorder="1" applyAlignment="1">
      <alignment vertical="center"/>
    </xf>
    <xf numFmtId="165" fontId="32" fillId="0" borderId="85" xfId="3" applyNumberFormat="1" applyFont="1" applyBorder="1" applyAlignment="1">
      <alignment vertical="center"/>
    </xf>
    <xf numFmtId="165" fontId="32" fillId="0" borderId="29" xfId="3" applyNumberFormat="1" applyFont="1" applyBorder="1" applyAlignment="1">
      <alignment vertical="center"/>
    </xf>
    <xf numFmtId="0" fontId="31" fillId="0" borderId="0" xfId="11" applyFont="1" applyBorder="1" applyAlignment="1">
      <alignment horizontal="left" vertical="center"/>
    </xf>
    <xf numFmtId="0" fontId="32" fillId="0" borderId="26" xfId="11" applyFont="1" applyBorder="1" applyAlignment="1">
      <alignment vertical="center"/>
    </xf>
    <xf numFmtId="0" fontId="32" fillId="0" borderId="26" xfId="11" applyFont="1" applyBorder="1" applyAlignment="1">
      <alignment horizontal="left" vertical="center" indent="2"/>
    </xf>
    <xf numFmtId="0" fontId="32" fillId="0" borderId="26" xfId="11" applyFont="1" applyBorder="1" applyAlignment="1">
      <alignment horizontal="left" vertical="center" wrapText="1" indent="2"/>
    </xf>
    <xf numFmtId="0" fontId="32" fillId="0" borderId="26" xfId="11" applyFont="1" applyBorder="1" applyAlignment="1">
      <alignment horizontal="center" vertical="center" wrapText="1"/>
    </xf>
    <xf numFmtId="165" fontId="32" fillId="0" borderId="26" xfId="3" applyNumberFormat="1" applyFont="1" applyBorder="1" applyAlignment="1">
      <alignment vertical="center"/>
    </xf>
    <xf numFmtId="166" fontId="32" fillId="0" borderId="26" xfId="3" applyNumberFormat="1" applyFont="1" applyBorder="1" applyAlignment="1">
      <alignment vertical="center"/>
    </xf>
    <xf numFmtId="0" fontId="32" fillId="2" borderId="26" xfId="11" applyFont="1" applyFill="1" applyBorder="1" applyAlignment="1">
      <alignment vertical="center"/>
    </xf>
    <xf numFmtId="0" fontId="25" fillId="0" borderId="45" xfId="11" applyFont="1" applyBorder="1" applyAlignment="1">
      <alignment horizontal="center" vertical="center"/>
    </xf>
    <xf numFmtId="0" fontId="65" fillId="0" borderId="67" xfId="11" applyFont="1" applyBorder="1" applyAlignment="1">
      <alignment vertical="center"/>
    </xf>
    <xf numFmtId="0" fontId="65" fillId="0" borderId="68" xfId="11" applyFont="1" applyBorder="1" applyAlignment="1">
      <alignment vertical="center"/>
    </xf>
    <xf numFmtId="0" fontId="65" fillId="0" borderId="29" xfId="11" applyFont="1" applyBorder="1" applyAlignment="1">
      <alignment vertical="center"/>
    </xf>
    <xf numFmtId="0" fontId="23" fillId="0" borderId="19" xfId="11" applyFont="1" applyBorder="1" applyAlignment="1">
      <alignment horizontal="center" vertical="center"/>
    </xf>
    <xf numFmtId="0" fontId="31" fillId="0" borderId="9" xfId="0" applyFont="1" applyBorder="1" applyAlignment="1">
      <alignment horizontal="left" vertical="center" indent="2"/>
    </xf>
    <xf numFmtId="0" fontId="31" fillId="0" borderId="37" xfId="0" applyFont="1" applyBorder="1" applyAlignment="1">
      <alignment horizontal="left" vertical="center" indent="1"/>
    </xf>
    <xf numFmtId="0" fontId="31" fillId="0" borderId="37" xfId="0" applyFont="1" applyBorder="1" applyAlignment="1">
      <alignment horizontal="center" vertical="center"/>
    </xf>
    <xf numFmtId="0" fontId="31" fillId="0" borderId="3" xfId="0" applyFont="1" applyBorder="1" applyAlignment="1">
      <alignment horizontal="left" indent="1"/>
    </xf>
    <xf numFmtId="0" fontId="31" fillId="0" borderId="13" xfId="0" applyFont="1" applyBorder="1" applyAlignment="1">
      <alignment horizontal="center" vertical="center"/>
    </xf>
    <xf numFmtId="0" fontId="31" fillId="0" borderId="2" xfId="0" applyFont="1" applyBorder="1" applyAlignment="1">
      <alignment horizontal="left" vertical="center" indent="5"/>
    </xf>
    <xf numFmtId="0" fontId="31" fillId="0" borderId="0" xfId="0" applyFont="1" applyBorder="1" applyAlignment="1">
      <alignment horizontal="left" vertical="center" indent="1"/>
    </xf>
    <xf numFmtId="0" fontId="31" fillId="0" borderId="42" xfId="0" applyFont="1" applyBorder="1" applyAlignment="1">
      <alignment horizontal="center" vertical="center"/>
    </xf>
    <xf numFmtId="0" fontId="31" fillId="0" borderId="5" xfId="0" applyFont="1" applyBorder="1" applyAlignment="1">
      <alignment horizontal="left" indent="1"/>
    </xf>
    <xf numFmtId="0" fontId="31" fillId="0" borderId="0" xfId="0" applyFont="1" applyBorder="1" applyAlignment="1">
      <alignment horizontal="left" indent="3"/>
    </xf>
    <xf numFmtId="0" fontId="31" fillId="0" borderId="30" xfId="0" applyFont="1" applyBorder="1" applyAlignment="1">
      <alignment horizontal="center" vertical="center"/>
    </xf>
    <xf numFmtId="0" fontId="31" fillId="0" borderId="5" xfId="0" applyFont="1" applyBorder="1" applyAlignment="1">
      <alignment horizontal="left" vertical="center" indent="5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0" fontId="31" fillId="0" borderId="14" xfId="0" applyFont="1" applyBorder="1" applyAlignment="1">
      <alignment horizontal="left" vertical="center" indent="1"/>
    </xf>
    <xf numFmtId="0" fontId="31" fillId="0" borderId="40" xfId="0" applyFont="1" applyBorder="1" applyAlignment="1">
      <alignment horizontal="left" vertical="center" indent="1"/>
    </xf>
    <xf numFmtId="0" fontId="31" fillId="0" borderId="40" xfId="0" applyFont="1" applyBorder="1" applyAlignment="1">
      <alignment horizontal="center" vertical="center"/>
    </xf>
    <xf numFmtId="0" fontId="31" fillId="0" borderId="98" xfId="0" applyFont="1" applyBorder="1" applyAlignment="1">
      <alignment horizontal="center" vertical="center"/>
    </xf>
    <xf numFmtId="0" fontId="31" fillId="0" borderId="99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0" borderId="72" xfId="0" applyFont="1" applyBorder="1" applyAlignment="1">
      <alignment horizontal="left" vertical="center" indent="1"/>
    </xf>
    <xf numFmtId="0" fontId="31" fillId="0" borderId="97" xfId="0" applyFont="1" applyBorder="1" applyAlignment="1">
      <alignment horizontal="left" vertical="center" indent="1"/>
    </xf>
    <xf numFmtId="0" fontId="31" fillId="0" borderId="94" xfId="0" applyFont="1" applyBorder="1" applyAlignment="1">
      <alignment horizontal="left" vertical="center" indent="3"/>
    </xf>
    <xf numFmtId="0" fontId="32" fillId="0" borderId="77" xfId="0" applyFont="1" applyBorder="1" applyAlignment="1">
      <alignment vertical="center"/>
    </xf>
    <xf numFmtId="0" fontId="32" fillId="0" borderId="100" xfId="0" applyFont="1" applyBorder="1" applyAlignment="1">
      <alignment vertical="center"/>
    </xf>
    <xf numFmtId="0" fontId="32" fillId="0" borderId="85" xfId="0" applyFont="1" applyBorder="1" applyAlignment="1">
      <alignment vertical="center"/>
    </xf>
    <xf numFmtId="166" fontId="32" fillId="0" borderId="85" xfId="3" applyNumberFormat="1" applyFont="1" applyBorder="1" applyAlignment="1">
      <alignment vertical="center"/>
    </xf>
    <xf numFmtId="166" fontId="32" fillId="0" borderId="80" xfId="3" applyNumberFormat="1" applyFont="1" applyBorder="1" applyAlignment="1">
      <alignment vertical="center"/>
    </xf>
    <xf numFmtId="166" fontId="32" fillId="0" borderId="100" xfId="3" applyNumberFormat="1" applyFont="1" applyBorder="1" applyAlignment="1">
      <alignment vertical="center"/>
    </xf>
    <xf numFmtId="0" fontId="32" fillId="0" borderId="68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 indent="1"/>
    </xf>
    <xf numFmtId="0" fontId="11" fillId="0" borderId="29" xfId="0" applyFont="1" applyBorder="1"/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66" fontId="31" fillId="0" borderId="0" xfId="3" applyNumberFormat="1" applyFont="1" applyFill="1" applyBorder="1" applyAlignment="1">
      <alignment horizontal="right" vertical="center"/>
    </xf>
    <xf numFmtId="165" fontId="31" fillId="0" borderId="0" xfId="3" applyFont="1" applyFill="1" applyBorder="1" applyAlignment="1">
      <alignment horizontal="right" vertical="center"/>
    </xf>
    <xf numFmtId="165" fontId="31" fillId="0" borderId="0" xfId="3" applyFont="1" applyFill="1" applyBorder="1" applyAlignment="1">
      <alignment horizontal="center" vertical="center"/>
    </xf>
    <xf numFmtId="165" fontId="31" fillId="0" borderId="0" xfId="3" applyNumberFormat="1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left" vertical="center" indent="2"/>
    </xf>
    <xf numFmtId="0" fontId="31" fillId="0" borderId="37" xfId="0" applyFont="1" applyFill="1" applyBorder="1" applyAlignment="1">
      <alignment horizontal="left" vertical="center" indent="1"/>
    </xf>
    <xf numFmtId="166" fontId="31" fillId="0" borderId="37" xfId="3" applyNumberFormat="1" applyFont="1" applyFill="1" applyBorder="1" applyAlignment="1">
      <alignment horizontal="right" vertical="center"/>
    </xf>
    <xf numFmtId="165" fontId="31" fillId="0" borderId="37" xfId="3" applyFont="1" applyFill="1" applyBorder="1" applyAlignment="1">
      <alignment horizontal="right" vertical="center"/>
    </xf>
    <xf numFmtId="0" fontId="31" fillId="0" borderId="37" xfId="0" applyFont="1" applyFill="1" applyBorder="1" applyAlignment="1">
      <alignment horizontal="center" vertical="center"/>
    </xf>
    <xf numFmtId="165" fontId="31" fillId="0" borderId="37" xfId="3" applyFont="1" applyFill="1" applyBorder="1" applyAlignment="1">
      <alignment horizontal="center" vertical="center"/>
    </xf>
    <xf numFmtId="165" fontId="31" fillId="0" borderId="37" xfId="3" applyNumberFormat="1" applyFont="1" applyFill="1" applyBorder="1" applyAlignment="1">
      <alignment horizontal="center" vertical="center"/>
    </xf>
    <xf numFmtId="165" fontId="32" fillId="0" borderId="47" xfId="3" applyFont="1" applyFill="1" applyBorder="1" applyAlignment="1">
      <alignment vertical="center"/>
    </xf>
    <xf numFmtId="0" fontId="31" fillId="0" borderId="3" xfId="0" applyFont="1" applyFill="1" applyBorder="1" applyAlignment="1">
      <alignment horizontal="left" indent="1"/>
    </xf>
    <xf numFmtId="0" fontId="31" fillId="0" borderId="13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left" vertical="center" indent="5"/>
    </xf>
    <xf numFmtId="0" fontId="31" fillId="0" borderId="0" xfId="0" applyFont="1" applyFill="1" applyBorder="1" applyAlignment="1">
      <alignment horizontal="left" vertical="center" indent="1"/>
    </xf>
    <xf numFmtId="165" fontId="31" fillId="0" borderId="42" xfId="3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left" indent="1"/>
    </xf>
    <xf numFmtId="0" fontId="31" fillId="0" borderId="0" xfId="0" applyFont="1" applyFill="1" applyBorder="1" applyAlignment="1">
      <alignment horizontal="left" indent="3"/>
    </xf>
    <xf numFmtId="0" fontId="31" fillId="0" borderId="30" xfId="0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left" vertical="center" indent="5"/>
    </xf>
    <xf numFmtId="166" fontId="32" fillId="0" borderId="0" xfId="3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14" xfId="0" applyFont="1" applyFill="1" applyBorder="1" applyAlignment="1">
      <alignment horizontal="left" vertical="center" indent="1"/>
    </xf>
    <xf numFmtId="0" fontId="31" fillId="0" borderId="40" xfId="0" applyFont="1" applyFill="1" applyBorder="1" applyAlignment="1">
      <alignment horizontal="left" vertical="center" indent="1"/>
    </xf>
    <xf numFmtId="166" fontId="31" fillId="0" borderId="40" xfId="3" applyNumberFormat="1" applyFont="1" applyFill="1" applyBorder="1" applyAlignment="1">
      <alignment horizontal="right" vertical="center"/>
    </xf>
    <xf numFmtId="165" fontId="31" fillId="0" borderId="40" xfId="3" applyFont="1" applyFill="1" applyBorder="1" applyAlignment="1">
      <alignment horizontal="right" vertical="center"/>
    </xf>
    <xf numFmtId="0" fontId="31" fillId="0" borderId="40" xfId="0" applyFont="1" applyFill="1" applyBorder="1" applyAlignment="1">
      <alignment horizontal="center" vertical="center"/>
    </xf>
    <xf numFmtId="165" fontId="31" fillId="0" borderId="40" xfId="3" applyFont="1" applyFill="1" applyBorder="1" applyAlignment="1">
      <alignment horizontal="center" vertical="center"/>
    </xf>
    <xf numFmtId="165" fontId="31" fillId="0" borderId="40" xfId="3" applyNumberFormat="1" applyFont="1" applyFill="1" applyBorder="1" applyAlignment="1">
      <alignment horizontal="center" vertical="center"/>
    </xf>
    <xf numFmtId="165" fontId="31" fillId="0" borderId="98" xfId="3" applyFont="1" applyFill="1" applyBorder="1" applyAlignment="1">
      <alignment horizontal="center" vertical="center"/>
    </xf>
    <xf numFmtId="0" fontId="31" fillId="0" borderId="99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0" borderId="19" xfId="0" applyFont="1" applyFill="1" applyBorder="1" applyAlignment="1">
      <alignment horizontal="center" vertical="center" wrapText="1"/>
    </xf>
    <xf numFmtId="0" fontId="31" fillId="0" borderId="16" xfId="0" applyFont="1" applyFill="1" applyBorder="1" applyAlignment="1">
      <alignment horizontal="center" vertical="center" wrapText="1"/>
    </xf>
    <xf numFmtId="165" fontId="31" fillId="0" borderId="41" xfId="3" applyFont="1" applyFill="1" applyBorder="1" applyAlignment="1">
      <alignment horizontal="center" vertical="center" wrapText="1"/>
    </xf>
    <xf numFmtId="165" fontId="31" fillId="0" borderId="41" xfId="3" applyNumberFormat="1" applyFont="1" applyFill="1" applyBorder="1" applyAlignment="1">
      <alignment horizontal="center" vertical="center" wrapText="1"/>
    </xf>
    <xf numFmtId="165" fontId="31" fillId="0" borderId="101" xfId="3" applyFont="1" applyFill="1" applyBorder="1" applyAlignment="1">
      <alignment horizontal="center" vertical="center" wrapText="1"/>
    </xf>
    <xf numFmtId="166" fontId="31" fillId="0" borderId="11" xfId="3" applyNumberFormat="1" applyFont="1" applyFill="1" applyBorder="1" applyAlignment="1">
      <alignment horizontal="center" vertical="center" wrapText="1"/>
    </xf>
    <xf numFmtId="166" fontId="31" fillId="0" borderId="101" xfId="3" applyNumberFormat="1" applyFont="1" applyFill="1" applyBorder="1" applyAlignment="1">
      <alignment horizontal="center" vertical="center" wrapText="1"/>
    </xf>
    <xf numFmtId="166" fontId="31" fillId="0" borderId="10" xfId="3" applyNumberFormat="1" applyFont="1" applyFill="1" applyBorder="1" applyAlignment="1">
      <alignment horizontal="center" vertical="center" wrapText="1"/>
    </xf>
    <xf numFmtId="166" fontId="31" fillId="0" borderId="102" xfId="3" applyNumberFormat="1" applyFont="1" applyFill="1" applyBorder="1" applyAlignment="1">
      <alignment horizontal="center" vertical="center" wrapText="1"/>
    </xf>
    <xf numFmtId="49" fontId="35" fillId="0" borderId="69" xfId="0" applyNumberFormat="1" applyFont="1" applyFill="1" applyBorder="1" applyAlignment="1">
      <alignment horizontal="center" vertical="center" wrapText="1"/>
    </xf>
    <xf numFmtId="49" fontId="35" fillId="0" borderId="51" xfId="0" applyNumberFormat="1" applyFont="1" applyFill="1" applyBorder="1" applyAlignment="1">
      <alignment horizontal="center" vertical="center" wrapText="1"/>
    </xf>
    <xf numFmtId="49" fontId="35" fillId="0" borderId="52" xfId="0" applyNumberFormat="1" applyFont="1" applyFill="1" applyBorder="1" applyAlignment="1">
      <alignment horizontal="center" vertical="center" wrapText="1"/>
    </xf>
    <xf numFmtId="166" fontId="35" fillId="0" borderId="52" xfId="3" applyNumberFormat="1" applyFont="1" applyFill="1" applyBorder="1" applyAlignment="1">
      <alignment horizontal="right" vertical="center" wrapText="1"/>
    </xf>
    <xf numFmtId="165" fontId="35" fillId="0" borderId="52" xfId="3" applyFont="1" applyFill="1" applyBorder="1" applyAlignment="1">
      <alignment horizontal="right" vertical="center" wrapText="1"/>
    </xf>
    <xf numFmtId="49" fontId="35" fillId="0" borderId="53" xfId="0" applyNumberFormat="1" applyFont="1" applyFill="1" applyBorder="1" applyAlignment="1">
      <alignment horizontal="center" vertical="center" wrapText="1"/>
    </xf>
    <xf numFmtId="49" fontId="35" fillId="0" borderId="74" xfId="0" applyNumberFormat="1" applyFont="1" applyFill="1" applyBorder="1" applyAlignment="1">
      <alignment horizontal="center" vertical="center" wrapText="1"/>
    </xf>
    <xf numFmtId="165" fontId="35" fillId="0" borderId="51" xfId="3" applyFont="1" applyFill="1" applyBorder="1" applyAlignment="1">
      <alignment horizontal="center" vertical="center" wrapText="1"/>
    </xf>
    <xf numFmtId="165" fontId="35" fillId="0" borderId="20" xfId="3" applyNumberFormat="1" applyFont="1" applyFill="1" applyBorder="1" applyAlignment="1">
      <alignment horizontal="center" vertical="center" wrapText="1"/>
    </xf>
    <xf numFmtId="165" fontId="35" fillId="0" borderId="73" xfId="3" applyFont="1" applyFill="1" applyBorder="1" applyAlignment="1">
      <alignment horizontal="center" vertical="center" wrapText="1"/>
    </xf>
    <xf numFmtId="49" fontId="35" fillId="0" borderId="28" xfId="0" applyNumberFormat="1" applyFont="1" applyFill="1" applyBorder="1" applyAlignment="1">
      <alignment horizontal="center" vertical="center" wrapText="1"/>
    </xf>
    <xf numFmtId="0" fontId="87" fillId="0" borderId="29" xfId="0" applyFont="1" applyFill="1" applyBorder="1" applyAlignment="1">
      <alignment vertical="center"/>
    </xf>
    <xf numFmtId="166" fontId="87" fillId="0" borderId="29" xfId="3" applyNumberFormat="1" applyFont="1" applyFill="1" applyBorder="1" applyAlignment="1">
      <alignment horizontal="right" vertical="center" indent="2"/>
    </xf>
    <xf numFmtId="165" fontId="87" fillId="0" borderId="29" xfId="3" applyFont="1" applyFill="1" applyBorder="1" applyAlignment="1">
      <alignment horizontal="right" vertical="center" indent="2"/>
    </xf>
    <xf numFmtId="0" fontId="87" fillId="0" borderId="29" xfId="0" applyFont="1" applyFill="1" applyBorder="1" applyAlignment="1">
      <alignment horizontal="left" vertical="center" indent="2"/>
    </xf>
    <xf numFmtId="0" fontId="87" fillId="0" borderId="29" xfId="0" applyFont="1" applyFill="1" applyBorder="1" applyAlignment="1">
      <alignment horizontal="right" vertical="center"/>
    </xf>
    <xf numFmtId="165" fontId="87" fillId="0" borderId="29" xfId="3" applyFont="1" applyFill="1" applyBorder="1" applyAlignment="1">
      <alignment horizontal="center" vertical="center"/>
    </xf>
    <xf numFmtId="165" fontId="87" fillId="0" borderId="29" xfId="3" applyNumberFormat="1" applyFont="1" applyFill="1" applyBorder="1" applyAlignment="1">
      <alignment vertical="center"/>
    </xf>
    <xf numFmtId="165" fontId="87" fillId="0" borderId="29" xfId="3" applyFont="1" applyFill="1" applyBorder="1" applyAlignment="1">
      <alignment vertical="center"/>
    </xf>
    <xf numFmtId="0" fontId="88" fillId="0" borderId="29" xfId="0" applyFont="1" applyFill="1" applyBorder="1" applyAlignment="1">
      <alignment vertical="center"/>
    </xf>
    <xf numFmtId="165" fontId="88" fillId="0" borderId="29" xfId="3" applyFont="1" applyFill="1" applyBorder="1" applyAlignment="1">
      <alignment vertical="center"/>
    </xf>
    <xf numFmtId="166" fontId="88" fillId="0" borderId="29" xfId="3" applyNumberFormat="1" applyFont="1" applyFill="1" applyBorder="1" applyAlignment="1">
      <alignment horizontal="right" vertical="center"/>
    </xf>
    <xf numFmtId="165" fontId="88" fillId="0" borderId="29" xfId="3" applyFont="1" applyFill="1" applyBorder="1" applyAlignment="1">
      <alignment horizontal="right" vertical="center"/>
    </xf>
    <xf numFmtId="9" fontId="88" fillId="0" borderId="29" xfId="6" applyFont="1" applyFill="1" applyBorder="1" applyAlignment="1">
      <alignment horizontal="right" vertical="center"/>
    </xf>
    <xf numFmtId="2" fontId="87" fillId="0" borderId="29" xfId="0" applyNumberFormat="1" applyFont="1" applyFill="1" applyBorder="1" applyAlignment="1">
      <alignment horizontal="center" vertical="center"/>
    </xf>
    <xf numFmtId="1" fontId="87" fillId="0" borderId="29" xfId="0" applyNumberFormat="1" applyFont="1" applyFill="1" applyBorder="1" applyAlignment="1">
      <alignment horizontal="right" vertical="center" wrapText="1"/>
    </xf>
    <xf numFmtId="2" fontId="87" fillId="0" borderId="29" xfId="0" applyNumberFormat="1" applyFont="1" applyFill="1" applyBorder="1" applyAlignment="1">
      <alignment horizontal="right" vertical="center" wrapText="1"/>
    </xf>
    <xf numFmtId="2" fontId="87" fillId="0" borderId="29" xfId="0" applyNumberFormat="1" applyFont="1" applyFill="1" applyBorder="1" applyAlignment="1">
      <alignment horizontal="left" vertical="center" wrapText="1"/>
    </xf>
    <xf numFmtId="2" fontId="87" fillId="0" borderId="29" xfId="0" applyNumberFormat="1" applyFont="1" applyFill="1" applyBorder="1" applyAlignment="1">
      <alignment horizontal="right" vertical="center"/>
    </xf>
    <xf numFmtId="2" fontId="87" fillId="0" borderId="29" xfId="3" applyNumberFormat="1" applyFont="1" applyFill="1" applyBorder="1" applyAlignment="1">
      <alignment horizontal="right" vertical="center"/>
    </xf>
    <xf numFmtId="9" fontId="87" fillId="0" borderId="29" xfId="6" applyNumberFormat="1" applyFont="1" applyFill="1" applyBorder="1" applyAlignment="1">
      <alignment horizontal="right" vertical="center"/>
    </xf>
    <xf numFmtId="0" fontId="89" fillId="0" borderId="29" xfId="0" applyFont="1" applyFill="1" applyBorder="1" applyAlignment="1">
      <alignment horizontal="left" vertical="center"/>
    </xf>
    <xf numFmtId="0" fontId="87" fillId="0" borderId="29" xfId="0" applyFont="1" applyFill="1" applyBorder="1" applyAlignment="1">
      <alignment horizontal="left" vertical="center"/>
    </xf>
    <xf numFmtId="2" fontId="87" fillId="0" borderId="29" xfId="0" applyNumberFormat="1" applyFont="1" applyFill="1" applyBorder="1" applyAlignment="1">
      <alignment horizontal="center" vertical="center" wrapText="1"/>
    </xf>
    <xf numFmtId="2" fontId="87" fillId="0" borderId="29" xfId="3" applyNumberFormat="1" applyFont="1" applyFill="1" applyBorder="1" applyAlignment="1">
      <alignment horizontal="center" vertical="center"/>
    </xf>
    <xf numFmtId="1" fontId="87" fillId="0" borderId="29" xfId="3" applyNumberFormat="1" applyFont="1" applyFill="1" applyBorder="1" applyAlignment="1">
      <alignment horizontal="right" vertical="center"/>
    </xf>
    <xf numFmtId="0" fontId="89" fillId="0" borderId="29" xfId="0" applyFont="1" applyFill="1" applyBorder="1" applyAlignment="1">
      <alignment vertical="center"/>
    </xf>
    <xf numFmtId="9" fontId="87" fillId="0" borderId="29" xfId="6" applyFont="1" applyFill="1" applyBorder="1" applyAlignment="1">
      <alignment horizontal="right" vertical="center"/>
    </xf>
    <xf numFmtId="0" fontId="87" fillId="0" borderId="29" xfId="3" applyNumberFormat="1" applyFont="1" applyFill="1" applyBorder="1" applyAlignment="1">
      <alignment horizontal="right" vertical="center" wrapText="1"/>
    </xf>
    <xf numFmtId="165" fontId="87" fillId="0" borderId="29" xfId="3" applyFont="1" applyFill="1" applyBorder="1" applyAlignment="1">
      <alignment horizontal="right" vertical="center" wrapText="1"/>
    </xf>
    <xf numFmtId="0" fontId="87" fillId="0" borderId="29" xfId="0" applyNumberFormat="1" applyFont="1" applyFill="1" applyBorder="1" applyAlignment="1">
      <alignment horizontal="right" vertical="center" wrapText="1"/>
    </xf>
    <xf numFmtId="0" fontId="87" fillId="0" borderId="70" xfId="11" applyFont="1" applyFill="1" applyBorder="1" applyAlignment="1">
      <alignment horizontal="left" vertical="top"/>
    </xf>
    <xf numFmtId="0" fontId="87" fillId="0" borderId="75" xfId="11" applyFont="1" applyFill="1" applyBorder="1" applyAlignment="1">
      <alignment horizontal="left" vertical="top"/>
    </xf>
    <xf numFmtId="0" fontId="87" fillId="0" borderId="29" xfId="11" applyFont="1" applyFill="1" applyBorder="1" applyAlignment="1">
      <alignment horizontal="left" vertical="top"/>
    </xf>
    <xf numFmtId="0" fontId="87" fillId="0" borderId="29" xfId="11" applyFont="1" applyFill="1" applyBorder="1" applyAlignment="1">
      <alignment horizontal="right" vertical="center"/>
    </xf>
    <xf numFmtId="165" fontId="87" fillId="0" borderId="29" xfId="3" applyNumberFormat="1" applyFont="1" applyFill="1" applyBorder="1" applyAlignment="1">
      <alignment horizontal="right" vertical="center"/>
    </xf>
    <xf numFmtId="9" fontId="87" fillId="0" borderId="29" xfId="11" applyNumberFormat="1" applyFont="1" applyFill="1" applyBorder="1" applyAlignment="1">
      <alignment horizontal="right" vertical="center"/>
    </xf>
    <xf numFmtId="165" fontId="87" fillId="0" borderId="29" xfId="3" applyFont="1" applyFill="1" applyBorder="1" applyAlignment="1">
      <alignment horizontal="right" vertical="center"/>
    </xf>
    <xf numFmtId="0" fontId="87" fillId="0" borderId="71" xfId="11" applyFont="1" applyFill="1" applyBorder="1" applyAlignment="1">
      <alignment horizontal="left" vertical="top"/>
    </xf>
    <xf numFmtId="0" fontId="87" fillId="0" borderId="76" xfId="11" applyFont="1" applyFill="1" applyBorder="1" applyAlignment="1">
      <alignment horizontal="left" vertical="top"/>
    </xf>
    <xf numFmtId="0" fontId="87" fillId="0" borderId="29" xfId="11" applyFont="1" applyFill="1" applyBorder="1" applyAlignment="1">
      <alignment horizontal="right" vertical="center" wrapText="1"/>
    </xf>
    <xf numFmtId="0" fontId="87" fillId="0" borderId="29" xfId="11" applyFont="1" applyFill="1" applyBorder="1" applyAlignment="1">
      <alignment horizontal="left" vertical="top" wrapText="1"/>
    </xf>
    <xf numFmtId="168" fontId="87" fillId="0" borderId="29" xfId="11" applyNumberFormat="1" applyFont="1" applyFill="1" applyBorder="1" applyAlignment="1">
      <alignment horizontal="right" vertical="center"/>
    </xf>
    <xf numFmtId="165" fontId="87" fillId="0" borderId="29" xfId="11" applyNumberFormat="1" applyFont="1" applyFill="1" applyBorder="1" applyAlignment="1">
      <alignment horizontal="right" vertical="center"/>
    </xf>
    <xf numFmtId="3" fontId="87" fillId="0" borderId="29" xfId="11" applyNumberFormat="1" applyFont="1" applyFill="1" applyBorder="1" applyAlignment="1">
      <alignment horizontal="right" vertical="center"/>
    </xf>
    <xf numFmtId="9" fontId="87" fillId="0" borderId="29" xfId="11" applyNumberFormat="1" applyFont="1" applyFill="1" applyBorder="1" applyAlignment="1">
      <alignment horizontal="right" vertical="center" wrapText="1"/>
    </xf>
    <xf numFmtId="0" fontId="87" fillId="0" borderId="42" xfId="11" applyFont="1" applyFill="1" applyBorder="1" applyAlignment="1">
      <alignment horizontal="left" vertical="top"/>
    </xf>
    <xf numFmtId="165" fontId="87" fillId="0" borderId="29" xfId="3" applyNumberFormat="1" applyFont="1" applyFill="1" applyBorder="1" applyAlignment="1">
      <alignment horizontal="right" vertical="center" wrapText="1"/>
    </xf>
    <xf numFmtId="9" fontId="87" fillId="0" borderId="29" xfId="6" applyFont="1" applyFill="1" applyBorder="1" applyAlignment="1">
      <alignment horizontal="right" vertical="center" wrapText="1"/>
    </xf>
    <xf numFmtId="0" fontId="87" fillId="0" borderId="72" xfId="11" applyFont="1" applyFill="1" applyBorder="1" applyAlignment="1">
      <alignment horizontal="left" vertical="top"/>
    </xf>
    <xf numFmtId="0" fontId="87" fillId="0" borderId="77" xfId="11" applyFont="1" applyFill="1" applyBorder="1" applyAlignment="1">
      <alignment horizontal="left" vertical="top"/>
    </xf>
    <xf numFmtId="0" fontId="87" fillId="0" borderId="0" xfId="11" applyFont="1" applyFill="1" applyBorder="1" applyAlignment="1">
      <alignment horizontal="left" vertical="top"/>
    </xf>
    <xf numFmtId="0" fontId="87" fillId="0" borderId="29" xfId="3" applyNumberFormat="1" applyFont="1" applyFill="1" applyBorder="1" applyAlignment="1">
      <alignment horizontal="right" vertical="center"/>
    </xf>
    <xf numFmtId="165" fontId="89" fillId="0" borderId="29" xfId="3" applyFont="1" applyFill="1" applyBorder="1" applyAlignment="1">
      <alignment vertical="center"/>
    </xf>
    <xf numFmtId="166" fontId="87" fillId="0" borderId="29" xfId="3" applyNumberFormat="1" applyFont="1" applyFill="1" applyBorder="1" applyAlignment="1">
      <alignment horizontal="right" vertical="center"/>
    </xf>
    <xf numFmtId="165" fontId="87" fillId="0" borderId="29" xfId="0" applyNumberFormat="1" applyFont="1" applyFill="1" applyBorder="1" applyAlignment="1">
      <alignment horizontal="right" vertical="center"/>
    </xf>
    <xf numFmtId="165" fontId="87" fillId="0" borderId="29" xfId="0" applyNumberFormat="1" applyFont="1" applyFill="1" applyBorder="1" applyAlignment="1">
      <alignment vertical="center"/>
    </xf>
    <xf numFmtId="166" fontId="87" fillId="0" borderId="29" xfId="3" applyNumberFormat="1" applyFont="1" applyFill="1" applyBorder="1" applyAlignment="1">
      <alignment horizontal="right" vertical="center" wrapText="1"/>
    </xf>
    <xf numFmtId="165" fontId="87" fillId="0" borderId="29" xfId="3" applyFont="1" applyFill="1" applyBorder="1" applyAlignment="1">
      <alignment horizontal="right" vertical="center" wrapText="1" indent="2"/>
    </xf>
    <xf numFmtId="0" fontId="87" fillId="0" borderId="29" xfId="0" applyFont="1" applyFill="1" applyBorder="1" applyAlignment="1">
      <alignment horizontal="right" vertical="center" wrapText="1" indent="2"/>
    </xf>
    <xf numFmtId="0" fontId="89" fillId="0" borderId="26" xfId="0" applyFont="1" applyFill="1" applyBorder="1" applyAlignment="1">
      <alignment horizontal="left" vertical="center" indent="1"/>
    </xf>
    <xf numFmtId="166" fontId="89" fillId="0" borderId="26" xfId="3" applyNumberFormat="1" applyFont="1" applyFill="1" applyBorder="1" applyAlignment="1">
      <alignment horizontal="right" vertical="center"/>
    </xf>
    <xf numFmtId="165" fontId="89" fillId="0" borderId="26" xfId="3" applyFont="1" applyFill="1" applyBorder="1" applyAlignment="1">
      <alignment horizontal="right" vertical="center" indent="3"/>
    </xf>
    <xf numFmtId="0" fontId="89" fillId="0" borderId="26" xfId="0" applyFont="1" applyFill="1" applyBorder="1" applyAlignment="1">
      <alignment horizontal="right" vertical="center" indent="3"/>
    </xf>
    <xf numFmtId="0" fontId="87" fillId="0" borderId="26" xfId="0" applyFont="1" applyFill="1" applyBorder="1" applyAlignment="1">
      <alignment horizontal="right" vertical="center"/>
    </xf>
    <xf numFmtId="165" fontId="87" fillId="0" borderId="26" xfId="3" applyFont="1" applyFill="1" applyBorder="1" applyAlignment="1">
      <alignment horizontal="right" vertical="center"/>
    </xf>
    <xf numFmtId="165" fontId="87" fillId="0" borderId="26" xfId="3" applyNumberFormat="1" applyFont="1" applyFill="1" applyBorder="1" applyAlignment="1">
      <alignment horizontal="right" vertical="center"/>
    </xf>
    <xf numFmtId="166" fontId="87" fillId="0" borderId="26" xfId="3" applyNumberFormat="1" applyFont="1" applyFill="1" applyBorder="1" applyAlignment="1">
      <alignment horizontal="right" vertical="center"/>
    </xf>
    <xf numFmtId="2" fontId="87" fillId="0" borderId="26" xfId="0" applyNumberFormat="1" applyFont="1" applyFill="1" applyBorder="1" applyAlignment="1">
      <alignment horizontal="center" vertical="center"/>
    </xf>
    <xf numFmtId="166" fontId="87" fillId="0" borderId="26" xfId="3" applyNumberFormat="1" applyFont="1" applyFill="1" applyBorder="1" applyAlignment="1">
      <alignment vertical="center"/>
    </xf>
    <xf numFmtId="0" fontId="87" fillId="0" borderId="26" xfId="0" applyFont="1" applyFill="1" applyBorder="1" applyAlignment="1">
      <alignment vertical="center"/>
    </xf>
    <xf numFmtId="165" fontId="89" fillId="0" borderId="86" xfId="3" applyFont="1" applyFill="1" applyBorder="1" applyAlignment="1">
      <alignment horizontal="center" vertical="center"/>
    </xf>
    <xf numFmtId="165" fontId="89" fillId="0" borderId="54" xfId="3" applyFont="1" applyFill="1" applyBorder="1" applyAlignment="1">
      <alignment horizontal="left" vertical="center" indent="1"/>
    </xf>
    <xf numFmtId="165" fontId="89" fillId="0" borderId="54" xfId="3" applyFont="1" applyFill="1" applyBorder="1" applyAlignment="1">
      <alignment horizontal="right" vertical="center" indent="1"/>
    </xf>
    <xf numFmtId="165" fontId="89" fillId="0" borderId="54" xfId="3" applyNumberFormat="1" applyFont="1" applyFill="1" applyBorder="1" applyAlignment="1">
      <alignment horizontal="right" vertical="center" indent="1"/>
    </xf>
    <xf numFmtId="9" fontId="89" fillId="0" borderId="54" xfId="3" applyNumberFormat="1" applyFont="1" applyFill="1" applyBorder="1" applyAlignment="1">
      <alignment horizontal="right" vertical="center" indent="1"/>
    </xf>
    <xf numFmtId="165" fontId="89" fillId="0" borderId="93" xfId="3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166" fontId="32" fillId="0" borderId="0" xfId="3" applyNumberFormat="1" applyFont="1" applyFill="1" applyBorder="1" applyAlignment="1">
      <alignment horizontal="right" vertical="center" indent="1"/>
    </xf>
    <xf numFmtId="165" fontId="32" fillId="0" borderId="0" xfId="3" applyFont="1" applyFill="1" applyBorder="1" applyAlignment="1">
      <alignment horizontal="right" vertical="center" indent="1"/>
    </xf>
    <xf numFmtId="0" fontId="32" fillId="0" borderId="0" xfId="0" applyFont="1" applyFill="1" applyBorder="1" applyAlignment="1">
      <alignment horizontal="left" vertical="center" indent="1"/>
    </xf>
    <xf numFmtId="0" fontId="32" fillId="0" borderId="0" xfId="0" applyFont="1" applyFill="1" applyBorder="1" applyAlignment="1">
      <alignment horizontal="right" vertical="center"/>
    </xf>
    <xf numFmtId="165" fontId="32" fillId="0" borderId="0" xfId="3" applyFont="1" applyFill="1" applyBorder="1" applyAlignment="1">
      <alignment vertical="center"/>
    </xf>
    <xf numFmtId="165" fontId="32" fillId="0" borderId="0" xfId="3" applyNumberFormat="1" applyFont="1" applyFill="1" applyBorder="1" applyAlignment="1">
      <alignment vertical="center"/>
    </xf>
    <xf numFmtId="0" fontId="90" fillId="0" borderId="0" xfId="0" applyFont="1" applyFill="1" applyBorder="1" applyAlignment="1">
      <alignment vertical="center"/>
    </xf>
    <xf numFmtId="166" fontId="90" fillId="0" borderId="0" xfId="3" applyNumberFormat="1" applyFont="1" applyFill="1" applyBorder="1" applyAlignment="1">
      <alignment horizontal="right" vertical="center" indent="1"/>
    </xf>
    <xf numFmtId="165" fontId="90" fillId="0" borderId="0" xfId="3" applyFont="1" applyFill="1" applyBorder="1" applyAlignment="1">
      <alignment horizontal="right" vertical="center" indent="1"/>
    </xf>
    <xf numFmtId="0" fontId="90" fillId="0" borderId="0" xfId="0" applyFont="1" applyFill="1" applyBorder="1" applyAlignment="1">
      <alignment horizontal="left" vertical="center" indent="1"/>
    </xf>
    <xf numFmtId="0" fontId="90" fillId="0" borderId="0" xfId="0" applyFont="1" applyFill="1" applyBorder="1" applyAlignment="1">
      <alignment horizontal="right" vertical="center"/>
    </xf>
    <xf numFmtId="165" fontId="90" fillId="0" borderId="0" xfId="3" applyFont="1" applyFill="1" applyBorder="1" applyAlignment="1">
      <alignment vertical="center"/>
    </xf>
    <xf numFmtId="165" fontId="90" fillId="0" borderId="0" xfId="3" applyNumberFormat="1" applyFont="1" applyFill="1" applyBorder="1" applyAlignment="1">
      <alignment vertical="center"/>
    </xf>
    <xf numFmtId="166" fontId="90" fillId="0" borderId="0" xfId="3" applyNumberFormat="1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35" fillId="0" borderId="0" xfId="0" applyFont="1" applyAlignment="1">
      <alignment horizontal="right" vertical="center"/>
    </xf>
    <xf numFmtId="165" fontId="35" fillId="0" borderId="0" xfId="3" applyNumberFormat="1" applyFont="1" applyAlignment="1">
      <alignment horizontal="right" vertical="center"/>
    </xf>
    <xf numFmtId="166" fontId="35" fillId="0" borderId="0" xfId="3" applyNumberFormat="1" applyFont="1" applyAlignment="1">
      <alignment horizontal="right" vertical="center"/>
    </xf>
    <xf numFmtId="165" fontId="35" fillId="0" borderId="0" xfId="3" applyFont="1" applyAlignment="1">
      <alignment horizontal="right" vertical="center"/>
    </xf>
    <xf numFmtId="0" fontId="91" fillId="0" borderId="0" xfId="0" applyFont="1" applyBorder="1" applyAlignment="1">
      <alignment horizontal="left" vertical="center" indent="1"/>
    </xf>
    <xf numFmtId="0" fontId="92" fillId="0" borderId="0" xfId="0" applyFont="1" applyBorder="1" applyAlignment="1">
      <alignment vertical="center"/>
    </xf>
    <xf numFmtId="0" fontId="92" fillId="0" borderId="0" xfId="0" applyFont="1" applyFill="1" applyBorder="1" applyAlignment="1">
      <alignment vertical="center"/>
    </xf>
    <xf numFmtId="166" fontId="92" fillId="0" borderId="0" xfId="3" applyNumberFormat="1" applyFont="1" applyBorder="1" applyAlignment="1">
      <alignment horizontal="right" vertical="center" indent="1"/>
    </xf>
    <xf numFmtId="165" fontId="92" fillId="0" borderId="0" xfId="3" applyFont="1" applyBorder="1" applyAlignment="1">
      <alignment horizontal="left" vertical="center" indent="1"/>
    </xf>
    <xf numFmtId="0" fontId="92" fillId="0" borderId="0" xfId="0" applyFont="1" applyBorder="1" applyAlignment="1">
      <alignment horizontal="left" vertical="center" indent="1"/>
    </xf>
    <xf numFmtId="0" fontId="92" fillId="0" borderId="0" xfId="0" applyFont="1" applyBorder="1" applyAlignment="1">
      <alignment horizontal="right" vertical="center"/>
    </xf>
    <xf numFmtId="165" fontId="92" fillId="0" borderId="0" xfId="3" applyFont="1" applyBorder="1" applyAlignment="1">
      <alignment vertical="center"/>
    </xf>
    <xf numFmtId="165" fontId="92" fillId="0" borderId="0" xfId="3" applyNumberFormat="1" applyFont="1" applyBorder="1" applyAlignment="1">
      <alignment vertical="center"/>
    </xf>
    <xf numFmtId="165" fontId="91" fillId="0" borderId="0" xfId="3" applyFont="1" applyBorder="1" applyAlignment="1">
      <alignment vertical="center"/>
    </xf>
    <xf numFmtId="0" fontId="92" fillId="0" borderId="0" xfId="0" applyFont="1" applyAlignment="1">
      <alignment vertical="center"/>
    </xf>
    <xf numFmtId="166" fontId="92" fillId="0" borderId="0" xfId="3" applyNumberFormat="1" applyFont="1" applyBorder="1" applyAlignment="1">
      <alignment vertical="center"/>
    </xf>
    <xf numFmtId="0" fontId="91" fillId="0" borderId="0" xfId="0" applyFont="1" applyBorder="1" applyAlignment="1">
      <alignment vertical="center"/>
    </xf>
    <xf numFmtId="166" fontId="92" fillId="0" borderId="0" xfId="3" applyNumberFormat="1" applyFont="1" applyAlignment="1">
      <alignment vertical="center"/>
    </xf>
    <xf numFmtId="166" fontId="93" fillId="0" borderId="0" xfId="3" applyNumberFormat="1" applyFont="1" applyBorder="1" applyAlignment="1">
      <alignment vertical="center"/>
    </xf>
    <xf numFmtId="166" fontId="93" fillId="0" borderId="0" xfId="3" applyNumberFormat="1" applyFont="1" applyFill="1" applyBorder="1" applyAlignment="1">
      <alignment vertical="center"/>
    </xf>
    <xf numFmtId="166" fontId="92" fillId="0" borderId="0" xfId="3" applyNumberFormat="1" applyFont="1" applyBorder="1" applyAlignment="1">
      <alignment horizontal="right" vertical="center"/>
    </xf>
    <xf numFmtId="166" fontId="92" fillId="0" borderId="0" xfId="3" applyNumberFormat="1" applyFont="1" applyAlignment="1">
      <alignment horizontal="right" vertical="center" wrapText="1"/>
    </xf>
    <xf numFmtId="165" fontId="92" fillId="0" borderId="0" xfId="3" applyFont="1" applyAlignment="1">
      <alignment horizontal="right" vertical="center" wrapText="1"/>
    </xf>
    <xf numFmtId="166" fontId="92" fillId="0" borderId="0" xfId="3" applyNumberFormat="1" applyFont="1" applyAlignment="1">
      <alignment horizontal="left" vertical="center"/>
    </xf>
    <xf numFmtId="166" fontId="92" fillId="0" borderId="0" xfId="3" applyNumberFormat="1" applyFont="1" applyFill="1" applyAlignment="1">
      <alignment horizontal="left" vertical="center"/>
    </xf>
    <xf numFmtId="166" fontId="92" fillId="0" borderId="0" xfId="3" applyNumberFormat="1" applyFont="1" applyAlignment="1">
      <alignment horizontal="right" vertical="center"/>
    </xf>
    <xf numFmtId="165" fontId="92" fillId="0" borderId="0" xfId="3" applyNumberFormat="1" applyFont="1" applyAlignment="1">
      <alignment horizontal="right" vertical="center"/>
    </xf>
    <xf numFmtId="165" fontId="92" fillId="0" borderId="0" xfId="3" applyFont="1" applyAlignment="1">
      <alignment horizontal="right" vertical="center"/>
    </xf>
    <xf numFmtId="166" fontId="91" fillId="0" borderId="0" xfId="3" applyNumberFormat="1" applyFont="1" applyFill="1" applyAlignment="1">
      <alignment vertical="center"/>
    </xf>
    <xf numFmtId="166" fontId="31" fillId="0" borderId="0" xfId="3" applyNumberFormat="1" applyFont="1" applyFill="1" applyAlignment="1">
      <alignment vertical="center"/>
    </xf>
    <xf numFmtId="166" fontId="32" fillId="0" borderId="0" xfId="3" applyNumberFormat="1" applyFont="1" applyFill="1" applyAlignment="1">
      <alignment horizontal="right" vertical="center"/>
    </xf>
    <xf numFmtId="165" fontId="32" fillId="0" borderId="0" xfId="3" applyFont="1" applyFill="1" applyAlignment="1">
      <alignment horizontal="right" vertical="center"/>
    </xf>
    <xf numFmtId="166" fontId="32" fillId="0" borderId="0" xfId="3" applyNumberFormat="1" applyFont="1" applyFill="1" applyAlignment="1">
      <alignment vertical="center"/>
    </xf>
    <xf numFmtId="165" fontId="32" fillId="0" borderId="0" xfId="3" applyFont="1" applyFill="1" applyAlignment="1">
      <alignment vertical="center"/>
    </xf>
    <xf numFmtId="165" fontId="32" fillId="0" borderId="0" xfId="3" applyNumberFormat="1" applyFont="1" applyFill="1" applyAlignment="1">
      <alignment vertical="center"/>
    </xf>
    <xf numFmtId="49" fontId="35" fillId="0" borderId="29" xfId="0" applyNumberFormat="1" applyFont="1" applyBorder="1" applyAlignment="1">
      <alignment vertical="center" wrapText="1"/>
    </xf>
    <xf numFmtId="49" fontId="35" fillId="0" borderId="29" xfId="0" applyNumberFormat="1" applyFont="1" applyBorder="1" applyAlignment="1">
      <alignment horizontal="left" vertical="center" wrapText="1"/>
    </xf>
    <xf numFmtId="49" fontId="35" fillId="0" borderId="29" xfId="0" applyNumberFormat="1" applyFont="1" applyFill="1" applyBorder="1" applyAlignment="1">
      <alignment horizontal="left" vertical="center" wrapText="1"/>
    </xf>
    <xf numFmtId="49" fontId="35" fillId="0" borderId="29" xfId="0" applyNumberFormat="1" applyFont="1" applyBorder="1" applyAlignment="1">
      <alignment horizontal="right" vertical="center" wrapText="1"/>
    </xf>
    <xf numFmtId="165" fontId="35" fillId="0" borderId="29" xfId="3" applyNumberFormat="1" applyFont="1" applyBorder="1" applyAlignment="1">
      <alignment horizontal="right" vertical="center" wrapText="1"/>
    </xf>
    <xf numFmtId="166" fontId="35" fillId="0" borderId="29" xfId="3" applyNumberFormat="1" applyFont="1" applyBorder="1" applyAlignment="1">
      <alignment horizontal="right" vertical="center" wrapText="1"/>
    </xf>
    <xf numFmtId="165" fontId="35" fillId="0" borderId="29" xfId="3" applyFont="1" applyBorder="1" applyAlignment="1">
      <alignment horizontal="right" vertical="center" wrapText="1"/>
    </xf>
    <xf numFmtId="0" fontId="35" fillId="0" borderId="29" xfId="0" applyFont="1" applyBorder="1" applyAlignment="1">
      <alignment vertical="center"/>
    </xf>
    <xf numFmtId="0" fontId="35" fillId="0" borderId="29" xfId="0" applyFont="1" applyBorder="1" applyAlignment="1">
      <alignment horizontal="left" vertical="center"/>
    </xf>
    <xf numFmtId="0" fontId="35" fillId="0" borderId="29" xfId="0" applyFont="1" applyFill="1" applyBorder="1" applyAlignment="1">
      <alignment horizontal="left" vertical="center"/>
    </xf>
    <xf numFmtId="0" fontId="35" fillId="0" borderId="29" xfId="0" applyFont="1" applyBorder="1" applyAlignment="1">
      <alignment horizontal="right" vertical="center"/>
    </xf>
    <xf numFmtId="165" fontId="35" fillId="0" borderId="29" xfId="3" applyNumberFormat="1" applyFont="1" applyBorder="1" applyAlignment="1">
      <alignment horizontal="right" vertical="center"/>
    </xf>
    <xf numFmtId="166" fontId="35" fillId="0" borderId="29" xfId="3" applyNumberFormat="1" applyFont="1" applyBorder="1" applyAlignment="1">
      <alignment horizontal="right" vertical="center"/>
    </xf>
    <xf numFmtId="165" fontId="35" fillId="0" borderId="29" xfId="3" applyFont="1" applyBorder="1" applyAlignment="1">
      <alignment horizontal="right" vertical="center"/>
    </xf>
    <xf numFmtId="0" fontId="94" fillId="0" borderId="29" xfId="0" applyFont="1" applyBorder="1" applyAlignment="1">
      <alignment vertical="center"/>
    </xf>
    <xf numFmtId="165" fontId="94" fillId="0" borderId="29" xfId="3" applyFont="1" applyBorder="1" applyAlignment="1">
      <alignment horizontal="left" vertical="center"/>
    </xf>
    <xf numFmtId="165" fontId="94" fillId="0" borderId="29" xfId="3" applyFont="1" applyFill="1" applyBorder="1" applyAlignment="1">
      <alignment horizontal="left" vertical="center"/>
    </xf>
    <xf numFmtId="166" fontId="94" fillId="0" borderId="29" xfId="3" applyNumberFormat="1" applyFont="1" applyBorder="1" applyAlignment="1">
      <alignment horizontal="right" vertical="center"/>
    </xf>
    <xf numFmtId="165" fontId="94" fillId="0" borderId="29" xfId="3" applyFont="1" applyBorder="1" applyAlignment="1">
      <alignment horizontal="right" vertical="center"/>
    </xf>
    <xf numFmtId="9" fontId="94" fillId="0" borderId="29" xfId="6" applyFont="1" applyBorder="1" applyAlignment="1">
      <alignment horizontal="right" vertical="center"/>
    </xf>
    <xf numFmtId="0" fontId="34" fillId="0" borderId="29" xfId="0" applyFont="1" applyFill="1" applyBorder="1" applyAlignment="1">
      <alignment horizontal="left" vertical="center"/>
    </xf>
    <xf numFmtId="0" fontId="35" fillId="0" borderId="29" xfId="2" applyFont="1" applyBorder="1" applyAlignment="1">
      <alignment horizontal="left" vertical="center"/>
    </xf>
    <xf numFmtId="0" fontId="35" fillId="0" borderId="106" xfId="2" applyFont="1" applyBorder="1" applyAlignment="1">
      <alignment horizontal="right" vertical="center"/>
    </xf>
    <xf numFmtId="4" fontId="95" fillId="0" borderId="29" xfId="2" applyNumberFormat="1" applyFont="1" applyBorder="1" applyAlignment="1">
      <alignment horizontal="right" vertical="center"/>
    </xf>
    <xf numFmtId="0" fontId="35" fillId="0" borderId="29" xfId="2" applyFont="1" applyBorder="1" applyAlignment="1">
      <alignment horizontal="center" vertical="center"/>
    </xf>
    <xf numFmtId="165" fontId="35" fillId="0" borderId="29" xfId="3" applyFont="1" applyBorder="1" applyAlignment="1">
      <alignment horizontal="center" vertical="center"/>
    </xf>
    <xf numFmtId="165" fontId="96" fillId="0" borderId="29" xfId="0" applyNumberFormat="1" applyFont="1" applyFill="1" applyBorder="1" applyAlignment="1">
      <alignment horizontal="right" vertical="center"/>
    </xf>
    <xf numFmtId="165" fontId="35" fillId="0" borderId="29" xfId="2" applyNumberFormat="1" applyFont="1" applyBorder="1" applyAlignment="1">
      <alignment horizontal="center" vertical="center"/>
    </xf>
    <xf numFmtId="9" fontId="35" fillId="0" borderId="29" xfId="2" applyNumberFormat="1" applyFont="1" applyBorder="1" applyAlignment="1">
      <alignment horizontal="right" vertical="center"/>
    </xf>
    <xf numFmtId="3" fontId="35" fillId="0" borderId="29" xfId="2" applyNumberFormat="1" applyFont="1" applyBorder="1" applyAlignment="1">
      <alignment horizontal="center" vertical="center"/>
    </xf>
    <xf numFmtId="0" fontId="35" fillId="0" borderId="96" xfId="2" applyFont="1" applyBorder="1" applyAlignment="1">
      <alignment horizontal="right" vertical="center"/>
    </xf>
    <xf numFmtId="0" fontId="34" fillId="0" borderId="29" xfId="0" applyFont="1" applyBorder="1" applyAlignment="1">
      <alignment horizontal="left" vertical="center"/>
    </xf>
    <xf numFmtId="165" fontId="35" fillId="0" borderId="29" xfId="0" applyNumberFormat="1" applyFont="1" applyFill="1" applyBorder="1" applyAlignment="1">
      <alignment horizontal="right" vertical="center"/>
    </xf>
    <xf numFmtId="0" fontId="35" fillId="0" borderId="48" xfId="2" applyFont="1" applyBorder="1" applyAlignment="1">
      <alignment horizontal="right" vertical="center" wrapText="1"/>
    </xf>
    <xf numFmtId="0" fontId="35" fillId="0" borderId="29" xfId="2" applyFont="1" applyBorder="1" applyAlignment="1">
      <alignment horizontal="center" vertical="center" wrapText="1"/>
    </xf>
    <xf numFmtId="0" fontId="35" fillId="0" borderId="29" xfId="0" applyFont="1" applyFill="1" applyBorder="1" applyAlignment="1">
      <alignment horizontal="right" vertical="center"/>
    </xf>
    <xf numFmtId="0" fontId="35" fillId="0" borderId="48" xfId="2" applyFont="1" applyBorder="1" applyAlignment="1">
      <alignment horizontal="right" vertical="center"/>
    </xf>
    <xf numFmtId="165" fontId="35" fillId="0" borderId="29" xfId="3" applyFont="1" applyFill="1" applyBorder="1" applyAlignment="1">
      <alignment horizontal="right" vertical="center"/>
    </xf>
    <xf numFmtId="2" fontId="95" fillId="0" borderId="29" xfId="2" applyNumberFormat="1" applyFont="1" applyFill="1" applyBorder="1" applyAlignment="1">
      <alignment horizontal="right" vertical="center"/>
    </xf>
    <xf numFmtId="3" fontId="35" fillId="0" borderId="29" xfId="0" applyNumberFormat="1" applyFont="1" applyFill="1" applyBorder="1" applyAlignment="1">
      <alignment horizontal="right" vertical="center"/>
    </xf>
    <xf numFmtId="0" fontId="35" fillId="0" borderId="100" xfId="2" applyFont="1" applyBorder="1" applyAlignment="1">
      <alignment horizontal="right" vertical="center" wrapText="1"/>
    </xf>
    <xf numFmtId="0" fontId="35" fillId="0" borderId="29" xfId="2" applyFont="1" applyBorder="1" applyAlignment="1">
      <alignment horizontal="right" vertical="center"/>
    </xf>
    <xf numFmtId="0" fontId="35" fillId="4" borderId="29" xfId="0" applyFont="1" applyFill="1" applyBorder="1" applyAlignment="1">
      <alignment vertical="center"/>
    </xf>
    <xf numFmtId="0" fontId="35" fillId="4" borderId="29" xfId="0" applyFont="1" applyFill="1" applyBorder="1" applyAlignment="1">
      <alignment horizontal="left" vertical="center"/>
    </xf>
    <xf numFmtId="0" fontId="35" fillId="4" borderId="29" xfId="0" applyFont="1" applyFill="1" applyBorder="1" applyAlignment="1">
      <alignment horizontal="right" vertical="center" wrapText="1"/>
    </xf>
    <xf numFmtId="165" fontId="35" fillId="4" borderId="29" xfId="3" applyNumberFormat="1" applyFont="1" applyFill="1" applyBorder="1" applyAlignment="1">
      <alignment horizontal="right" vertical="center" wrapText="1"/>
    </xf>
    <xf numFmtId="0" fontId="35" fillId="4" borderId="29" xfId="0" applyFont="1" applyFill="1" applyBorder="1" applyAlignment="1">
      <alignment horizontal="left" vertical="center" wrapText="1"/>
    </xf>
    <xf numFmtId="165" fontId="35" fillId="4" borderId="29" xfId="3" applyFont="1" applyFill="1" applyBorder="1" applyAlignment="1">
      <alignment horizontal="center" vertical="center"/>
    </xf>
    <xf numFmtId="165" fontId="35" fillId="4" borderId="29" xfId="3" applyFont="1" applyFill="1" applyBorder="1" applyAlignment="1">
      <alignment horizontal="right" vertical="center"/>
    </xf>
    <xf numFmtId="166" fontId="35" fillId="4" borderId="29" xfId="0" applyNumberFormat="1" applyFont="1" applyFill="1" applyBorder="1" applyAlignment="1">
      <alignment horizontal="right" vertical="center"/>
    </xf>
    <xf numFmtId="169" fontId="35" fillId="4" borderId="29" xfId="2" applyNumberFormat="1" applyFont="1" applyFill="1" applyBorder="1" applyAlignment="1">
      <alignment horizontal="center" vertical="center"/>
    </xf>
    <xf numFmtId="9" fontId="35" fillId="4" borderId="29" xfId="2" applyNumberFormat="1" applyFont="1" applyFill="1" applyBorder="1" applyAlignment="1">
      <alignment horizontal="right" vertical="center"/>
    </xf>
    <xf numFmtId="165" fontId="35" fillId="4" borderId="29" xfId="0" applyNumberFormat="1" applyFont="1" applyFill="1" applyBorder="1" applyAlignment="1">
      <alignment horizontal="right" vertical="center"/>
    </xf>
    <xf numFmtId="0" fontId="35" fillId="4" borderId="29" xfId="2" applyFont="1" applyFill="1" applyBorder="1" applyAlignment="1">
      <alignment horizontal="center" vertical="center"/>
    </xf>
    <xf numFmtId="0" fontId="94" fillId="0" borderId="29" xfId="0" applyFont="1" applyFill="1" applyBorder="1" applyAlignment="1">
      <alignment vertical="center"/>
    </xf>
    <xf numFmtId="166" fontId="94" fillId="0" borderId="29" xfId="3" applyNumberFormat="1" applyFont="1" applyFill="1" applyBorder="1" applyAlignment="1">
      <alignment horizontal="right" vertical="center"/>
    </xf>
    <xf numFmtId="165" fontId="94" fillId="0" borderId="29" xfId="3" applyFont="1" applyFill="1" applyBorder="1" applyAlignment="1">
      <alignment horizontal="right" vertical="center"/>
    </xf>
    <xf numFmtId="0" fontId="94" fillId="0" borderId="29" xfId="0" applyFont="1" applyFill="1" applyBorder="1" applyAlignment="1">
      <alignment horizontal="left" vertical="center"/>
    </xf>
    <xf numFmtId="170" fontId="97" fillId="0" borderId="29" xfId="0" applyNumberFormat="1" applyFont="1" applyBorder="1" applyAlignment="1">
      <alignment horizontal="left" vertical="center" wrapText="1" shrinkToFit="1"/>
    </xf>
    <xf numFmtId="170" fontId="97" fillId="0" borderId="29" xfId="0" applyNumberFormat="1" applyFont="1" applyBorder="1" applyAlignment="1">
      <alignment horizontal="left" vertical="center" shrinkToFit="1"/>
    </xf>
    <xf numFmtId="170" fontId="97" fillId="0" borderId="29" xfId="0" applyNumberFormat="1" applyFont="1" applyBorder="1" applyAlignment="1">
      <alignment horizontal="right" vertical="center" shrinkToFit="1"/>
    </xf>
    <xf numFmtId="170" fontId="97" fillId="0" borderId="29" xfId="0" applyNumberFormat="1" applyFont="1" applyBorder="1" applyAlignment="1">
      <alignment horizontal="left" vertical="top" wrapText="1" shrinkToFit="1"/>
    </xf>
    <xf numFmtId="9" fontId="97" fillId="0" borderId="29" xfId="6" applyFont="1" applyBorder="1" applyAlignment="1">
      <alignment horizontal="right" vertical="center" shrinkToFit="1"/>
    </xf>
    <xf numFmtId="170" fontId="97" fillId="0" borderId="29" xfId="3" applyNumberFormat="1" applyFont="1" applyBorder="1" applyAlignment="1">
      <alignment horizontal="left" vertical="center" shrinkToFit="1"/>
    </xf>
    <xf numFmtId="165" fontId="97" fillId="0" borderId="29" xfId="3" applyFont="1" applyBorder="1" applyAlignment="1">
      <alignment horizontal="right" vertical="center" shrinkToFit="1"/>
    </xf>
    <xf numFmtId="170" fontId="97" fillId="0" borderId="29" xfId="0" applyNumberFormat="1" applyFont="1" applyBorder="1" applyAlignment="1">
      <alignment horizontal="right" vertical="center" wrapText="1" shrinkToFit="1"/>
    </xf>
    <xf numFmtId="0" fontId="97" fillId="0" borderId="29" xfId="3" applyNumberFormat="1" applyFont="1" applyFill="1" applyBorder="1" applyAlignment="1">
      <alignment horizontal="left" vertical="center" shrinkToFit="1"/>
    </xf>
    <xf numFmtId="165" fontId="97" fillId="0" borderId="29" xfId="3" applyFont="1" applyFill="1" applyBorder="1" applyAlignment="1">
      <alignment horizontal="left" vertical="center" shrinkToFit="1"/>
    </xf>
    <xf numFmtId="2" fontId="97" fillId="0" borderId="29" xfId="3" applyNumberFormat="1" applyFont="1" applyFill="1" applyBorder="1" applyAlignment="1">
      <alignment horizontal="right" vertical="center" shrinkToFit="1"/>
    </xf>
    <xf numFmtId="0" fontId="97" fillId="0" borderId="29" xfId="3" applyNumberFormat="1" applyFont="1" applyFill="1" applyBorder="1" applyAlignment="1">
      <alignment horizontal="left" vertical="top" shrinkToFit="1"/>
    </xf>
    <xf numFmtId="2" fontId="97" fillId="0" borderId="29" xfId="3" applyNumberFormat="1" applyFont="1" applyFill="1" applyBorder="1" applyAlignment="1">
      <alignment horizontal="left" vertical="center" shrinkToFit="1"/>
    </xf>
    <xf numFmtId="9" fontId="97" fillId="0" borderId="29" xfId="6" applyFont="1" applyFill="1" applyBorder="1" applyAlignment="1">
      <alignment horizontal="right" vertical="center" shrinkToFit="1"/>
    </xf>
    <xf numFmtId="4" fontId="97" fillId="0" borderId="29" xfId="3" applyNumberFormat="1" applyFont="1" applyFill="1" applyBorder="1" applyAlignment="1">
      <alignment horizontal="left" vertical="center" shrinkToFit="1"/>
    </xf>
    <xf numFmtId="39" fontId="97" fillId="0" borderId="29" xfId="3" applyNumberFormat="1" applyFont="1" applyFill="1" applyBorder="1" applyAlignment="1">
      <alignment horizontal="left" vertical="center" shrinkToFit="1"/>
    </xf>
    <xf numFmtId="165" fontId="97" fillId="0" borderId="29" xfId="3" applyFont="1" applyFill="1" applyBorder="1" applyAlignment="1">
      <alignment horizontal="right" vertical="center" shrinkToFit="1"/>
    </xf>
    <xf numFmtId="0" fontId="97" fillId="0" borderId="29" xfId="0" applyNumberFormat="1" applyFont="1" applyFill="1" applyBorder="1" applyAlignment="1">
      <alignment horizontal="left" vertical="center" wrapText="1" shrinkToFit="1"/>
    </xf>
    <xf numFmtId="2" fontId="97" fillId="0" borderId="29" xfId="0" applyNumberFormat="1" applyFont="1" applyBorder="1" applyAlignment="1">
      <alignment horizontal="right" vertical="center" wrapText="1" shrinkToFit="1"/>
    </xf>
    <xf numFmtId="0" fontId="97" fillId="0" borderId="29" xfId="0" applyNumberFormat="1" applyFont="1" applyBorder="1" applyAlignment="1">
      <alignment horizontal="left" vertical="top" wrapText="1" shrinkToFit="1"/>
    </xf>
    <xf numFmtId="2" fontId="97" fillId="0" borderId="29" xfId="3" applyNumberFormat="1" applyFont="1" applyBorder="1" applyAlignment="1">
      <alignment horizontal="left" vertical="center" shrinkToFit="1"/>
    </xf>
    <xf numFmtId="4" fontId="97" fillId="0" borderId="29" xfId="3" applyNumberFormat="1" applyFont="1" applyBorder="1" applyAlignment="1">
      <alignment horizontal="left" vertical="center" shrinkToFit="1"/>
    </xf>
    <xf numFmtId="39" fontId="97" fillId="0" borderId="29" xfId="3" applyNumberFormat="1" applyFont="1" applyBorder="1" applyAlignment="1">
      <alignment horizontal="left" vertical="center" shrinkToFit="1"/>
    </xf>
    <xf numFmtId="0" fontId="97" fillId="0" borderId="29" xfId="0" applyNumberFormat="1" applyFont="1" applyBorder="1" applyAlignment="1">
      <alignment horizontal="left" vertical="center" wrapText="1" shrinkToFit="1"/>
    </xf>
    <xf numFmtId="2" fontId="97" fillId="0" borderId="29" xfId="0" applyNumberFormat="1" applyFont="1" applyBorder="1" applyAlignment="1">
      <alignment horizontal="right" vertical="center"/>
    </xf>
    <xf numFmtId="0" fontId="97" fillId="0" borderId="29" xfId="0" applyNumberFormat="1" applyFont="1" applyBorder="1" applyAlignment="1">
      <alignment horizontal="left" vertical="top"/>
    </xf>
    <xf numFmtId="2" fontId="97" fillId="0" borderId="29" xfId="3" applyNumberFormat="1" applyFont="1" applyBorder="1" applyAlignment="1">
      <alignment horizontal="left" vertical="center"/>
    </xf>
    <xf numFmtId="4" fontId="97" fillId="0" borderId="29" xfId="3" applyNumberFormat="1" applyFont="1" applyBorder="1" applyAlignment="1">
      <alignment horizontal="left" vertical="center"/>
    </xf>
    <xf numFmtId="2" fontId="97" fillId="0" borderId="29" xfId="0" applyNumberFormat="1" applyFont="1" applyBorder="1" applyAlignment="1">
      <alignment horizontal="right" vertical="center" shrinkToFit="1"/>
    </xf>
    <xf numFmtId="170" fontId="97" fillId="0" borderId="29" xfId="0" applyNumberFormat="1" applyFont="1" applyFill="1" applyBorder="1" applyAlignment="1">
      <alignment horizontal="left" vertical="center" wrapText="1" shrinkToFit="1"/>
    </xf>
    <xf numFmtId="170" fontId="97" fillId="0" borderId="29" xfId="0" applyNumberFormat="1" applyFont="1" applyFill="1" applyBorder="1" applyAlignment="1">
      <alignment horizontal="left" vertical="center" shrinkToFit="1"/>
    </xf>
    <xf numFmtId="2" fontId="97" fillId="0" borderId="29" xfId="0" applyNumberFormat="1" applyFont="1" applyFill="1" applyBorder="1" applyAlignment="1">
      <alignment horizontal="right" vertical="center" wrapText="1" shrinkToFit="1"/>
    </xf>
    <xf numFmtId="0" fontId="97" fillId="0" borderId="29" xfId="0" applyNumberFormat="1" applyFont="1" applyFill="1" applyBorder="1" applyAlignment="1">
      <alignment horizontal="left" vertical="top" wrapText="1" shrinkToFit="1"/>
    </xf>
    <xf numFmtId="170" fontId="97" fillId="0" borderId="29" xfId="0" applyNumberFormat="1" applyFont="1" applyFill="1" applyBorder="1" applyAlignment="1">
      <alignment horizontal="right" vertical="center" wrapText="1" shrinkToFit="1"/>
    </xf>
    <xf numFmtId="170" fontId="97" fillId="0" borderId="29" xfId="0" applyNumberFormat="1" applyFont="1" applyFill="1" applyBorder="1" applyAlignment="1">
      <alignment horizontal="left" vertical="top" wrapText="1" shrinkToFit="1"/>
    </xf>
    <xf numFmtId="170" fontId="97" fillId="0" borderId="29" xfId="3" applyNumberFormat="1" applyFont="1" applyFill="1" applyBorder="1" applyAlignment="1">
      <alignment horizontal="left" vertical="center" shrinkToFit="1"/>
    </xf>
    <xf numFmtId="4" fontId="97" fillId="0" borderId="29" xfId="0" applyNumberFormat="1" applyFont="1" applyBorder="1" applyAlignment="1">
      <alignment horizontal="right" vertical="center" shrinkToFit="1"/>
    </xf>
    <xf numFmtId="4" fontId="97" fillId="0" borderId="29" xfId="3" applyNumberFormat="1" applyFont="1" applyBorder="1" applyAlignment="1">
      <alignment horizontal="right" vertical="center" shrinkToFit="1"/>
    </xf>
    <xf numFmtId="0" fontId="97" fillId="0" borderId="29" xfId="2" applyFont="1" applyBorder="1" applyAlignment="1">
      <alignment horizontal="left" vertical="center"/>
    </xf>
    <xf numFmtId="4" fontId="97" fillId="0" borderId="29" xfId="2" applyNumberFormat="1" applyFont="1" applyBorder="1" applyAlignment="1">
      <alignment horizontal="right" vertical="center" wrapText="1"/>
    </xf>
    <xf numFmtId="0" fontId="97" fillId="0" borderId="29" xfId="2" applyFont="1" applyBorder="1" applyAlignment="1">
      <alignment horizontal="left" vertical="top" wrapText="1"/>
    </xf>
    <xf numFmtId="4" fontId="97" fillId="0" borderId="29" xfId="2" applyNumberFormat="1" applyFont="1" applyBorder="1" applyAlignment="1">
      <alignment horizontal="right" vertical="center"/>
    </xf>
    <xf numFmtId="9" fontId="97" fillId="0" borderId="29" xfId="2" applyNumberFormat="1" applyFont="1" applyBorder="1" applyAlignment="1">
      <alignment horizontal="right" vertical="center"/>
    </xf>
    <xf numFmtId="4" fontId="97" fillId="0" borderId="29" xfId="3" applyNumberFormat="1" applyFont="1" applyBorder="1" applyAlignment="1">
      <alignment horizontal="right" vertical="center"/>
    </xf>
    <xf numFmtId="165" fontId="97" fillId="0" borderId="29" xfId="3" applyFont="1" applyBorder="1" applyAlignment="1">
      <alignment horizontal="right" vertical="center"/>
    </xf>
    <xf numFmtId="4" fontId="97" fillId="0" borderId="29" xfId="0" applyNumberFormat="1" applyFont="1" applyBorder="1" applyAlignment="1">
      <alignment horizontal="right" vertical="center" wrapText="1" shrinkToFit="1"/>
    </xf>
    <xf numFmtId="0" fontId="97" fillId="0" borderId="29" xfId="3" applyNumberFormat="1" applyFont="1" applyBorder="1" applyAlignment="1">
      <alignment horizontal="left" vertical="center" wrapText="1"/>
    </xf>
    <xf numFmtId="165" fontId="97" fillId="0" borderId="29" xfId="3" applyFont="1" applyBorder="1" applyAlignment="1">
      <alignment horizontal="left" vertical="center"/>
    </xf>
    <xf numFmtId="2" fontId="97" fillId="0" borderId="29" xfId="3" applyNumberFormat="1" applyFont="1" applyBorder="1" applyAlignment="1">
      <alignment horizontal="right" vertical="center"/>
    </xf>
    <xf numFmtId="0" fontId="97" fillId="0" borderId="29" xfId="3" applyNumberFormat="1" applyFont="1" applyBorder="1" applyAlignment="1">
      <alignment horizontal="left" vertical="top"/>
    </xf>
    <xf numFmtId="9" fontId="97" fillId="0" borderId="29" xfId="6" applyFont="1" applyBorder="1" applyAlignment="1">
      <alignment horizontal="right" vertical="center"/>
    </xf>
    <xf numFmtId="39" fontId="97" fillId="0" borderId="29" xfId="3" applyNumberFormat="1" applyFont="1" applyBorder="1" applyAlignment="1">
      <alignment horizontal="left" vertical="center"/>
    </xf>
    <xf numFmtId="0" fontId="97" fillId="0" borderId="29" xfId="11" applyFont="1" applyBorder="1" applyAlignment="1">
      <alignment horizontal="left" vertical="center"/>
    </xf>
    <xf numFmtId="2" fontId="97" fillId="0" borderId="29" xfId="11" applyNumberFormat="1" applyFont="1" applyBorder="1" applyAlignment="1">
      <alignment horizontal="right" vertical="center"/>
    </xf>
    <xf numFmtId="0" fontId="97" fillId="0" borderId="29" xfId="11" applyNumberFormat="1" applyFont="1" applyBorder="1" applyAlignment="1">
      <alignment horizontal="left" vertical="top"/>
    </xf>
    <xf numFmtId="0" fontId="97" fillId="0" borderId="29" xfId="11" applyNumberFormat="1" applyFont="1" applyBorder="1" applyAlignment="1">
      <alignment horizontal="left" vertical="center" wrapText="1"/>
    </xf>
    <xf numFmtId="0" fontId="97" fillId="0" borderId="29" xfId="2" applyFont="1" applyBorder="1" applyAlignment="1">
      <alignment horizontal="right" vertical="center" wrapText="1"/>
    </xf>
    <xf numFmtId="3" fontId="97" fillId="0" borderId="29" xfId="2" applyNumberFormat="1" applyFont="1" applyBorder="1" applyAlignment="1">
      <alignment horizontal="left" vertical="center"/>
    </xf>
    <xf numFmtId="2" fontId="97" fillId="0" borderId="29" xfId="2" applyNumberFormat="1" applyFont="1" applyBorder="1" applyAlignment="1">
      <alignment horizontal="left" vertical="center"/>
    </xf>
    <xf numFmtId="2" fontId="97" fillId="0" borderId="29" xfId="0" applyNumberFormat="1" applyFont="1" applyFill="1" applyBorder="1" applyAlignment="1">
      <alignment horizontal="left" vertical="center" shrinkToFit="1"/>
    </xf>
    <xf numFmtId="165" fontId="97" fillId="0" borderId="29" xfId="3" applyFont="1" applyFill="1" applyBorder="1" applyAlignment="1">
      <alignment horizontal="left" vertical="center" wrapText="1" shrinkToFit="1"/>
    </xf>
    <xf numFmtId="165" fontId="97" fillId="0" borderId="29" xfId="3" applyFont="1" applyFill="1" applyBorder="1" applyAlignment="1">
      <alignment horizontal="left" vertical="top" shrinkToFit="1"/>
    </xf>
    <xf numFmtId="9" fontId="97" fillId="0" borderId="29" xfId="6" applyNumberFormat="1" applyFont="1" applyFill="1" applyBorder="1" applyAlignment="1">
      <alignment horizontal="right" vertical="center" shrinkToFit="1"/>
    </xf>
    <xf numFmtId="0" fontId="97" fillId="0" borderId="29" xfId="0" applyFont="1" applyFill="1" applyBorder="1" applyAlignment="1">
      <alignment horizontal="left" vertical="center" shrinkToFit="1"/>
    </xf>
    <xf numFmtId="0" fontId="97" fillId="0" borderId="29" xfId="0" applyFont="1" applyFill="1" applyBorder="1" applyAlignment="1">
      <alignment horizontal="left" vertical="center" wrapText="1" shrinkToFit="1"/>
    </xf>
    <xf numFmtId="0" fontId="97" fillId="0" borderId="29" xfId="0" applyFont="1" applyFill="1" applyBorder="1" applyAlignment="1">
      <alignment horizontal="right" vertical="center" shrinkToFit="1"/>
    </xf>
    <xf numFmtId="0" fontId="97" fillId="0" borderId="29" xfId="0" applyFont="1" applyFill="1" applyBorder="1" applyAlignment="1">
      <alignment horizontal="left" vertical="top" shrinkToFit="1"/>
    </xf>
    <xf numFmtId="10" fontId="97" fillId="0" borderId="29" xfId="6" applyNumberFormat="1" applyFont="1" applyFill="1" applyBorder="1" applyAlignment="1">
      <alignment horizontal="right" vertical="center" shrinkToFit="1"/>
    </xf>
    <xf numFmtId="165" fontId="98" fillId="0" borderId="29" xfId="3" applyFont="1" applyBorder="1" applyAlignment="1">
      <alignment horizontal="left" vertical="center"/>
    </xf>
    <xf numFmtId="165" fontId="98" fillId="0" borderId="29" xfId="3" applyFont="1" applyFill="1" applyBorder="1" applyAlignment="1">
      <alignment horizontal="left" vertical="center"/>
    </xf>
    <xf numFmtId="2" fontId="34" fillId="0" borderId="29" xfId="3" applyNumberFormat="1" applyFont="1" applyBorder="1" applyAlignment="1">
      <alignment horizontal="center" vertical="center"/>
    </xf>
    <xf numFmtId="0" fontId="98" fillId="0" borderId="29" xfId="0" applyFont="1" applyBorder="1" applyAlignment="1">
      <alignment horizontal="left" vertical="center"/>
    </xf>
    <xf numFmtId="0" fontId="35" fillId="0" borderId="29" xfId="0" applyFont="1" applyBorder="1" applyAlignment="1">
      <alignment horizontal="right" vertical="center" wrapText="1"/>
    </xf>
    <xf numFmtId="0" fontId="35" fillId="0" borderId="29" xfId="0" applyFont="1" applyBorder="1" applyAlignment="1">
      <alignment horizontal="left" vertical="center" wrapText="1"/>
    </xf>
    <xf numFmtId="9" fontId="35" fillId="0" borderId="29" xfId="6" applyFont="1" applyBorder="1" applyAlignment="1">
      <alignment horizontal="right" vertical="center"/>
    </xf>
    <xf numFmtId="2" fontId="35" fillId="0" borderId="29" xfId="2" applyNumberFormat="1" applyFont="1" applyBorder="1" applyAlignment="1">
      <alignment horizontal="center" vertical="center"/>
    </xf>
    <xf numFmtId="0" fontId="94" fillId="0" borderId="29" xfId="0" applyFont="1" applyBorder="1" applyAlignment="1">
      <alignment horizontal="left" vertical="center"/>
    </xf>
    <xf numFmtId="166" fontId="94" fillId="0" borderId="29" xfId="3" applyNumberFormat="1" applyFont="1" applyBorder="1" applyAlignment="1">
      <alignment horizontal="right" vertical="center" wrapText="1"/>
    </xf>
    <xf numFmtId="165" fontId="94" fillId="0" borderId="29" xfId="3" applyFont="1" applyBorder="1" applyAlignment="1">
      <alignment horizontal="right" vertical="center" wrapText="1"/>
    </xf>
    <xf numFmtId="9" fontId="94" fillId="0" borderId="29" xfId="6" applyFont="1" applyBorder="1" applyAlignment="1">
      <alignment horizontal="right" vertical="center" wrapText="1"/>
    </xf>
    <xf numFmtId="0" fontId="35" fillId="7" borderId="29" xfId="0" applyFont="1" applyFill="1" applyBorder="1" applyAlignment="1">
      <alignment vertical="center"/>
    </xf>
    <xf numFmtId="0" fontId="35" fillId="7" borderId="29" xfId="0" applyFont="1" applyFill="1" applyBorder="1" applyAlignment="1">
      <alignment horizontal="left" vertical="center"/>
    </xf>
    <xf numFmtId="0" fontId="35" fillId="7" borderId="29" xfId="0" applyFont="1" applyFill="1" applyBorder="1" applyAlignment="1">
      <alignment horizontal="left" vertical="center" wrapText="1"/>
    </xf>
    <xf numFmtId="0" fontId="35" fillId="7" borderId="29" xfId="0" applyFont="1" applyFill="1" applyBorder="1" applyAlignment="1">
      <alignment horizontal="right" vertical="center" wrapText="1"/>
    </xf>
    <xf numFmtId="165" fontId="35" fillId="7" borderId="29" xfId="3" applyNumberFormat="1" applyFont="1" applyFill="1" applyBorder="1" applyAlignment="1">
      <alignment horizontal="right" vertical="center" wrapText="1"/>
    </xf>
    <xf numFmtId="165" fontId="35" fillId="7" borderId="29" xfId="3" applyFont="1" applyFill="1" applyBorder="1" applyAlignment="1">
      <alignment horizontal="center" vertical="center"/>
    </xf>
    <xf numFmtId="165" fontId="35" fillId="7" borderId="29" xfId="3" applyFont="1" applyFill="1" applyBorder="1" applyAlignment="1">
      <alignment horizontal="right" vertical="center"/>
    </xf>
    <xf numFmtId="0" fontId="35" fillId="7" borderId="29" xfId="0" applyFont="1" applyFill="1" applyBorder="1" applyAlignment="1">
      <alignment horizontal="right" vertical="center"/>
    </xf>
    <xf numFmtId="165" fontId="35" fillId="7" borderId="29" xfId="2" applyNumberFormat="1" applyFont="1" applyFill="1" applyBorder="1" applyAlignment="1">
      <alignment horizontal="center" vertical="center"/>
    </xf>
    <xf numFmtId="9" fontId="35" fillId="7" borderId="29" xfId="6" applyFont="1" applyFill="1" applyBorder="1" applyAlignment="1">
      <alignment horizontal="right" vertical="center"/>
    </xf>
    <xf numFmtId="2" fontId="35" fillId="7" borderId="29" xfId="2" applyNumberFormat="1" applyFont="1" applyFill="1" applyBorder="1" applyAlignment="1">
      <alignment horizontal="center" vertical="center"/>
    </xf>
    <xf numFmtId="2" fontId="35" fillId="0" borderId="29" xfId="0" applyNumberFormat="1" applyFont="1" applyBorder="1" applyAlignment="1">
      <alignment horizontal="right" vertical="center"/>
    </xf>
    <xf numFmtId="0" fontId="35" fillId="0" borderId="29" xfId="0" applyFont="1" applyBorder="1" applyAlignment="1"/>
    <xf numFmtId="4" fontId="35" fillId="3" borderId="29" xfId="0" applyNumberFormat="1" applyFont="1" applyFill="1" applyBorder="1" applyAlignment="1">
      <alignment horizontal="left"/>
    </xf>
    <xf numFmtId="0" fontId="35" fillId="3" borderId="29" xfId="0" applyFont="1" applyFill="1" applyBorder="1" applyAlignment="1">
      <alignment horizontal="right"/>
    </xf>
    <xf numFmtId="165" fontId="35" fillId="3" borderId="29" xfId="3" applyNumberFormat="1" applyFont="1" applyFill="1" applyBorder="1" applyAlignment="1">
      <alignment horizontal="right"/>
    </xf>
    <xf numFmtId="0" fontId="35" fillId="3" borderId="29" xfId="0" applyFont="1" applyFill="1" applyBorder="1" applyAlignment="1">
      <alignment horizontal="left"/>
    </xf>
    <xf numFmtId="4" fontId="35" fillId="3" borderId="29" xfId="0" applyNumberFormat="1" applyFont="1" applyFill="1" applyBorder="1" applyAlignment="1">
      <alignment horizontal="right"/>
    </xf>
    <xf numFmtId="3" fontId="35" fillId="3" borderId="29" xfId="0" applyNumberFormat="1" applyFont="1" applyFill="1" applyBorder="1" applyAlignment="1">
      <alignment horizontal="right"/>
    </xf>
    <xf numFmtId="9" fontId="35" fillId="3" borderId="29" xfId="6" applyFont="1" applyFill="1" applyBorder="1" applyAlignment="1">
      <alignment horizontal="right"/>
    </xf>
    <xf numFmtId="165" fontId="35" fillId="3" borderId="29" xfId="3" applyFont="1" applyFill="1" applyBorder="1" applyAlignment="1">
      <alignment horizontal="right"/>
    </xf>
    <xf numFmtId="165" fontId="35" fillId="0" borderId="29" xfId="0" applyNumberFormat="1" applyFont="1" applyBorder="1" applyAlignment="1">
      <alignment horizontal="left" vertical="center"/>
    </xf>
    <xf numFmtId="165" fontId="94" fillId="0" borderId="29" xfId="3" applyFont="1" applyBorder="1" applyAlignment="1">
      <alignment horizontal="right" vertical="center" indent="1"/>
    </xf>
    <xf numFmtId="9" fontId="94" fillId="0" borderId="29" xfId="6" applyFont="1" applyBorder="1" applyAlignment="1">
      <alignment horizontal="right" vertical="center" indent="1"/>
    </xf>
    <xf numFmtId="165" fontId="94" fillId="0" borderId="29" xfId="3" applyFont="1" applyBorder="1" applyAlignment="1">
      <alignment horizontal="left" vertical="center" indent="1"/>
    </xf>
    <xf numFmtId="166" fontId="92" fillId="0" borderId="0" xfId="3" applyNumberFormat="1" applyFont="1" applyBorder="1" applyAlignment="1">
      <alignment horizontal="left" vertical="center" indent="1"/>
    </xf>
    <xf numFmtId="0" fontId="92" fillId="0" borderId="0" xfId="0" applyFont="1" applyBorder="1" applyAlignment="1">
      <alignment horizontal="right" vertical="center" indent="1"/>
    </xf>
    <xf numFmtId="0" fontId="92" fillId="0" borderId="0" xfId="0" applyFont="1" applyAlignment="1">
      <alignment horizontal="right" vertical="center"/>
    </xf>
    <xf numFmtId="0" fontId="2" fillId="0" borderId="21" xfId="0" applyFont="1" applyBorder="1" applyAlignment="1">
      <alignment horizontal="center" vertical="center" wrapText="1"/>
    </xf>
    <xf numFmtId="165" fontId="22" fillId="0" borderId="10" xfId="3" applyFont="1" applyBorder="1" applyAlignment="1">
      <alignment horizontal="center" vertical="center" wrapText="1"/>
    </xf>
    <xf numFmtId="165" fontId="22" fillId="0" borderId="16" xfId="3" applyFont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99" fillId="0" borderId="0" xfId="4" applyNumberFormat="1" applyFont="1" applyBorder="1" applyAlignment="1"/>
    <xf numFmtId="0" fontId="11" fillId="0" borderId="0" xfId="0" applyFont="1" applyAlignment="1"/>
    <xf numFmtId="2" fontId="11" fillId="0" borderId="0" xfId="0" applyNumberFormat="1" applyFont="1" applyAlignment="1"/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00" fillId="3" borderId="0" xfId="4" applyNumberFormat="1" applyFont="1" applyFill="1" applyBorder="1" applyAlignment="1">
      <alignment horizontal="left" vertical="center"/>
    </xf>
    <xf numFmtId="0" fontId="43" fillId="3" borderId="0" xfId="4" applyNumberFormat="1" applyFont="1" applyFill="1" applyBorder="1" applyAlignment="1">
      <alignment horizontal="left" vertical="center"/>
    </xf>
    <xf numFmtId="0" fontId="85" fillId="7" borderId="29" xfId="0" applyFont="1" applyFill="1" applyBorder="1" applyAlignment="1">
      <alignment horizontal="center" vertical="center" wrapText="1"/>
    </xf>
    <xf numFmtId="2" fontId="85" fillId="7" borderId="29" xfId="0" applyNumberFormat="1" applyFont="1" applyFill="1" applyBorder="1" applyAlignment="1">
      <alignment horizontal="center" vertical="center" wrapText="1"/>
    </xf>
    <xf numFmtId="2" fontId="85" fillId="7" borderId="21" xfId="0" applyNumberFormat="1" applyFont="1" applyFill="1" applyBorder="1" applyAlignment="1">
      <alignment horizontal="center" vertical="center" wrapText="1"/>
    </xf>
    <xf numFmtId="0" fontId="85" fillId="7" borderId="29" xfId="0" applyFont="1" applyFill="1" applyBorder="1" applyAlignment="1">
      <alignment vertical="center" wrapText="1"/>
    </xf>
    <xf numFmtId="168" fontId="2" fillId="0" borderId="29" xfId="1" applyNumberFormat="1" applyFont="1" applyFill="1" applyBorder="1" applyAlignment="1">
      <alignment horizontal="right" vertical="center" wrapText="1"/>
    </xf>
    <xf numFmtId="0" fontId="85" fillId="0" borderId="29" xfId="0" applyFont="1" applyFill="1" applyBorder="1" applyAlignment="1">
      <alignment vertical="center" wrapText="1"/>
    </xf>
    <xf numFmtId="2" fontId="85" fillId="7" borderId="29" xfId="1" applyNumberFormat="1" applyFont="1" applyFill="1" applyBorder="1" applyAlignment="1">
      <alignment horizontal="right" vertical="center" wrapText="1"/>
    </xf>
    <xf numFmtId="2" fontId="85" fillId="0" borderId="29" xfId="1" applyNumberFormat="1" applyFont="1" applyFill="1" applyBorder="1" applyAlignment="1">
      <alignment horizontal="right" vertical="center" wrapText="1"/>
    </xf>
    <xf numFmtId="0" fontId="85" fillId="9" borderId="29" xfId="0" applyFont="1" applyFill="1" applyBorder="1" applyAlignment="1">
      <alignment horizontal="left" vertical="center"/>
    </xf>
    <xf numFmtId="0" fontId="85" fillId="9" borderId="29" xfId="0" applyFont="1" applyFill="1" applyBorder="1" applyAlignment="1">
      <alignment horizontal="left" vertical="center" wrapText="1"/>
    </xf>
    <xf numFmtId="0" fontId="85" fillId="9" borderId="29" xfId="0" applyFont="1" applyFill="1" applyBorder="1" applyAlignment="1">
      <alignment vertical="center" wrapText="1"/>
    </xf>
    <xf numFmtId="2" fontId="85" fillId="9" borderId="29" xfId="0" applyNumberFormat="1" applyFont="1" applyFill="1" applyBorder="1" applyAlignment="1">
      <alignment vertical="center" wrapText="1"/>
    </xf>
    <xf numFmtId="2" fontId="2" fillId="7" borderId="29" xfId="1" applyNumberFormat="1" applyFont="1" applyFill="1" applyBorder="1" applyAlignment="1">
      <alignment horizontal="right" vertical="center" wrapText="1"/>
    </xf>
    <xf numFmtId="2" fontId="85" fillId="0" borderId="29" xfId="0" applyNumberFormat="1" applyFont="1" applyFill="1" applyBorder="1" applyAlignment="1">
      <alignment vertical="center" wrapText="1"/>
    </xf>
    <xf numFmtId="0" fontId="2" fillId="4" borderId="22" xfId="0" applyFont="1" applyFill="1" applyBorder="1" applyAlignment="1">
      <alignment horizontal="left" vertical="center" wrapText="1"/>
    </xf>
    <xf numFmtId="165" fontId="2" fillId="4" borderId="29" xfId="1" applyFont="1" applyFill="1" applyBorder="1" applyAlignment="1">
      <alignment horizontal="right"/>
    </xf>
    <xf numFmtId="165" fontId="2" fillId="4" borderId="29" xfId="1" applyFont="1" applyFill="1" applyBorder="1" applyAlignment="1">
      <alignment horizontal="right" vertical="center" wrapText="1"/>
    </xf>
    <xf numFmtId="0" fontId="0" fillId="4" borderId="29" xfId="0" applyFill="1" applyBorder="1" applyAlignment="1">
      <alignment horizontal="right"/>
    </xf>
    <xf numFmtId="2" fontId="0" fillId="0" borderId="29" xfId="0" applyNumberFormat="1" applyFill="1" applyBorder="1" applyAlignment="1">
      <alignment horizontal="right"/>
    </xf>
    <xf numFmtId="2" fontId="2" fillId="4" borderId="29" xfId="1" applyNumberFormat="1" applyFont="1" applyFill="1" applyBorder="1" applyAlignment="1">
      <alignment horizontal="right"/>
    </xf>
    <xf numFmtId="2" fontId="2" fillId="4" borderId="29" xfId="1" applyNumberFormat="1" applyFont="1" applyFill="1" applyBorder="1" applyAlignment="1">
      <alignment horizontal="right" vertical="center" wrapText="1"/>
    </xf>
    <xf numFmtId="2" fontId="0" fillId="4" borderId="29" xfId="0" applyNumberFormat="1" applyFill="1" applyBorder="1" applyAlignment="1">
      <alignment horizontal="right"/>
    </xf>
    <xf numFmtId="0" fontId="2" fillId="4" borderId="29" xfId="0" applyFont="1" applyFill="1" applyBorder="1" applyAlignment="1">
      <alignment horizontal="right" vertical="center" wrapText="1"/>
    </xf>
    <xf numFmtId="0" fontId="2" fillId="0" borderId="22" xfId="0" applyFont="1" applyBorder="1" applyAlignment="1">
      <alignment horizontal="left" vertical="center" wrapText="1"/>
    </xf>
    <xf numFmtId="2" fontId="2" fillId="3" borderId="29" xfId="1" applyNumberFormat="1" applyFont="1" applyFill="1" applyBorder="1" applyAlignment="1">
      <alignment horizontal="right"/>
    </xf>
    <xf numFmtId="2" fontId="2" fillId="0" borderId="29" xfId="1" applyNumberFormat="1" applyFont="1" applyBorder="1" applyAlignment="1">
      <alignment horizontal="right" vertical="center" wrapText="1"/>
    </xf>
    <xf numFmtId="2" fontId="0" fillId="0" borderId="29" xfId="0" applyNumberFormat="1" applyBorder="1" applyAlignment="1">
      <alignment horizontal="right"/>
    </xf>
    <xf numFmtId="0" fontId="2" fillId="0" borderId="29" xfId="0" applyFont="1" applyBorder="1" applyAlignment="1">
      <alignment horizontal="right" vertical="center" wrapText="1"/>
    </xf>
    <xf numFmtId="165" fontId="2" fillId="0" borderId="29" xfId="1" applyFont="1" applyBorder="1" applyAlignment="1">
      <alignment horizontal="right" vertical="center" wrapText="1"/>
    </xf>
    <xf numFmtId="2" fontId="2" fillId="4" borderId="29" xfId="0" applyNumberFormat="1" applyFont="1" applyFill="1" applyBorder="1" applyAlignment="1">
      <alignment horizontal="right" vertical="center" wrapText="1"/>
    </xf>
    <xf numFmtId="0" fontId="101" fillId="0" borderId="21" xfId="0" applyFont="1" applyBorder="1" applyAlignment="1">
      <alignment horizontal="center" vertical="center" wrapText="1"/>
    </xf>
    <xf numFmtId="0" fontId="101" fillId="0" borderId="22" xfId="0" applyFont="1" applyBorder="1" applyAlignment="1">
      <alignment horizontal="left" vertical="center" wrapText="1"/>
    </xf>
    <xf numFmtId="0" fontId="101" fillId="0" borderId="29" xfId="0" applyFont="1" applyBorder="1" applyAlignment="1">
      <alignment horizontal="right" vertical="center" wrapText="1"/>
    </xf>
    <xf numFmtId="165" fontId="101" fillId="0" borderId="29" xfId="1" applyFont="1" applyBorder="1" applyAlignment="1">
      <alignment horizontal="right" vertical="center" wrapText="1"/>
    </xf>
    <xf numFmtId="0" fontId="0" fillId="0" borderId="29" xfId="0" applyBorder="1" applyAlignment="1">
      <alignment horizontal="right"/>
    </xf>
    <xf numFmtId="2" fontId="102" fillId="0" borderId="29" xfId="0" applyNumberFormat="1" applyFont="1" applyFill="1" applyBorder="1" applyAlignment="1">
      <alignment horizontal="right" vertical="center" wrapText="1"/>
    </xf>
    <xf numFmtId="0" fontId="102" fillId="0" borderId="21" xfId="0" applyFont="1" applyBorder="1" applyAlignment="1">
      <alignment horizontal="center" vertical="center" wrapText="1"/>
    </xf>
    <xf numFmtId="0" fontId="102" fillId="0" borderId="22" xfId="0" applyFont="1" applyBorder="1" applyAlignment="1">
      <alignment horizontal="left" vertical="center" wrapText="1"/>
    </xf>
    <xf numFmtId="2" fontId="102" fillId="0" borderId="29" xfId="0" applyNumberFormat="1" applyFont="1" applyBorder="1" applyAlignment="1">
      <alignment horizontal="right" vertical="center" wrapText="1"/>
    </xf>
    <xf numFmtId="2" fontId="102" fillId="0" borderId="29" xfId="1" applyNumberFormat="1" applyFont="1" applyBorder="1" applyAlignment="1">
      <alignment horizontal="right" vertical="center" wrapText="1"/>
    </xf>
    <xf numFmtId="0" fontId="85" fillId="0" borderId="21" xfId="0" applyFont="1" applyFill="1" applyBorder="1" applyAlignment="1">
      <alignment horizontal="left" vertical="center"/>
    </xf>
    <xf numFmtId="0" fontId="85" fillId="0" borderId="22" xfId="0" applyFont="1" applyFill="1" applyBorder="1" applyAlignment="1">
      <alignment horizontal="left" vertical="center" wrapText="1"/>
    </xf>
    <xf numFmtId="0" fontId="102" fillId="0" borderId="29" xfId="0" applyFont="1" applyBorder="1" applyAlignment="1">
      <alignment horizontal="right" vertical="center" wrapText="1"/>
    </xf>
    <xf numFmtId="165" fontId="102" fillId="0" borderId="29" xfId="1" applyFont="1" applyBorder="1" applyAlignment="1">
      <alignment horizontal="right" vertical="center" wrapText="1"/>
    </xf>
    <xf numFmtId="2" fontId="2" fillId="0" borderId="29" xfId="0" applyNumberFormat="1" applyFont="1" applyFill="1" applyBorder="1" applyAlignment="1">
      <alignment horizontal="right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 wrapText="1"/>
    </xf>
    <xf numFmtId="2" fontId="2" fillId="0" borderId="29" xfId="1" applyNumberFormat="1" applyFont="1" applyFill="1" applyBorder="1" applyAlignment="1">
      <alignment horizontal="right" vertical="center"/>
    </xf>
    <xf numFmtId="2" fontId="2" fillId="0" borderId="29" xfId="1" applyNumberFormat="1" applyFont="1" applyFill="1" applyBorder="1" applyAlignment="1">
      <alignment horizontal="right" vertical="center" wrapText="1"/>
    </xf>
    <xf numFmtId="0" fontId="85" fillId="9" borderId="21" xfId="0" applyFont="1" applyFill="1" applyBorder="1" applyAlignment="1">
      <alignment horizontal="left" vertical="center"/>
    </xf>
    <xf numFmtId="0" fontId="85" fillId="9" borderId="22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left" vertical="center" wrapText="1"/>
    </xf>
    <xf numFmtId="165" fontId="2" fillId="3" borderId="29" xfId="1" applyFont="1" applyFill="1" applyBorder="1" applyAlignment="1">
      <alignment horizontal="right" vertical="center"/>
    </xf>
    <xf numFmtId="165" fontId="2" fillId="3" borderId="29" xfId="1" applyFont="1" applyFill="1" applyBorder="1" applyAlignment="1">
      <alignment horizontal="right" vertical="center" wrapText="1"/>
    </xf>
    <xf numFmtId="0" fontId="0" fillId="0" borderId="29" xfId="0" applyBorder="1" applyAlignment="1">
      <alignment horizontal="right" vertical="center" wrapText="1"/>
    </xf>
    <xf numFmtId="2" fontId="2" fillId="4" borderId="29" xfId="1" applyNumberFormat="1" applyFont="1" applyFill="1" applyBorder="1" applyAlignment="1">
      <alignment horizontal="right" vertical="center"/>
    </xf>
    <xf numFmtId="165" fontId="2" fillId="4" borderId="29" xfId="1" applyFont="1" applyFill="1" applyBorder="1" applyAlignment="1">
      <alignment horizontal="right" vertical="center"/>
    </xf>
    <xf numFmtId="0" fontId="2" fillId="3" borderId="29" xfId="0" applyFont="1" applyFill="1" applyBorder="1" applyAlignment="1">
      <alignment horizontal="right" vertical="center" wrapText="1"/>
    </xf>
    <xf numFmtId="2" fontId="85" fillId="0" borderId="29" xfId="0" applyNumberFormat="1" applyFont="1" applyFill="1" applyBorder="1" applyAlignment="1">
      <alignment horizontal="right" vertical="center" wrapText="1"/>
    </xf>
    <xf numFmtId="0" fontId="85" fillId="0" borderId="21" xfId="0" applyFont="1" applyFill="1" applyBorder="1" applyAlignment="1">
      <alignment horizontal="left" vertical="center" wrapText="1"/>
    </xf>
    <xf numFmtId="165" fontId="101" fillId="3" borderId="29" xfId="1" applyFont="1" applyFill="1" applyBorder="1" applyAlignment="1">
      <alignment horizontal="right" vertical="center"/>
    </xf>
    <xf numFmtId="2" fontId="101" fillId="0" borderId="29" xfId="0" applyNumberFormat="1" applyFont="1" applyFill="1" applyBorder="1" applyAlignment="1">
      <alignment horizontal="right" vertical="center" wrapText="1"/>
    </xf>
    <xf numFmtId="2" fontId="101" fillId="0" borderId="29" xfId="0" applyNumberFormat="1" applyFont="1" applyBorder="1" applyAlignment="1">
      <alignment horizontal="right" vertical="center" wrapText="1"/>
    </xf>
    <xf numFmtId="2" fontId="101" fillId="0" borderId="29" xfId="1" applyNumberFormat="1" applyFont="1" applyBorder="1" applyAlignment="1">
      <alignment horizontal="right" vertical="center" wrapText="1"/>
    </xf>
    <xf numFmtId="0" fontId="2" fillId="0" borderId="21" xfId="0" applyFont="1" applyBorder="1" applyAlignment="1">
      <alignment horizontal="left" vertical="center" wrapText="1"/>
    </xf>
    <xf numFmtId="0" fontId="85" fillId="7" borderId="29" xfId="0" applyFont="1" applyFill="1" applyBorder="1" applyAlignment="1">
      <alignment horizontal="right" vertical="center" wrapText="1"/>
    </xf>
    <xf numFmtId="165" fontId="2" fillId="7" borderId="29" xfId="1" applyFont="1" applyFill="1" applyBorder="1" applyAlignment="1">
      <alignment horizontal="right" vertical="center" wrapText="1"/>
    </xf>
    <xf numFmtId="2" fontId="85" fillId="7" borderId="29" xfId="0" applyNumberFormat="1" applyFont="1" applyFill="1" applyBorder="1" applyAlignment="1">
      <alignment vertical="center" wrapText="1"/>
    </xf>
    <xf numFmtId="165" fontId="2" fillId="3" borderId="29" xfId="1" applyFont="1" applyFill="1" applyBorder="1" applyAlignment="1">
      <alignment horizontal="right"/>
    </xf>
    <xf numFmtId="2" fontId="2" fillId="0" borderId="29" xfId="0" applyNumberFormat="1" applyFont="1" applyBorder="1" applyAlignment="1">
      <alignment horizontal="right" vertical="center" wrapText="1"/>
    </xf>
    <xf numFmtId="2" fontId="103" fillId="0" borderId="29" xfId="4" applyNumberFormat="1" applyFont="1" applyFill="1" applyBorder="1" applyAlignment="1">
      <alignment horizontal="right" vertical="center" wrapText="1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/>
    <xf numFmtId="2" fontId="2" fillId="0" borderId="29" xfId="1" applyNumberFormat="1" applyFont="1" applyFill="1" applyBorder="1" applyAlignment="1">
      <alignment horizontal="right"/>
    </xf>
    <xf numFmtId="2" fontId="2" fillId="0" borderId="29" xfId="0" applyNumberFormat="1" applyFont="1" applyFill="1" applyBorder="1" applyAlignment="1">
      <alignment horizontal="right"/>
    </xf>
    <xf numFmtId="165" fontId="2" fillId="9" borderId="29" xfId="1" applyFont="1" applyFill="1" applyBorder="1" applyAlignment="1">
      <alignment horizontal="right" vertical="center" wrapText="1"/>
    </xf>
    <xf numFmtId="2" fontId="2" fillId="9" borderId="29" xfId="1" applyNumberFormat="1" applyFont="1" applyFill="1" applyBorder="1" applyAlignment="1">
      <alignment horizontal="right" vertical="center" wrapText="1"/>
    </xf>
    <xf numFmtId="0" fontId="2" fillId="10" borderId="22" xfId="0" applyFont="1" applyFill="1" applyBorder="1" applyAlignment="1">
      <alignment horizontal="left" vertical="center" wrapText="1"/>
    </xf>
    <xf numFmtId="0" fontId="2" fillId="10" borderId="29" xfId="0" applyFont="1" applyFill="1" applyBorder="1" applyAlignment="1">
      <alignment horizontal="right" vertical="center" wrapText="1"/>
    </xf>
    <xf numFmtId="165" fontId="2" fillId="10" borderId="29" xfId="1" applyFont="1" applyFill="1" applyBorder="1" applyAlignment="1">
      <alignment horizontal="right" vertical="center" wrapText="1"/>
    </xf>
    <xf numFmtId="2" fontId="2" fillId="3" borderId="29" xfId="0" applyNumberFormat="1" applyFont="1" applyFill="1" applyBorder="1" applyAlignment="1">
      <alignment horizontal="right" vertical="center" wrapText="1"/>
    </xf>
    <xf numFmtId="2" fontId="2" fillId="3" borderId="29" xfId="1" applyNumberFormat="1" applyFont="1" applyFill="1" applyBorder="1" applyAlignment="1">
      <alignment horizontal="right" vertical="center" wrapText="1"/>
    </xf>
    <xf numFmtId="2" fontId="101" fillId="3" borderId="29" xfId="1" applyNumberFormat="1" applyFont="1" applyFill="1" applyBorder="1" applyAlignment="1">
      <alignment horizontal="right" vertical="center"/>
    </xf>
    <xf numFmtId="2" fontId="101" fillId="3" borderId="29" xfId="0" applyNumberFormat="1" applyFont="1" applyFill="1" applyBorder="1" applyAlignment="1">
      <alignment horizontal="center"/>
    </xf>
    <xf numFmtId="0" fontId="0" fillId="0" borderId="29" xfId="0" applyBorder="1" applyAlignment="1">
      <alignment horizontal="right" vertical="center"/>
    </xf>
    <xf numFmtId="2" fontId="0" fillId="0" borderId="29" xfId="0" applyNumberFormat="1" applyFill="1" applyBorder="1" applyAlignment="1">
      <alignment horizontal="right" vertical="center"/>
    </xf>
    <xf numFmtId="2" fontId="101" fillId="0" borderId="29" xfId="1" applyNumberFormat="1" applyFont="1" applyFill="1" applyBorder="1" applyAlignment="1">
      <alignment horizontal="right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/>
    <xf numFmtId="165" fontId="2" fillId="0" borderId="29" xfId="1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2" fillId="4" borderId="22" xfId="0" applyFont="1" applyFill="1" applyBorder="1"/>
    <xf numFmtId="2" fontId="103" fillId="4" borderId="29" xfId="4" applyNumberFormat="1" applyFont="1" applyFill="1" applyBorder="1" applyAlignment="1">
      <alignment horizontal="right" vertical="center" wrapText="1"/>
    </xf>
    <xf numFmtId="0" fontId="103" fillId="4" borderId="29" xfId="4" applyNumberFormat="1" applyFont="1" applyFill="1" applyBorder="1" applyAlignment="1">
      <alignment horizontal="right" vertical="center" wrapText="1"/>
    </xf>
    <xf numFmtId="2" fontId="2" fillId="4" borderId="29" xfId="0" applyNumberFormat="1" applyFont="1" applyFill="1" applyBorder="1" applyAlignment="1">
      <alignment horizontal="right"/>
    </xf>
    <xf numFmtId="0" fontId="2" fillId="4" borderId="29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2" fontId="2" fillId="0" borderId="29" xfId="0" applyNumberFormat="1" applyFont="1" applyBorder="1" applyAlignment="1">
      <alignment horizontal="right"/>
    </xf>
    <xf numFmtId="0" fontId="103" fillId="3" borderId="29" xfId="4" applyNumberFormat="1" applyFont="1" applyFill="1" applyBorder="1" applyAlignment="1">
      <alignment horizontal="right" vertical="center" wrapText="1"/>
    </xf>
    <xf numFmtId="0" fontId="103" fillId="0" borderId="29" xfId="4" applyNumberFormat="1" applyFont="1" applyFill="1" applyBorder="1" applyAlignment="1">
      <alignment horizontal="right" vertical="center" wrapText="1"/>
    </xf>
    <xf numFmtId="0" fontId="103" fillId="3" borderId="21" xfId="4" applyNumberFormat="1" applyFont="1" applyFill="1" applyBorder="1" applyAlignment="1">
      <alignment horizontal="right" vertical="center" wrapText="1"/>
    </xf>
    <xf numFmtId="0" fontId="103" fillId="3" borderId="22" xfId="4" applyNumberFormat="1" applyFont="1" applyFill="1" applyBorder="1" applyAlignment="1">
      <alignment horizontal="right" vertical="center" wrapText="1"/>
    </xf>
    <xf numFmtId="2" fontId="103" fillId="3" borderId="29" xfId="4" applyNumberFormat="1" applyFont="1" applyFill="1" applyBorder="1" applyAlignment="1">
      <alignment horizontal="right" vertical="center" wrapText="1"/>
    </xf>
    <xf numFmtId="165" fontId="101" fillId="4" borderId="29" xfId="1" applyFont="1" applyFill="1" applyBorder="1" applyAlignment="1">
      <alignment horizontal="right" vertical="center"/>
    </xf>
    <xf numFmtId="2" fontId="101" fillId="4" borderId="29" xfId="1" applyNumberFormat="1" applyFont="1" applyFill="1" applyBorder="1" applyAlignment="1">
      <alignment horizontal="right" vertic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/>
    <xf numFmtId="0" fontId="2" fillId="3" borderId="29" xfId="0" applyFont="1" applyFill="1" applyBorder="1" applyAlignment="1">
      <alignment horizontal="right"/>
    </xf>
    <xf numFmtId="2" fontId="2" fillId="3" borderId="29" xfId="0" applyNumberFormat="1" applyFont="1" applyFill="1" applyBorder="1" applyAlignment="1">
      <alignment horizontal="right"/>
    </xf>
    <xf numFmtId="2" fontId="2" fillId="0" borderId="29" xfId="1" applyNumberFormat="1" applyFont="1" applyBorder="1" applyAlignment="1">
      <alignment horizontal="right"/>
    </xf>
    <xf numFmtId="2" fontId="2" fillId="7" borderId="29" xfId="1" applyNumberFormat="1" applyFont="1" applyFill="1" applyBorder="1" applyAlignment="1">
      <alignment horizontal="right"/>
    </xf>
    <xf numFmtId="2" fontId="85" fillId="7" borderId="29" xfId="1" applyNumberFormat="1" applyFont="1" applyFill="1" applyBorder="1" applyAlignment="1">
      <alignment horizontal="right"/>
    </xf>
    <xf numFmtId="0" fontId="2" fillId="0" borderId="21" xfId="0" applyFont="1" applyBorder="1" applyAlignment="1">
      <alignment horizontal="center" vertical="center"/>
    </xf>
    <xf numFmtId="165" fontId="2" fillId="0" borderId="29" xfId="1" applyFont="1" applyBorder="1" applyAlignment="1">
      <alignment horizontal="right" vertical="center"/>
    </xf>
    <xf numFmtId="0" fontId="0" fillId="0" borderId="29" xfId="0" applyFill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  <xf numFmtId="0" fontId="101" fillId="3" borderId="29" xfId="0" applyNumberFormat="1" applyFont="1" applyFill="1" applyBorder="1" applyAlignment="1">
      <alignment horizontal="right" vertical="center"/>
    </xf>
    <xf numFmtId="2" fontId="0" fillId="4" borderId="29" xfId="0" applyNumberFormat="1" applyFill="1" applyBorder="1" applyAlignment="1">
      <alignment horizontal="right" vertical="center"/>
    </xf>
    <xf numFmtId="0" fontId="2" fillId="3" borderId="21" xfId="0" applyFont="1" applyFill="1" applyBorder="1" applyAlignment="1">
      <alignment horizontal="right"/>
    </xf>
    <xf numFmtId="0" fontId="2" fillId="3" borderId="22" xfId="0" applyFont="1" applyFill="1" applyBorder="1" applyAlignment="1">
      <alignment horizontal="right"/>
    </xf>
    <xf numFmtId="0" fontId="0" fillId="4" borderId="29" xfId="0" applyFill="1" applyBorder="1" applyAlignment="1">
      <alignment horizontal="right" vertical="center"/>
    </xf>
    <xf numFmtId="165" fontId="101" fillId="0" borderId="29" xfId="1" applyFont="1" applyFill="1" applyBorder="1" applyAlignment="1">
      <alignment horizontal="right" vertical="center"/>
    </xf>
    <xf numFmtId="165" fontId="2" fillId="0" borderId="29" xfId="1" applyFont="1" applyFill="1" applyBorder="1" applyAlignment="1">
      <alignment horizontal="right" vertical="center" wrapText="1"/>
    </xf>
    <xf numFmtId="0" fontId="0" fillId="3" borderId="29" xfId="0" applyFill="1" applyBorder="1" applyAlignment="1">
      <alignment horizontal="right" vertical="center"/>
    </xf>
    <xf numFmtId="2" fontId="0" fillId="3" borderId="29" xfId="0" applyNumberFormat="1" applyFill="1" applyBorder="1" applyAlignment="1">
      <alignment horizontal="right" vertical="center"/>
    </xf>
    <xf numFmtId="0" fontId="85" fillId="0" borderId="29" xfId="0" applyFont="1" applyFill="1" applyBorder="1" applyAlignment="1">
      <alignment horizontal="right" vertical="center" wrapText="1"/>
    </xf>
    <xf numFmtId="0" fontId="19" fillId="0" borderId="29" xfId="0" applyFont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0" fontId="19" fillId="0" borderId="22" xfId="0" applyFont="1" applyBorder="1" applyAlignment="1">
      <alignment horizontal="right"/>
    </xf>
    <xf numFmtId="2" fontId="0" fillId="0" borderId="0" xfId="0" applyNumberFormat="1" applyFont="1"/>
    <xf numFmtId="0" fontId="31" fillId="3" borderId="0" xfId="0" applyFont="1" applyFill="1" applyBorder="1" applyAlignment="1">
      <alignment horizontal="center" vertical="center"/>
    </xf>
    <xf numFmtId="0" fontId="31" fillId="3" borderId="37" xfId="0" applyFont="1" applyFill="1" applyBorder="1" applyAlignment="1">
      <alignment horizontal="left" vertical="center" indent="1"/>
    </xf>
    <xf numFmtId="0" fontId="31" fillId="3" borderId="0" xfId="0" applyFont="1" applyFill="1" applyBorder="1" applyAlignment="1">
      <alignment horizontal="left" vertical="center" indent="1"/>
    </xf>
    <xf numFmtId="0" fontId="32" fillId="0" borderId="2" xfId="0" applyFont="1" applyBorder="1" applyAlignment="1">
      <alignment horizontal="left" vertical="center" indent="5"/>
    </xf>
    <xf numFmtId="0" fontId="31" fillId="3" borderId="40" xfId="0" applyFont="1" applyFill="1" applyBorder="1" applyAlignment="1">
      <alignment horizontal="left" vertical="center" indent="1"/>
    </xf>
    <xf numFmtId="0" fontId="22" fillId="0" borderId="19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166" fontId="22" fillId="0" borderId="101" xfId="3" applyNumberFormat="1" applyFont="1" applyBorder="1" applyAlignment="1">
      <alignment horizontal="center" vertical="center" wrapText="1"/>
    </xf>
    <xf numFmtId="166" fontId="22" fillId="0" borderId="102" xfId="3" applyNumberFormat="1" applyFont="1" applyBorder="1" applyAlignment="1">
      <alignment horizontal="center" vertical="center" wrapText="1"/>
    </xf>
    <xf numFmtId="166" fontId="22" fillId="0" borderId="10" xfId="3" applyNumberFormat="1" applyFont="1" applyBorder="1" applyAlignment="1">
      <alignment horizontal="center" vertical="center" wrapText="1"/>
    </xf>
    <xf numFmtId="166" fontId="22" fillId="0" borderId="11" xfId="3" applyNumberFormat="1" applyFont="1" applyBorder="1" applyAlignment="1">
      <alignment horizontal="center" vertical="center" wrapText="1"/>
    </xf>
    <xf numFmtId="49" fontId="29" fillId="0" borderId="69" xfId="0" applyNumberFormat="1" applyFont="1" applyBorder="1" applyAlignment="1">
      <alignment horizontal="center" vertical="center" wrapText="1"/>
    </xf>
    <xf numFmtId="49" fontId="29" fillId="0" borderId="51" xfId="0" applyNumberFormat="1" applyFont="1" applyBorder="1" applyAlignment="1">
      <alignment horizontal="center" vertical="center" wrapText="1"/>
    </xf>
    <xf numFmtId="49" fontId="29" fillId="3" borderId="52" xfId="0" applyNumberFormat="1" applyFont="1" applyFill="1" applyBorder="1" applyAlignment="1">
      <alignment horizontal="center" vertical="center" wrapText="1"/>
    </xf>
    <xf numFmtId="49" fontId="29" fillId="0" borderId="52" xfId="0" applyNumberFormat="1" applyFont="1" applyBorder="1" applyAlignment="1">
      <alignment horizontal="center" vertical="center" wrapText="1"/>
    </xf>
    <xf numFmtId="49" fontId="29" fillId="0" borderId="53" xfId="0" applyNumberFormat="1" applyFont="1" applyBorder="1" applyAlignment="1">
      <alignment horizontal="center" vertical="center" wrapText="1"/>
    </xf>
    <xf numFmtId="49" fontId="29" fillId="0" borderId="74" xfId="0" applyNumberFormat="1" applyFont="1" applyBorder="1" applyAlignment="1">
      <alignment horizontal="center" vertical="center" wrapText="1"/>
    </xf>
    <xf numFmtId="49" fontId="29" fillId="0" borderId="20" xfId="0" applyNumberFormat="1" applyFont="1" applyBorder="1" applyAlignment="1">
      <alignment horizontal="center" vertical="center" wrapText="1"/>
    </xf>
    <xf numFmtId="49" fontId="29" fillId="0" borderId="17" xfId="0" applyNumberFormat="1" applyFont="1" applyBorder="1" applyAlignment="1">
      <alignment horizontal="center" vertical="center" wrapText="1"/>
    </xf>
    <xf numFmtId="49" fontId="29" fillId="0" borderId="28" xfId="0" applyNumberFormat="1" applyFont="1" applyBorder="1" applyAlignment="1">
      <alignment horizontal="center" vertical="center" wrapText="1"/>
    </xf>
    <xf numFmtId="0" fontId="25" fillId="0" borderId="70" xfId="0" applyFont="1" applyBorder="1" applyAlignment="1">
      <alignment horizontal="left" vertical="center"/>
    </xf>
    <xf numFmtId="0" fontId="29" fillId="0" borderId="83" xfId="0" applyFont="1" applyBorder="1" applyAlignment="1">
      <alignment vertical="center"/>
    </xf>
    <xf numFmtId="0" fontId="29" fillId="3" borderId="75" xfId="0" applyFont="1" applyFill="1" applyBorder="1" applyAlignment="1">
      <alignment vertical="center"/>
    </xf>
    <xf numFmtId="0" fontId="29" fillId="0" borderId="96" xfId="0" applyFont="1" applyBorder="1" applyAlignment="1">
      <alignment horizontal="center" vertical="center"/>
    </xf>
    <xf numFmtId="0" fontId="29" fillId="0" borderId="96" xfId="0" applyFont="1" applyBorder="1" applyAlignment="1">
      <alignment horizontal="left" vertical="center" indent="2"/>
    </xf>
    <xf numFmtId="0" fontId="29" fillId="0" borderId="49" xfId="0" applyFont="1" applyBorder="1" applyAlignment="1">
      <alignment horizontal="center" vertical="center"/>
    </xf>
    <xf numFmtId="165" fontId="29" fillId="0" borderId="75" xfId="0" applyNumberFormat="1" applyFont="1" applyBorder="1" applyAlignment="1">
      <alignment vertical="center"/>
    </xf>
    <xf numFmtId="2" fontId="29" fillId="0" borderId="96" xfId="0" applyNumberFormat="1" applyFont="1" applyBorder="1" applyAlignment="1">
      <alignment horizontal="center" vertical="center"/>
    </xf>
    <xf numFmtId="169" fontId="29" fillId="0" borderId="49" xfId="3" applyNumberFormat="1" applyFont="1" applyBorder="1" applyAlignment="1">
      <alignment horizontal="center" vertical="center"/>
    </xf>
    <xf numFmtId="2" fontId="29" fillId="0" borderId="83" xfId="3" applyNumberFormat="1" applyFont="1" applyBorder="1" applyAlignment="1">
      <alignment horizontal="center" vertical="center"/>
    </xf>
    <xf numFmtId="2" fontId="29" fillId="0" borderId="49" xfId="3" applyNumberFormat="1" applyFont="1" applyBorder="1" applyAlignment="1">
      <alignment horizontal="center" vertical="center"/>
    </xf>
    <xf numFmtId="9" fontId="29" fillId="0" borderId="55" xfId="6" applyFont="1" applyBorder="1" applyAlignment="1">
      <alignment horizontal="center" vertical="center"/>
    </xf>
    <xf numFmtId="166" fontId="29" fillId="0" borderId="83" xfId="3" applyNumberFormat="1" applyFont="1" applyBorder="1" applyAlignment="1">
      <alignment vertical="center"/>
    </xf>
    <xf numFmtId="166" fontId="29" fillId="0" borderId="49" xfId="3" applyNumberFormat="1" applyFont="1" applyBorder="1" applyAlignment="1">
      <alignment vertical="center"/>
    </xf>
    <xf numFmtId="166" fontId="29" fillId="0" borderId="96" xfId="3" applyNumberFormat="1" applyFont="1" applyBorder="1" applyAlignment="1">
      <alignment vertical="center"/>
    </xf>
    <xf numFmtId="166" fontId="29" fillId="0" borderId="78" xfId="3" applyNumberFormat="1" applyFont="1" applyBorder="1" applyAlignment="1">
      <alignment vertical="center"/>
    </xf>
    <xf numFmtId="166" fontId="29" fillId="0" borderId="70" xfId="3" applyNumberFormat="1" applyFont="1" applyBorder="1" applyAlignment="1">
      <alignment vertical="center"/>
    </xf>
    <xf numFmtId="0" fontId="106" fillId="0" borderId="66" xfId="0" applyFont="1" applyBorder="1" applyAlignment="1">
      <alignment vertical="center" wrapText="1"/>
    </xf>
    <xf numFmtId="2" fontId="29" fillId="0" borderId="75" xfId="0" applyNumberFormat="1" applyFont="1" applyBorder="1" applyAlignment="1">
      <alignment horizontal="center" vertical="center"/>
    </xf>
    <xf numFmtId="165" fontId="29" fillId="0" borderId="49" xfId="3" applyNumberFormat="1" applyFont="1" applyBorder="1" applyAlignment="1">
      <alignment horizontal="center" vertical="center"/>
    </xf>
    <xf numFmtId="2" fontId="29" fillId="0" borderId="75" xfId="3" applyNumberFormat="1" applyFont="1" applyBorder="1" applyAlignment="1">
      <alignment horizontal="center" vertical="center"/>
    </xf>
    <xf numFmtId="0" fontId="25" fillId="0" borderId="71" xfId="0" applyFont="1" applyBorder="1" applyAlignment="1">
      <alignment vertical="center"/>
    </xf>
    <xf numFmtId="0" fontId="29" fillId="0" borderId="84" xfId="0" applyFont="1" applyBorder="1" applyAlignment="1">
      <alignment vertical="center"/>
    </xf>
    <xf numFmtId="0" fontId="29" fillId="3" borderId="76" xfId="0" applyFont="1" applyFill="1" applyBorder="1" applyAlignment="1">
      <alignment vertical="center"/>
    </xf>
    <xf numFmtId="0" fontId="29" fillId="0" borderId="48" xfId="0" applyFont="1" applyBorder="1" applyAlignment="1">
      <alignment horizontal="left" vertical="center" wrapText="1" indent="2"/>
    </xf>
    <xf numFmtId="0" fontId="29" fillId="0" borderId="50" xfId="0" applyFont="1" applyFill="1" applyBorder="1" applyAlignment="1">
      <alignment horizontal="center" vertical="center" wrapText="1"/>
    </xf>
    <xf numFmtId="0" fontId="29" fillId="0" borderId="76" xfId="0" applyFont="1" applyBorder="1" applyAlignment="1">
      <alignment vertical="center"/>
    </xf>
    <xf numFmtId="2" fontId="29" fillId="0" borderId="48" xfId="0" applyNumberFormat="1" applyFont="1" applyBorder="1" applyAlignment="1">
      <alignment horizontal="center" vertical="center"/>
    </xf>
    <xf numFmtId="2" fontId="29" fillId="0" borderId="84" xfId="0" applyNumberFormat="1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0" fontId="29" fillId="0" borderId="48" xfId="0" applyFont="1" applyBorder="1" applyAlignment="1">
      <alignment vertical="center"/>
    </xf>
    <xf numFmtId="0" fontId="25" fillId="0" borderId="72" xfId="0" applyFont="1" applyBorder="1" applyAlignment="1">
      <alignment vertical="center"/>
    </xf>
    <xf numFmtId="0" fontId="29" fillId="0" borderId="85" xfId="0" applyFont="1" applyBorder="1" applyAlignment="1">
      <alignment vertical="center"/>
    </xf>
    <xf numFmtId="0" fontId="29" fillId="3" borderId="77" xfId="0" applyFont="1" applyFill="1" applyBorder="1" applyAlignment="1">
      <alignment vertical="center"/>
    </xf>
    <xf numFmtId="0" fontId="29" fillId="0" borderId="48" xfId="0" applyFont="1" applyBorder="1" applyAlignment="1">
      <alignment horizontal="center" vertical="center"/>
    </xf>
    <xf numFmtId="0" fontId="29" fillId="0" borderId="100" xfId="0" applyFont="1" applyBorder="1" applyAlignment="1">
      <alignment horizontal="left" vertical="center" wrapText="1" indent="2"/>
    </xf>
    <xf numFmtId="0" fontId="29" fillId="0" borderId="92" xfId="0" applyFont="1" applyFill="1" applyBorder="1" applyAlignment="1">
      <alignment horizontal="center" vertical="center" wrapText="1"/>
    </xf>
    <xf numFmtId="0" fontId="29" fillId="0" borderId="77" xfId="0" applyFont="1" applyBorder="1" applyAlignment="1">
      <alignment horizontal="center" vertical="center"/>
    </xf>
    <xf numFmtId="2" fontId="29" fillId="0" borderId="100" xfId="0" applyNumberFormat="1" applyFont="1" applyBorder="1" applyAlignment="1">
      <alignment horizontal="center" vertical="center"/>
    </xf>
    <xf numFmtId="2" fontId="29" fillId="0" borderId="85" xfId="0" applyNumberFormat="1" applyFont="1" applyBorder="1" applyAlignment="1">
      <alignment horizontal="center" vertical="center"/>
    </xf>
    <xf numFmtId="9" fontId="29" fillId="0" borderId="71" xfId="6" applyFont="1" applyBorder="1" applyAlignment="1">
      <alignment horizontal="center" vertical="center"/>
    </xf>
    <xf numFmtId="166" fontId="29" fillId="0" borderId="84" xfId="3" applyNumberFormat="1" applyFont="1" applyBorder="1" applyAlignment="1">
      <alignment vertical="center"/>
    </xf>
    <xf numFmtId="166" fontId="29" fillId="0" borderId="50" xfId="3" applyNumberFormat="1" applyFont="1" applyBorder="1" applyAlignment="1">
      <alignment vertical="center"/>
    </xf>
    <xf numFmtId="165" fontId="29" fillId="0" borderId="85" xfId="0" applyNumberFormat="1" applyFont="1" applyBorder="1" applyAlignment="1">
      <alignment vertical="center"/>
    </xf>
    <xf numFmtId="0" fontId="29" fillId="0" borderId="100" xfId="0" applyFont="1" applyBorder="1" applyAlignment="1">
      <alignment horizontal="center" vertical="center"/>
    </xf>
    <xf numFmtId="166" fontId="29" fillId="0" borderId="79" xfId="3" applyNumberFormat="1" applyFont="1" applyBorder="1" applyAlignment="1">
      <alignment vertical="center"/>
    </xf>
    <xf numFmtId="0" fontId="29" fillId="0" borderId="39" xfId="0" applyFont="1" applyBorder="1" applyAlignment="1">
      <alignment horizontal="center" vertical="center"/>
    </xf>
    <xf numFmtId="9" fontId="29" fillId="0" borderId="0" xfId="6" applyFont="1" applyBorder="1" applyAlignment="1">
      <alignment horizontal="center" vertical="center"/>
    </xf>
    <xf numFmtId="0" fontId="31" fillId="3" borderId="103" xfId="0" applyFont="1" applyFill="1" applyBorder="1" applyAlignment="1">
      <alignment horizontal="left" vertical="center" indent="1"/>
    </xf>
    <xf numFmtId="0" fontId="31" fillId="0" borderId="94" xfId="0" applyFont="1" applyBorder="1" applyAlignment="1">
      <alignment horizontal="center" vertical="center"/>
    </xf>
    <xf numFmtId="0" fontId="31" fillId="0" borderId="95" xfId="0" applyFont="1" applyBorder="1" applyAlignment="1">
      <alignment horizontal="center" vertical="center"/>
    </xf>
    <xf numFmtId="166" fontId="32" fillId="0" borderId="49" xfId="3" applyNumberFormat="1" applyFont="1" applyBorder="1" applyAlignment="1">
      <alignment horizontal="center" vertical="center"/>
    </xf>
    <xf numFmtId="2" fontId="32" fillId="0" borderId="92" xfId="0" applyNumberFormat="1" applyFont="1" applyBorder="1" applyAlignment="1">
      <alignment horizontal="center" vertical="center"/>
    </xf>
    <xf numFmtId="0" fontId="32" fillId="0" borderId="65" xfId="0" applyFont="1" applyBorder="1" applyAlignment="1">
      <alignment horizontal="center" vertical="center"/>
    </xf>
    <xf numFmtId="166" fontId="32" fillId="0" borderId="97" xfId="3" applyNumberFormat="1" applyFont="1" applyBorder="1" applyAlignment="1">
      <alignment vertical="center"/>
    </xf>
    <xf numFmtId="166" fontId="32" fillId="0" borderId="95" xfId="3" applyNumberFormat="1" applyFont="1" applyBorder="1" applyAlignment="1">
      <alignment vertical="center"/>
    </xf>
    <xf numFmtId="166" fontId="32" fillId="0" borderId="72" xfId="3" applyNumberFormat="1" applyFont="1" applyBorder="1" applyAlignment="1">
      <alignment vertical="center"/>
    </xf>
    <xf numFmtId="0" fontId="25" fillId="0" borderId="7" xfId="0" applyFont="1" applyBorder="1" applyAlignment="1">
      <alignment horizontal="center" vertical="center"/>
    </xf>
    <xf numFmtId="0" fontId="25" fillId="0" borderId="88" xfId="0" applyFont="1" applyBorder="1" applyAlignment="1">
      <alignment horizontal="left" vertical="center" indent="1"/>
    </xf>
    <xf numFmtId="0" fontId="25" fillId="3" borderId="88" xfId="0" applyFont="1" applyFill="1" applyBorder="1" applyAlignment="1">
      <alignment horizontal="left" vertical="center" indent="1"/>
    </xf>
    <xf numFmtId="0" fontId="25" fillId="0" borderId="54" xfId="0" applyFont="1" applyBorder="1" applyAlignment="1">
      <alignment horizontal="center" vertical="center"/>
    </xf>
    <xf numFmtId="165" fontId="25" fillId="0" borderId="54" xfId="3" applyFont="1" applyBorder="1" applyAlignment="1">
      <alignment horizontal="center" vertical="center"/>
    </xf>
    <xf numFmtId="165" fontId="25" fillId="0" borderId="81" xfId="3" applyFont="1" applyBorder="1" applyAlignment="1">
      <alignment horizontal="center" vertical="center"/>
    </xf>
    <xf numFmtId="165" fontId="25" fillId="0" borderId="7" xfId="3" applyFont="1" applyBorder="1" applyAlignment="1">
      <alignment horizontal="center" vertical="center"/>
    </xf>
    <xf numFmtId="0" fontId="32" fillId="3" borderId="0" xfId="0" applyFont="1" applyFill="1" applyAlignment="1">
      <alignment vertical="center"/>
    </xf>
    <xf numFmtId="0" fontId="32" fillId="0" borderId="0" xfId="0" applyFont="1" applyAlignment="1">
      <alignment horizontal="center" vertical="center"/>
    </xf>
    <xf numFmtId="0" fontId="50" fillId="0" borderId="0" xfId="0" applyFont="1" applyAlignment="1">
      <alignment horizontal="left" vertical="center" indent="1"/>
    </xf>
    <xf numFmtId="0" fontId="28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69" fillId="0" borderId="0" xfId="0" applyFont="1" applyFill="1" applyBorder="1" applyAlignment="1">
      <alignment vertical="center"/>
    </xf>
    <xf numFmtId="0" fontId="5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3" fillId="0" borderId="0" xfId="0" applyFont="1" applyFill="1" applyAlignment="1"/>
    <xf numFmtId="0" fontId="27" fillId="0" borderId="0" xfId="0" applyFont="1" applyFill="1" applyBorder="1" applyAlignment="1">
      <alignment horizontal="left"/>
    </xf>
    <xf numFmtId="0" fontId="50" fillId="0" borderId="0" xfId="0" applyFont="1" applyAlignment="1"/>
    <xf numFmtId="0" fontId="43" fillId="0" borderId="0" xfId="0" applyFont="1" applyAlignment="1">
      <alignment horizontal="left"/>
    </xf>
    <xf numFmtId="0" fontId="43" fillId="0" borderId="0" xfId="0" applyFont="1" applyAlignment="1"/>
    <xf numFmtId="0" fontId="45" fillId="0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70" fillId="0" borderId="0" xfId="0" applyFont="1" applyFill="1" applyBorder="1" applyAlignment="1">
      <alignment horizontal="left" vertical="center" indent="1"/>
    </xf>
    <xf numFmtId="0" fontId="29" fillId="0" borderId="0" xfId="0" applyFont="1" applyAlignment="1">
      <alignment vertical="top"/>
    </xf>
    <xf numFmtId="0" fontId="29" fillId="0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/>
    </xf>
    <xf numFmtId="0" fontId="21" fillId="0" borderId="0" xfId="0" applyFont="1" applyFill="1" applyAlignment="1">
      <alignment vertical="top"/>
    </xf>
    <xf numFmtId="0" fontId="21" fillId="0" borderId="0" xfId="0" applyFont="1" applyAlignment="1">
      <alignment horizontal="center" vertical="top"/>
    </xf>
    <xf numFmtId="166" fontId="107" fillId="0" borderId="0" xfId="3" applyNumberFormat="1" applyFont="1" applyAlignment="1">
      <alignment vertical="center"/>
    </xf>
    <xf numFmtId="166" fontId="107" fillId="0" borderId="0" xfId="3" applyNumberFormat="1" applyFont="1" applyAlignment="1">
      <alignment vertical="center" wrapText="1"/>
    </xf>
    <xf numFmtId="166" fontId="107" fillId="0" borderId="0" xfId="3" applyNumberFormat="1" applyFont="1" applyAlignment="1">
      <alignment horizontal="center" vertical="center" wrapText="1"/>
    </xf>
    <xf numFmtId="166" fontId="107" fillId="0" borderId="0" xfId="3" applyNumberFormat="1" applyFont="1" applyAlignment="1">
      <alignment horizontal="left" vertical="center" wrapText="1"/>
    </xf>
    <xf numFmtId="166" fontId="108" fillId="0" borderId="0" xfId="3" applyNumberFormat="1" applyFont="1" applyAlignment="1">
      <alignment vertical="center"/>
    </xf>
    <xf numFmtId="0" fontId="27" fillId="0" borderId="19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166" fontId="27" fillId="0" borderId="101" xfId="3" applyNumberFormat="1" applyFont="1" applyBorder="1" applyAlignment="1">
      <alignment horizontal="center" vertical="center" wrapText="1"/>
    </xf>
    <xf numFmtId="166" fontId="27" fillId="0" borderId="102" xfId="3" applyNumberFormat="1" applyFont="1" applyBorder="1" applyAlignment="1">
      <alignment horizontal="center" vertical="center" wrapText="1"/>
    </xf>
    <xf numFmtId="166" fontId="27" fillId="0" borderId="10" xfId="3" applyNumberFormat="1" applyFont="1" applyBorder="1" applyAlignment="1">
      <alignment horizontal="center" vertical="center" wrapText="1"/>
    </xf>
    <xf numFmtId="0" fontId="29" fillId="0" borderId="70" xfId="0" applyFont="1" applyBorder="1" applyAlignment="1">
      <alignment vertical="center"/>
    </xf>
    <xf numFmtId="0" fontId="29" fillId="0" borderId="49" xfId="0" applyFont="1" applyBorder="1" applyAlignment="1">
      <alignment horizontal="left" vertical="center" indent="2"/>
    </xf>
    <xf numFmtId="0" fontId="29" fillId="0" borderId="75" xfId="0" applyFont="1" applyBorder="1" applyAlignment="1">
      <alignment vertical="center"/>
    </xf>
    <xf numFmtId="166" fontId="29" fillId="0" borderId="49" xfId="3" applyNumberFormat="1" applyFont="1" applyBorder="1" applyAlignment="1">
      <alignment horizontal="center" vertical="center"/>
    </xf>
    <xf numFmtId="165" fontId="29" fillId="0" borderId="83" xfId="3" applyFont="1" applyBorder="1" applyAlignment="1">
      <alignment vertical="center"/>
    </xf>
    <xf numFmtId="165" fontId="29" fillId="0" borderId="49" xfId="3" applyFont="1" applyBorder="1" applyAlignment="1">
      <alignment vertical="center"/>
    </xf>
    <xf numFmtId="9" fontId="29" fillId="0" borderId="55" xfId="6" applyFont="1" applyBorder="1" applyAlignment="1">
      <alignment vertical="center"/>
    </xf>
    <xf numFmtId="0" fontId="29" fillId="0" borderId="66" xfId="0" applyFont="1" applyBorder="1" applyAlignment="1">
      <alignment vertical="center"/>
    </xf>
    <xf numFmtId="0" fontId="30" fillId="0" borderId="70" xfId="0" applyFont="1" applyBorder="1" applyAlignment="1">
      <alignment vertical="center"/>
    </xf>
    <xf numFmtId="0" fontId="97" fillId="0" borderId="83" xfId="0" applyFont="1" applyBorder="1" applyAlignment="1">
      <alignment vertical="center"/>
    </xf>
    <xf numFmtId="0" fontId="97" fillId="3" borderId="75" xfId="0" applyFont="1" applyFill="1" applyBorder="1" applyAlignment="1">
      <alignment horizontal="center" vertical="center" wrapText="1"/>
    </xf>
    <xf numFmtId="0" fontId="97" fillId="0" borderId="96" xfId="0" applyFont="1" applyBorder="1" applyAlignment="1">
      <alignment horizontal="center" vertical="center"/>
    </xf>
    <xf numFmtId="0" fontId="97" fillId="0" borderId="96" xfId="0" applyFont="1" applyBorder="1" applyAlignment="1">
      <alignment horizontal="center" vertical="center" wrapText="1"/>
    </xf>
    <xf numFmtId="0" fontId="97" fillId="0" borderId="49" xfId="0" applyFont="1" applyBorder="1" applyAlignment="1">
      <alignment horizontal="center" vertical="center"/>
    </xf>
    <xf numFmtId="2" fontId="97" fillId="0" borderId="75" xfId="0" applyNumberFormat="1" applyFont="1" applyBorder="1" applyAlignment="1">
      <alignment horizontal="center" vertical="center"/>
    </xf>
    <xf numFmtId="2" fontId="97" fillId="0" borderId="96" xfId="0" applyNumberFormat="1" applyFont="1" applyBorder="1" applyAlignment="1">
      <alignment horizontal="center" vertical="center"/>
    </xf>
    <xf numFmtId="2" fontId="97" fillId="0" borderId="49" xfId="3" applyNumberFormat="1" applyFont="1" applyBorder="1" applyAlignment="1">
      <alignment horizontal="center" vertical="center"/>
    </xf>
    <xf numFmtId="2" fontId="97" fillId="0" borderId="83" xfId="3" applyNumberFormat="1" applyFont="1" applyBorder="1" applyAlignment="1">
      <alignment horizontal="center" vertical="center"/>
    </xf>
    <xf numFmtId="165" fontId="97" fillId="0" borderId="49" xfId="3" applyNumberFormat="1" applyFont="1" applyBorder="1" applyAlignment="1">
      <alignment horizontal="center" vertical="center"/>
    </xf>
    <xf numFmtId="9" fontId="97" fillId="0" borderId="55" xfId="6" applyFont="1" applyBorder="1" applyAlignment="1">
      <alignment horizontal="center" vertical="center"/>
    </xf>
    <xf numFmtId="166" fontId="97" fillId="0" borderId="83" xfId="3" applyNumberFormat="1" applyFont="1" applyBorder="1" applyAlignment="1">
      <alignment vertical="center"/>
    </xf>
    <xf numFmtId="166" fontId="97" fillId="0" borderId="49" xfId="3" applyNumberFormat="1" applyFont="1" applyBorder="1" applyAlignment="1">
      <alignment vertical="center"/>
    </xf>
    <xf numFmtId="2" fontId="97" fillId="0" borderId="96" xfId="3" applyNumberFormat="1" applyFont="1" applyBorder="1" applyAlignment="1">
      <alignment horizontal="center" vertical="center"/>
    </xf>
    <xf numFmtId="165" fontId="97" fillId="0" borderId="49" xfId="3" applyNumberFormat="1" applyFont="1" applyBorder="1" applyAlignment="1">
      <alignment vertical="center"/>
    </xf>
    <xf numFmtId="166" fontId="97" fillId="0" borderId="70" xfId="3" applyNumberFormat="1" applyFont="1" applyBorder="1" applyAlignment="1">
      <alignment vertical="center"/>
    </xf>
    <xf numFmtId="0" fontId="97" fillId="0" borderId="66" xfId="0" applyFont="1" applyBorder="1" applyAlignment="1">
      <alignment vertical="center"/>
    </xf>
    <xf numFmtId="0" fontId="110" fillId="0" borderId="70" xfId="0" applyFont="1" applyBorder="1" applyAlignment="1">
      <alignment horizontal="left" vertical="center" indent="1"/>
    </xf>
    <xf numFmtId="0" fontId="111" fillId="0" borderId="83" xfId="0" applyFont="1" applyBorder="1" applyAlignment="1">
      <alignment vertical="center"/>
    </xf>
    <xf numFmtId="0" fontId="111" fillId="3" borderId="75" xfId="0" applyFont="1" applyFill="1" applyBorder="1" applyAlignment="1">
      <alignment horizontal="center" vertical="center" wrapText="1"/>
    </xf>
    <xf numFmtId="0" fontId="111" fillId="0" borderId="96" xfId="0" applyFont="1" applyBorder="1" applyAlignment="1">
      <alignment horizontal="left" vertical="center" indent="2"/>
    </xf>
    <xf numFmtId="166" fontId="111" fillId="0" borderId="75" xfId="3" applyNumberFormat="1" applyFont="1" applyBorder="1" applyAlignment="1">
      <alignment vertical="center"/>
    </xf>
    <xf numFmtId="166" fontId="111" fillId="0" borderId="83" xfId="3" applyNumberFormat="1" applyFont="1" applyBorder="1" applyAlignment="1">
      <alignment vertical="center"/>
    </xf>
    <xf numFmtId="0" fontId="30" fillId="0" borderId="71" xfId="0" applyFont="1" applyBorder="1" applyAlignment="1">
      <alignment vertical="center"/>
    </xf>
    <xf numFmtId="0" fontId="97" fillId="0" borderId="84" xfId="0" applyFont="1" applyBorder="1" applyAlignment="1">
      <alignment vertical="center"/>
    </xf>
    <xf numFmtId="0" fontId="97" fillId="3" borderId="76" xfId="0" applyFont="1" applyFill="1" applyBorder="1" applyAlignment="1">
      <alignment horizontal="center" vertical="center" wrapText="1"/>
    </xf>
    <xf numFmtId="0" fontId="97" fillId="0" borderId="48" xfId="0" applyFont="1" applyBorder="1" applyAlignment="1">
      <alignment horizontal="left" vertical="center" wrapText="1" indent="2"/>
    </xf>
    <xf numFmtId="2" fontId="97" fillId="0" borderId="76" xfId="0" applyNumberFormat="1" applyFont="1" applyBorder="1" applyAlignment="1">
      <alignment horizontal="center" vertical="center"/>
    </xf>
    <xf numFmtId="2" fontId="97" fillId="0" borderId="48" xfId="0" applyNumberFormat="1" applyFont="1" applyBorder="1" applyAlignment="1">
      <alignment horizontal="center" vertical="center"/>
    </xf>
    <xf numFmtId="2" fontId="97" fillId="0" borderId="84" xfId="3" applyNumberFormat="1" applyFont="1" applyBorder="1" applyAlignment="1">
      <alignment horizontal="center" vertical="center"/>
    </xf>
    <xf numFmtId="165" fontId="97" fillId="0" borderId="84" xfId="0" applyNumberFormat="1" applyFont="1" applyBorder="1" applyAlignment="1">
      <alignment vertical="center"/>
    </xf>
    <xf numFmtId="165" fontId="97" fillId="0" borderId="50" xfId="0" applyNumberFormat="1" applyFont="1" applyBorder="1" applyAlignment="1">
      <alignment vertical="center"/>
    </xf>
    <xf numFmtId="165" fontId="97" fillId="0" borderId="70" xfId="3" applyNumberFormat="1" applyFont="1" applyBorder="1" applyAlignment="1">
      <alignment vertical="center"/>
    </xf>
    <xf numFmtId="0" fontId="30" fillId="0" borderId="84" xfId="0" applyFont="1" applyBorder="1" applyAlignment="1">
      <alignment vertical="center"/>
    </xf>
    <xf numFmtId="0" fontId="30" fillId="3" borderId="76" xfId="0" applyFont="1" applyFill="1" applyBorder="1" applyAlignment="1">
      <alignment horizontal="center" vertical="center" wrapText="1"/>
    </xf>
    <xf numFmtId="0" fontId="111" fillId="0" borderId="96" xfId="0" applyFont="1" applyBorder="1" applyAlignment="1">
      <alignment horizontal="center" vertical="center"/>
    </xf>
    <xf numFmtId="0" fontId="30" fillId="0" borderId="48" xfId="0" applyFont="1" applyBorder="1" applyAlignment="1">
      <alignment horizontal="left" vertical="center" wrapText="1" indent="2"/>
    </xf>
    <xf numFmtId="0" fontId="30" fillId="0" borderId="50" xfId="0" applyFont="1" applyFill="1" applyBorder="1" applyAlignment="1">
      <alignment horizontal="center" vertical="center" wrapText="1"/>
    </xf>
    <xf numFmtId="165" fontId="30" fillId="0" borderId="76" xfId="0" applyNumberFormat="1" applyFont="1" applyBorder="1" applyAlignment="1">
      <alignment vertical="center"/>
    </xf>
    <xf numFmtId="165" fontId="30" fillId="0" borderId="84" xfId="0" applyNumberFormat="1" applyFont="1" applyBorder="1" applyAlignment="1">
      <alignment vertical="center"/>
    </xf>
    <xf numFmtId="165" fontId="30" fillId="0" borderId="50" xfId="0" applyNumberFormat="1" applyFont="1" applyBorder="1" applyAlignment="1">
      <alignment vertical="center"/>
    </xf>
    <xf numFmtId="2" fontId="97" fillId="0" borderId="50" xfId="0" applyNumberFormat="1" applyFont="1" applyFill="1" applyBorder="1" applyAlignment="1">
      <alignment horizontal="center" vertical="center" wrapText="1"/>
    </xf>
    <xf numFmtId="0" fontId="97" fillId="0" borderId="76" xfId="0" applyFont="1" applyBorder="1" applyAlignment="1">
      <alignment vertical="center"/>
    </xf>
    <xf numFmtId="2" fontId="97" fillId="0" borderId="84" xfId="0" applyNumberFormat="1" applyFont="1" applyBorder="1" applyAlignment="1">
      <alignment horizontal="center" vertical="center"/>
    </xf>
    <xf numFmtId="9" fontId="97" fillId="0" borderId="56" xfId="6" applyFont="1" applyBorder="1" applyAlignment="1">
      <alignment horizontal="center" vertical="center"/>
    </xf>
    <xf numFmtId="166" fontId="97" fillId="0" borderId="84" xfId="3" applyNumberFormat="1" applyFont="1" applyBorder="1" applyAlignment="1">
      <alignment vertical="center"/>
    </xf>
    <xf numFmtId="0" fontId="97" fillId="0" borderId="48" xfId="0" applyFont="1" applyBorder="1" applyAlignment="1">
      <alignment vertical="center"/>
    </xf>
    <xf numFmtId="0" fontId="97" fillId="0" borderId="50" xfId="0" applyFont="1" applyBorder="1" applyAlignment="1">
      <alignment vertical="center"/>
    </xf>
    <xf numFmtId="0" fontId="97" fillId="0" borderId="50" xfId="0" applyFont="1" applyBorder="1" applyAlignment="1">
      <alignment horizontal="center" vertical="center" wrapText="1"/>
    </xf>
    <xf numFmtId="165" fontId="97" fillId="0" borderId="50" xfId="3" applyFont="1" applyBorder="1" applyAlignment="1">
      <alignment vertical="center"/>
    </xf>
    <xf numFmtId="165" fontId="97" fillId="0" borderId="50" xfId="0" applyNumberFormat="1" applyFont="1" applyBorder="1" applyAlignment="1">
      <alignment horizontal="center" vertical="center"/>
    </xf>
    <xf numFmtId="2" fontId="97" fillId="0" borderId="50" xfId="0" applyNumberFormat="1" applyFont="1" applyBorder="1" applyAlignment="1">
      <alignment horizontal="center" vertical="center"/>
    </xf>
    <xf numFmtId="0" fontId="97" fillId="3" borderId="76" xfId="0" applyFont="1" applyFill="1" applyBorder="1" applyAlignment="1">
      <alignment horizontal="center" vertical="center"/>
    </xf>
    <xf numFmtId="0" fontId="97" fillId="0" borderId="50" xfId="0" applyFont="1" applyBorder="1" applyAlignment="1">
      <alignment horizontal="left" vertical="center" wrapText="1" indent="2"/>
    </xf>
    <xf numFmtId="0" fontId="97" fillId="0" borderId="67" xfId="0" applyFont="1" applyBorder="1" applyAlignment="1">
      <alignment vertical="center"/>
    </xf>
    <xf numFmtId="0" fontId="30" fillId="0" borderId="72" xfId="0" applyFont="1" applyBorder="1" applyAlignment="1">
      <alignment horizontal="left" vertical="center" indent="1"/>
    </xf>
    <xf numFmtId="0" fontId="30" fillId="0" borderId="97" xfId="0" applyFont="1" applyBorder="1" applyAlignment="1">
      <alignment horizontal="left" vertical="center" indent="1"/>
    </xf>
    <xf numFmtId="0" fontId="30" fillId="3" borderId="103" xfId="0" applyFont="1" applyFill="1" applyBorder="1" applyAlignment="1">
      <alignment horizontal="left" vertical="center" indent="1"/>
    </xf>
    <xf numFmtId="0" fontId="30" fillId="0" borderId="94" xfId="0" applyFont="1" applyBorder="1" applyAlignment="1">
      <alignment horizontal="center" vertical="center"/>
    </xf>
    <xf numFmtId="0" fontId="30" fillId="0" borderId="94" xfId="0" applyFont="1" applyBorder="1" applyAlignment="1">
      <alignment horizontal="left" vertical="center" indent="3"/>
    </xf>
    <xf numFmtId="0" fontId="30" fillId="0" borderId="95" xfId="0" applyFont="1" applyBorder="1" applyAlignment="1">
      <alignment horizontal="left" vertical="center" indent="3"/>
    </xf>
    <xf numFmtId="0" fontId="97" fillId="0" borderId="77" xfId="0" applyFont="1" applyBorder="1" applyAlignment="1">
      <alignment vertical="center"/>
    </xf>
    <xf numFmtId="0" fontId="97" fillId="0" borderId="100" xfId="0" applyFont="1" applyBorder="1" applyAlignment="1">
      <alignment vertical="center"/>
    </xf>
    <xf numFmtId="166" fontId="97" fillId="0" borderId="49" xfId="3" applyNumberFormat="1" applyFont="1" applyBorder="1" applyAlignment="1">
      <alignment horizontal="center" vertical="center"/>
    </xf>
    <xf numFmtId="0" fontId="97" fillId="0" borderId="85" xfId="0" applyFont="1" applyBorder="1" applyAlignment="1">
      <alignment vertical="center"/>
    </xf>
    <xf numFmtId="0" fontId="97" fillId="0" borderId="92" xfId="0" applyFont="1" applyBorder="1" applyAlignment="1">
      <alignment vertical="center"/>
    </xf>
    <xf numFmtId="0" fontId="97" fillId="0" borderId="65" xfId="0" applyFont="1" applyBorder="1" applyAlignment="1">
      <alignment vertical="center"/>
    </xf>
    <xf numFmtId="166" fontId="97" fillId="0" borderId="97" xfId="3" applyNumberFormat="1" applyFont="1" applyBorder="1" applyAlignment="1">
      <alignment vertical="center"/>
    </xf>
    <xf numFmtId="166" fontId="97" fillId="0" borderId="95" xfId="3" applyNumberFormat="1" applyFont="1" applyBorder="1" applyAlignment="1">
      <alignment vertical="center"/>
    </xf>
    <xf numFmtId="166" fontId="97" fillId="0" borderId="85" xfId="3" applyNumberFormat="1" applyFont="1" applyBorder="1" applyAlignment="1">
      <alignment vertical="center"/>
    </xf>
    <xf numFmtId="166" fontId="97" fillId="0" borderId="100" xfId="3" applyNumberFormat="1" applyFont="1" applyBorder="1" applyAlignment="1">
      <alignment vertical="center"/>
    </xf>
    <xf numFmtId="166" fontId="97" fillId="0" borderId="92" xfId="3" applyNumberFormat="1" applyFont="1" applyBorder="1" applyAlignment="1">
      <alignment vertical="center"/>
    </xf>
    <xf numFmtId="166" fontId="97" fillId="0" borderId="72" xfId="3" applyNumberFormat="1" applyFont="1" applyBorder="1" applyAlignment="1">
      <alignment vertical="center"/>
    </xf>
    <xf numFmtId="0" fontId="97" fillId="0" borderId="68" xfId="0" applyFont="1" applyBorder="1" applyAlignment="1">
      <alignment vertical="center"/>
    </xf>
    <xf numFmtId="0" fontId="30" fillId="0" borderId="7" xfId="0" applyFont="1" applyBorder="1" applyAlignment="1">
      <alignment horizontal="center" vertical="center"/>
    </xf>
    <xf numFmtId="0" fontId="30" fillId="0" borderId="88" xfId="0" applyFont="1" applyBorder="1" applyAlignment="1">
      <alignment horizontal="left" vertical="center" indent="1"/>
    </xf>
    <xf numFmtId="0" fontId="30" fillId="3" borderId="88" xfId="0" applyFont="1" applyFill="1" applyBorder="1" applyAlignment="1">
      <alignment horizontal="left" vertical="center" indent="1"/>
    </xf>
    <xf numFmtId="0" fontId="30" fillId="0" borderId="54" xfId="0" applyFont="1" applyBorder="1" applyAlignment="1">
      <alignment horizontal="center" vertical="center"/>
    </xf>
    <xf numFmtId="165" fontId="30" fillId="0" borderId="54" xfId="3" applyFont="1" applyBorder="1" applyAlignment="1">
      <alignment horizontal="center" vertical="center"/>
    </xf>
    <xf numFmtId="0" fontId="97" fillId="0" borderId="12" xfId="0" applyFont="1" applyBorder="1" applyAlignment="1">
      <alignment vertical="center"/>
    </xf>
    <xf numFmtId="0" fontId="25" fillId="0" borderId="0" xfId="0" applyFont="1" applyFill="1" applyBorder="1" applyAlignment="1">
      <alignment horizontal="left" vertical="center" indent="1"/>
    </xf>
    <xf numFmtId="0" fontId="59" fillId="0" borderId="0" xfId="0" applyFont="1" applyAlignment="1">
      <alignment vertical="center"/>
    </xf>
    <xf numFmtId="0" fontId="83" fillId="0" borderId="0" xfId="5" applyFont="1" applyAlignment="1">
      <alignment vertical="top"/>
    </xf>
    <xf numFmtId="166" fontId="45" fillId="0" borderId="0" xfId="3" applyNumberFormat="1" applyFont="1" applyAlignment="1">
      <alignment vertical="center"/>
    </xf>
    <xf numFmtId="0" fontId="59" fillId="0" borderId="0" xfId="0" applyFont="1" applyAlignment="1"/>
    <xf numFmtId="166" fontId="29" fillId="0" borderId="0" xfId="3" applyNumberFormat="1" applyFont="1" applyAlignment="1">
      <alignment vertical="top"/>
    </xf>
    <xf numFmtId="0" fontId="29" fillId="0" borderId="0" xfId="0" applyFont="1" applyAlignment="1">
      <alignment horizontal="center" vertical="top"/>
    </xf>
    <xf numFmtId="49" fontId="24" fillId="0" borderId="51" xfId="0" applyNumberFormat="1" applyFont="1" applyBorder="1" applyAlignment="1">
      <alignment horizontal="center" vertical="center"/>
    </xf>
    <xf numFmtId="49" fontId="24" fillId="0" borderId="52" xfId="0" applyNumberFormat="1" applyFont="1" applyBorder="1" applyAlignment="1">
      <alignment horizontal="center" vertical="center"/>
    </xf>
    <xf numFmtId="49" fontId="24" fillId="3" borderId="52" xfId="0" applyNumberFormat="1" applyFont="1" applyFill="1" applyBorder="1" applyAlignment="1">
      <alignment horizontal="center" vertical="center"/>
    </xf>
    <xf numFmtId="49" fontId="21" fillId="3" borderId="52" xfId="0" applyNumberFormat="1" applyFont="1" applyFill="1" applyBorder="1" applyAlignment="1">
      <alignment horizontal="center" vertical="center"/>
    </xf>
    <xf numFmtId="49" fontId="21" fillId="0" borderId="52" xfId="0" applyNumberFormat="1" applyFont="1" applyBorder="1" applyAlignment="1">
      <alignment horizontal="center" vertical="center"/>
    </xf>
    <xf numFmtId="49" fontId="21" fillId="0" borderId="52" xfId="0" applyNumberFormat="1" applyFont="1" applyBorder="1" applyAlignment="1">
      <alignment horizontal="center" vertical="center" wrapText="1"/>
    </xf>
    <xf numFmtId="165" fontId="21" fillId="0" borderId="52" xfId="3" applyFont="1" applyBorder="1" applyAlignment="1">
      <alignment horizontal="center" vertical="center"/>
    </xf>
    <xf numFmtId="165" fontId="21" fillId="0" borderId="52" xfId="3" applyFont="1" applyBorder="1" applyAlignment="1">
      <alignment horizontal="center" vertical="center" wrapText="1"/>
    </xf>
    <xf numFmtId="165" fontId="24" fillId="0" borderId="53" xfId="3" applyFont="1" applyBorder="1" applyAlignment="1">
      <alignment horizontal="center" vertical="center"/>
    </xf>
    <xf numFmtId="165" fontId="25" fillId="0" borderId="105" xfId="3" applyFont="1" applyBorder="1" applyAlignment="1">
      <alignment vertical="center"/>
    </xf>
    <xf numFmtId="165" fontId="29" fillId="0" borderId="106" xfId="3" applyFont="1" applyBorder="1" applyAlignment="1">
      <alignment horizontal="center" vertical="center"/>
    </xf>
    <xf numFmtId="165" fontId="29" fillId="3" borderId="106" xfId="3" applyFont="1" applyFill="1" applyBorder="1" applyAlignment="1">
      <alignment horizontal="center" vertical="center"/>
    </xf>
    <xf numFmtId="1" fontId="29" fillId="0" borderId="106" xfId="3" applyNumberFormat="1" applyFont="1" applyBorder="1" applyAlignment="1">
      <alignment horizontal="center" vertical="center"/>
    </xf>
    <xf numFmtId="165" fontId="29" fillId="0" borderId="106" xfId="3" applyFont="1" applyBorder="1" applyAlignment="1">
      <alignment horizontal="left" vertical="center" indent="2"/>
    </xf>
    <xf numFmtId="1" fontId="29" fillId="0" borderId="106" xfId="3" applyNumberFormat="1" applyFont="1" applyBorder="1" applyAlignment="1">
      <alignment horizontal="left" vertical="center" indent="2"/>
    </xf>
    <xf numFmtId="165" fontId="29" fillId="0" borderId="48" xfId="3" applyFont="1" applyBorder="1" applyAlignment="1">
      <alignment horizontal="center" vertical="center"/>
    </xf>
    <xf numFmtId="165" fontId="29" fillId="0" borderId="106" xfId="3" applyFont="1" applyBorder="1" applyAlignment="1">
      <alignment vertical="center"/>
    </xf>
    <xf numFmtId="165" fontId="29" fillId="3" borderId="106" xfId="3" applyFont="1" applyFill="1" applyBorder="1" applyAlignment="1">
      <alignment vertical="center"/>
    </xf>
    <xf numFmtId="2" fontId="29" fillId="3" borderId="106" xfId="3" applyNumberFormat="1" applyFont="1" applyFill="1" applyBorder="1" applyAlignment="1">
      <alignment horizontal="center" vertical="center"/>
    </xf>
    <xf numFmtId="2" fontId="29" fillId="0" borderId="106" xfId="3" applyNumberFormat="1" applyFont="1" applyBorder="1" applyAlignment="1">
      <alignment horizontal="center" vertical="center"/>
    </xf>
    <xf numFmtId="165" fontId="29" fillId="0" borderId="106" xfId="3" applyNumberFormat="1" applyFont="1" applyBorder="1" applyAlignment="1">
      <alignment horizontal="center" vertical="center"/>
    </xf>
    <xf numFmtId="9" fontId="29" fillId="0" borderId="106" xfId="3" applyNumberFormat="1" applyFont="1" applyBorder="1" applyAlignment="1">
      <alignment horizontal="center" vertical="center"/>
    </xf>
    <xf numFmtId="165" fontId="65" fillId="0" borderId="139" xfId="3" applyFont="1" applyBorder="1" applyAlignment="1">
      <alignment vertical="center"/>
    </xf>
    <xf numFmtId="165" fontId="25" fillId="0" borderId="84" xfId="3" applyFont="1" applyBorder="1" applyAlignment="1">
      <alignment horizontal="left" vertical="center" indent="2"/>
    </xf>
    <xf numFmtId="165" fontId="29" fillId="0" borderId="48" xfId="3" applyFont="1" applyBorder="1" applyAlignment="1">
      <alignment horizontal="center" vertical="center" wrapText="1"/>
    </xf>
    <xf numFmtId="1" fontId="29" fillId="0" borderId="48" xfId="3" applyNumberFormat="1" applyFont="1" applyBorder="1" applyAlignment="1">
      <alignment horizontal="center" vertical="center"/>
    </xf>
    <xf numFmtId="165" fontId="29" fillId="0" borderId="48" xfId="3" applyFont="1" applyBorder="1" applyAlignment="1">
      <alignment horizontal="left" vertical="center" indent="2"/>
    </xf>
    <xf numFmtId="1" fontId="29" fillId="0" borderId="48" xfId="3" applyNumberFormat="1" applyFont="1" applyBorder="1" applyAlignment="1">
      <alignment horizontal="left" vertical="center" wrapText="1" indent="2"/>
    </xf>
    <xf numFmtId="2" fontId="29" fillId="0" borderId="48" xfId="3" applyNumberFormat="1" applyFont="1" applyBorder="1" applyAlignment="1">
      <alignment horizontal="center" vertical="center"/>
    </xf>
    <xf numFmtId="165" fontId="29" fillId="0" borderId="48" xfId="3" applyNumberFormat="1" applyFont="1" applyBorder="1" applyAlignment="1">
      <alignment horizontal="center" vertical="center"/>
    </xf>
    <xf numFmtId="9" fontId="29" fillId="0" borderId="48" xfId="3" applyNumberFormat="1" applyFont="1" applyBorder="1" applyAlignment="1">
      <alignment horizontal="center" vertical="center"/>
    </xf>
    <xf numFmtId="165" fontId="25" fillId="0" borderId="84" xfId="3" applyFont="1" applyBorder="1" applyAlignment="1">
      <alignment vertical="center"/>
    </xf>
    <xf numFmtId="1" fontId="29" fillId="0" borderId="48" xfId="3" applyNumberFormat="1" applyFont="1" applyBorder="1" applyAlignment="1">
      <alignment horizontal="center" vertical="center" wrapText="1"/>
    </xf>
    <xf numFmtId="165" fontId="29" fillId="0" borderId="48" xfId="3" applyFont="1" applyBorder="1" applyAlignment="1">
      <alignment horizontal="left" vertical="center" wrapText="1" indent="2"/>
    </xf>
    <xf numFmtId="2" fontId="29" fillId="0" borderId="48" xfId="3" applyNumberFormat="1" applyFont="1" applyBorder="1" applyAlignment="1">
      <alignment horizontal="center" vertical="center" wrapText="1"/>
    </xf>
    <xf numFmtId="1" fontId="29" fillId="3" borderId="48" xfId="3" applyNumberFormat="1" applyFont="1" applyFill="1" applyBorder="1" applyAlignment="1">
      <alignment horizontal="center" vertical="center"/>
    </xf>
    <xf numFmtId="165" fontId="25" fillId="0" borderId="84" xfId="3" applyFont="1" applyBorder="1" applyAlignment="1">
      <alignment horizontal="left" vertical="center"/>
    </xf>
    <xf numFmtId="165" fontId="25" fillId="0" borderId="97" xfId="3" applyFont="1" applyBorder="1" applyAlignment="1">
      <alignment horizontal="left" vertical="center" indent="1"/>
    </xf>
    <xf numFmtId="165" fontId="25" fillId="0" borderId="94" xfId="3" applyFont="1" applyBorder="1" applyAlignment="1">
      <alignment horizontal="center" vertical="center"/>
    </xf>
    <xf numFmtId="165" fontId="25" fillId="3" borderId="94" xfId="3" applyFont="1" applyFill="1" applyBorder="1" applyAlignment="1">
      <alignment horizontal="left" vertical="center" indent="1"/>
    </xf>
    <xf numFmtId="1" fontId="25" fillId="0" borderId="94" xfId="3" applyNumberFormat="1" applyFont="1" applyBorder="1" applyAlignment="1">
      <alignment horizontal="center" vertical="center"/>
    </xf>
    <xf numFmtId="2" fontId="25" fillId="0" borderId="94" xfId="3" applyNumberFormat="1" applyFont="1" applyBorder="1" applyAlignment="1">
      <alignment horizontal="center" vertical="center"/>
    </xf>
    <xf numFmtId="165" fontId="25" fillId="0" borderId="94" xfId="3" applyFont="1" applyBorder="1" applyAlignment="1">
      <alignment horizontal="left" vertical="center" indent="3"/>
    </xf>
    <xf numFmtId="2" fontId="29" fillId="0" borderId="94" xfId="3" applyNumberFormat="1" applyFont="1" applyBorder="1" applyAlignment="1">
      <alignment horizontal="center" vertical="center"/>
    </xf>
    <xf numFmtId="165" fontId="29" fillId="3" borderId="94" xfId="3" applyFont="1" applyFill="1" applyBorder="1" applyAlignment="1">
      <alignment vertical="center"/>
    </xf>
    <xf numFmtId="165" fontId="29" fillId="0" borderId="94" xfId="3" applyFont="1" applyBorder="1" applyAlignment="1">
      <alignment vertical="center"/>
    </xf>
    <xf numFmtId="165" fontId="29" fillId="0" borderId="107" xfId="3" applyFont="1" applyBorder="1" applyAlignment="1">
      <alignment vertical="center"/>
    </xf>
    <xf numFmtId="165" fontId="29" fillId="0" borderId="95" xfId="3" applyFont="1" applyBorder="1" applyAlignment="1">
      <alignment vertical="center"/>
    </xf>
    <xf numFmtId="165" fontId="25" fillId="0" borderId="54" xfId="3" applyFont="1" applyBorder="1" applyAlignment="1">
      <alignment horizontal="left" vertical="center" indent="1"/>
    </xf>
    <xf numFmtId="165" fontId="25" fillId="3" borderId="54" xfId="3" applyFont="1" applyFill="1" applyBorder="1" applyAlignment="1">
      <alignment horizontal="left" vertical="center" indent="1"/>
    </xf>
    <xf numFmtId="1" fontId="25" fillId="0" borderId="54" xfId="3" applyNumberFormat="1" applyFont="1" applyBorder="1" applyAlignment="1">
      <alignment horizontal="center" vertical="center"/>
    </xf>
    <xf numFmtId="165" fontId="29" fillId="0" borderId="93" xfId="3" applyFont="1" applyBorder="1" applyAlignment="1">
      <alignment vertical="center"/>
    </xf>
    <xf numFmtId="165" fontId="21" fillId="0" borderId="0" xfId="3" applyFont="1" applyAlignment="1">
      <alignment vertical="center"/>
    </xf>
    <xf numFmtId="1" fontId="21" fillId="0" borderId="0" xfId="3" applyNumberFormat="1" applyFont="1" applyAlignment="1">
      <alignment horizontal="center" vertical="center"/>
    </xf>
    <xf numFmtId="165" fontId="21" fillId="0" borderId="0" xfId="3" applyFont="1" applyAlignment="1">
      <alignment horizontal="left" vertical="center" indent="1"/>
    </xf>
    <xf numFmtId="0" fontId="50" fillId="0" borderId="0" xfId="0" applyFont="1" applyBorder="1" applyAlignment="1"/>
    <xf numFmtId="166" fontId="113" fillId="0" borderId="0" xfId="3" applyNumberFormat="1" applyFont="1" applyAlignment="1">
      <alignment horizontal="left" vertical="center" wrapText="1"/>
    </xf>
    <xf numFmtId="0" fontId="50" fillId="0" borderId="0" xfId="0" applyFont="1" applyBorder="1" applyAlignment="1">
      <alignment vertical="center"/>
    </xf>
    <xf numFmtId="166" fontId="113" fillId="0" borderId="0" xfId="3" applyNumberFormat="1" applyFont="1" applyAlignment="1">
      <alignment vertical="center"/>
    </xf>
    <xf numFmtId="166" fontId="113" fillId="0" borderId="0" xfId="3" applyNumberFormat="1" applyFont="1" applyAlignment="1">
      <alignment vertical="center" wrapText="1"/>
    </xf>
    <xf numFmtId="166" fontId="113" fillId="0" borderId="0" xfId="3" applyNumberFormat="1" applyFont="1" applyAlignment="1">
      <alignment horizontal="center" vertical="center" wrapText="1"/>
    </xf>
    <xf numFmtId="165" fontId="29" fillId="0" borderId="0" xfId="3" applyFont="1" applyAlignment="1">
      <alignment vertical="center"/>
    </xf>
    <xf numFmtId="0" fontId="114" fillId="0" borderId="0" xfId="0" applyFont="1"/>
    <xf numFmtId="0" fontId="19" fillId="0" borderId="29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3" fillId="0" borderId="29" xfId="0" applyFont="1" applyBorder="1"/>
    <xf numFmtId="39" fontId="9" fillId="0" borderId="29" xfId="1" applyNumberFormat="1" applyFont="1" applyBorder="1" applyAlignment="1">
      <alignment horizontal="center" vertical="center"/>
    </xf>
    <xf numFmtId="39" fontId="9" fillId="0" borderId="29" xfId="1" quotePrefix="1" applyNumberFormat="1" applyFont="1" applyBorder="1" applyAlignment="1">
      <alignment horizontal="center" vertical="center"/>
    </xf>
    <xf numFmtId="0" fontId="19" fillId="0" borderId="29" xfId="0" applyFont="1" applyBorder="1" applyAlignment="1">
      <alignment horizontal="left"/>
    </xf>
    <xf numFmtId="0" fontId="116" fillId="0" borderId="29" xfId="0" applyFont="1" applyBorder="1"/>
    <xf numFmtId="165" fontId="117" fillId="0" borderId="29" xfId="1" applyFont="1" applyBorder="1" applyAlignment="1">
      <alignment horizontal="center"/>
    </xf>
    <xf numFmtId="165" fontId="9" fillId="0" borderId="29" xfId="1" applyFont="1" applyBorder="1" applyAlignment="1">
      <alignment horizontal="center" vertical="center"/>
    </xf>
    <xf numFmtId="165" fontId="9" fillId="0" borderId="29" xfId="1" applyFont="1" applyBorder="1" applyAlignment="1">
      <alignment horizontal="center"/>
    </xf>
    <xf numFmtId="165" fontId="9" fillId="0" borderId="29" xfId="1" applyFont="1" applyBorder="1"/>
    <xf numFmtId="165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29" xfId="0" applyFont="1" applyBorder="1"/>
    <xf numFmtId="39" fontId="9" fillId="0" borderId="29" xfId="0" applyNumberFormat="1" applyFont="1" applyBorder="1"/>
    <xf numFmtId="165" fontId="9" fillId="0" borderId="29" xfId="0" applyNumberFormat="1" applyFont="1" applyBorder="1"/>
    <xf numFmtId="0" fontId="118" fillId="0" borderId="0" xfId="0" applyFont="1"/>
    <xf numFmtId="0" fontId="115" fillId="0" borderId="29" xfId="0" applyFont="1" applyBorder="1" applyAlignment="1">
      <alignment horizontal="center" vertical="center" wrapText="1"/>
    </xf>
    <xf numFmtId="0" fontId="115" fillId="0" borderId="29" xfId="0" applyFont="1" applyBorder="1" applyAlignment="1">
      <alignment horizontal="center" vertical="center"/>
    </xf>
    <xf numFmtId="2" fontId="9" fillId="0" borderId="29" xfId="0" applyNumberFormat="1" applyFont="1" applyBorder="1"/>
    <xf numFmtId="0" fontId="119" fillId="0" borderId="29" xfId="0" applyFont="1" applyBorder="1"/>
    <xf numFmtId="165" fontId="120" fillId="0" borderId="29" xfId="0" applyNumberFormat="1" applyFont="1" applyBorder="1"/>
    <xf numFmtId="0" fontId="0" fillId="0" borderId="29" xfId="0" applyFont="1" applyBorder="1"/>
    <xf numFmtId="0" fontId="115" fillId="0" borderId="29" xfId="0" applyFont="1" applyBorder="1" applyAlignment="1">
      <alignment horizontal="center"/>
    </xf>
    <xf numFmtId="165" fontId="9" fillId="11" borderId="29" xfId="1" applyFont="1" applyFill="1" applyBorder="1"/>
    <xf numFmtId="165" fontId="9" fillId="0" borderId="29" xfId="1" applyFont="1" applyFill="1" applyBorder="1"/>
    <xf numFmtId="0" fontId="121" fillId="0" borderId="29" xfId="0" applyFont="1" applyBorder="1" applyAlignment="1">
      <alignment horizontal="center" vertical="center"/>
    </xf>
    <xf numFmtId="0" fontId="121" fillId="0" borderId="29" xfId="0" applyFont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11" fillId="0" borderId="29" xfId="0" applyFont="1" applyBorder="1" applyAlignment="1">
      <alignment vertical="center"/>
    </xf>
    <xf numFmtId="0" fontId="2" fillId="0" borderId="29" xfId="0" applyFont="1" applyBorder="1" applyAlignment="1">
      <alignment horizontal="center" wrapText="1"/>
    </xf>
    <xf numFmtId="0" fontId="86" fillId="0" borderId="29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2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165" fontId="119" fillId="0" borderId="21" xfId="0" applyNumberFormat="1" applyFont="1" applyBorder="1" applyAlignment="1">
      <alignment horizontal="center"/>
    </xf>
    <xf numFmtId="165" fontId="119" fillId="0" borderId="33" xfId="0" applyNumberFormat="1" applyFont="1" applyBorder="1" applyAlignment="1">
      <alignment horizontal="center"/>
    </xf>
    <xf numFmtId="165" fontId="119" fillId="0" borderId="22" xfId="0" applyNumberFormat="1" applyFont="1" applyBorder="1" applyAlignment="1">
      <alignment horizontal="center"/>
    </xf>
    <xf numFmtId="0" fontId="11" fillId="0" borderId="29" xfId="0" applyFont="1" applyBorder="1" applyAlignment="1">
      <alignment horizontal="left" vertical="center"/>
    </xf>
    <xf numFmtId="0" fontId="86" fillId="0" borderId="29" xfId="0" applyFont="1" applyBorder="1" applyAlignment="1">
      <alignment horizontal="left"/>
    </xf>
    <xf numFmtId="0" fontId="2" fillId="0" borderId="26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86" fillId="0" borderId="21" xfId="0" applyFont="1" applyBorder="1" applyAlignment="1">
      <alignment horizontal="left"/>
    </xf>
    <xf numFmtId="0" fontId="86" fillId="0" borderId="33" xfId="0" applyFont="1" applyBorder="1" applyAlignment="1">
      <alignment horizontal="left"/>
    </xf>
    <xf numFmtId="0" fontId="86" fillId="0" borderId="22" xfId="0" applyFont="1" applyBorder="1" applyAlignment="1">
      <alignment horizontal="left"/>
    </xf>
    <xf numFmtId="0" fontId="11" fillId="0" borderId="29" xfId="0" applyFont="1" applyBorder="1" applyAlignment="1">
      <alignment horizontal="center"/>
    </xf>
    <xf numFmtId="165" fontId="119" fillId="0" borderId="21" xfId="1" applyFont="1" applyBorder="1" applyAlignment="1"/>
    <xf numFmtId="165" fontId="119" fillId="0" borderId="33" xfId="1" applyFont="1" applyBorder="1" applyAlignment="1"/>
    <xf numFmtId="165" fontId="119" fillId="0" borderId="22" xfId="1" applyFont="1" applyBorder="1" applyAlignment="1"/>
    <xf numFmtId="165" fontId="119" fillId="0" borderId="21" xfId="1" applyFont="1" applyBorder="1" applyAlignment="1">
      <alignment horizontal="center"/>
    </xf>
    <xf numFmtId="165" fontId="119" fillId="0" borderId="33" xfId="1" applyFont="1" applyBorder="1" applyAlignment="1">
      <alignment horizontal="center"/>
    </xf>
    <xf numFmtId="165" fontId="119" fillId="0" borderId="22" xfId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2" xfId="0" applyBorder="1" applyAlignment="1">
      <alignment horizontal="center"/>
    </xf>
    <xf numFmtId="0" fontId="115" fillId="0" borderId="29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/>
    </xf>
    <xf numFmtId="2" fontId="85" fillId="8" borderId="26" xfId="0" applyNumberFormat="1" applyFont="1" applyFill="1" applyBorder="1" applyAlignment="1">
      <alignment horizontal="center" vertical="center" wrapText="1"/>
    </xf>
    <xf numFmtId="2" fontId="85" fillId="8" borderId="45" xfId="0" applyNumberFormat="1" applyFont="1" applyFill="1" applyBorder="1" applyAlignment="1">
      <alignment horizontal="center" vertical="center" wrapText="1"/>
    </xf>
    <xf numFmtId="0" fontId="85" fillId="7" borderId="21" xfId="0" applyFont="1" applyFill="1" applyBorder="1" applyAlignment="1">
      <alignment horizontal="left" vertical="center" wrapText="1"/>
    </xf>
    <xf numFmtId="0" fontId="85" fillId="7" borderId="22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5" fillId="0" borderId="22" xfId="0" applyFont="1" applyFill="1" applyBorder="1" applyAlignment="1">
      <alignment horizontal="left" vertical="center" wrapText="1"/>
    </xf>
    <xf numFmtId="0" fontId="85" fillId="8" borderId="26" xfId="0" applyFont="1" applyFill="1" applyBorder="1" applyAlignment="1">
      <alignment horizontal="center" vertical="center" wrapText="1"/>
    </xf>
    <xf numFmtId="0" fontId="85" fillId="8" borderId="45" xfId="0" applyFont="1" applyFill="1" applyBorder="1" applyAlignment="1">
      <alignment horizontal="center" vertical="center" wrapText="1"/>
    </xf>
    <xf numFmtId="0" fontId="85" fillId="8" borderId="29" xfId="0" applyFont="1" applyFill="1" applyBorder="1" applyAlignment="1">
      <alignment horizontal="center" vertical="center" wrapText="1"/>
    </xf>
    <xf numFmtId="2" fontId="85" fillId="8" borderId="21" xfId="0" applyNumberFormat="1" applyFont="1" applyFill="1" applyBorder="1" applyAlignment="1">
      <alignment horizontal="center" vertical="center" wrapText="1"/>
    </xf>
    <xf numFmtId="2" fontId="85" fillId="8" borderId="22" xfId="0" applyNumberFormat="1" applyFont="1" applyFill="1" applyBorder="1" applyAlignment="1">
      <alignment horizontal="center" vertical="center" wrapText="1"/>
    </xf>
    <xf numFmtId="2" fontId="85" fillId="8" borderId="33" xfId="0" applyNumberFormat="1" applyFont="1" applyFill="1" applyBorder="1" applyAlignment="1">
      <alignment horizontal="center" vertical="center" wrapText="1"/>
    </xf>
    <xf numFmtId="0" fontId="85" fillId="8" borderId="21" xfId="0" applyFont="1" applyFill="1" applyBorder="1" applyAlignment="1">
      <alignment horizontal="center" vertical="center" wrapText="1"/>
    </xf>
    <xf numFmtId="0" fontId="85" fillId="8" borderId="22" xfId="0" applyFont="1" applyFill="1" applyBorder="1" applyAlignment="1">
      <alignment horizontal="center" vertical="center" wrapText="1"/>
    </xf>
    <xf numFmtId="0" fontId="85" fillId="8" borderId="33" xfId="0" applyFont="1" applyFill="1" applyBorder="1" applyAlignment="1">
      <alignment horizontal="center" vertical="center" wrapText="1"/>
    </xf>
    <xf numFmtId="165" fontId="2" fillId="0" borderId="21" xfId="1" applyFont="1" applyFill="1" applyBorder="1" applyAlignment="1">
      <alignment horizontal="left" vertical="center" wrapText="1"/>
    </xf>
    <xf numFmtId="165" fontId="2" fillId="0" borderId="22" xfId="1" applyFont="1" applyFill="1" applyBorder="1" applyAlignment="1">
      <alignment horizontal="left" vertical="center" wrapText="1"/>
    </xf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165" fontId="2" fillId="9" borderId="21" xfId="1" applyFont="1" applyFill="1" applyBorder="1" applyAlignment="1">
      <alignment horizontal="left" vertical="center" wrapText="1"/>
    </xf>
    <xf numFmtId="165" fontId="2" fillId="9" borderId="22" xfId="1" applyFont="1" applyFill="1" applyBorder="1" applyAlignment="1">
      <alignment horizontal="left" vertical="center" wrapText="1"/>
    </xf>
    <xf numFmtId="165" fontId="4" fillId="0" borderId="5" xfId="1" applyFont="1" applyBorder="1" applyAlignment="1">
      <alignment horizontal="left"/>
    </xf>
    <xf numFmtId="165" fontId="4" fillId="0" borderId="42" xfId="1" applyFont="1" applyBorder="1" applyAlignment="1">
      <alignment horizontal="left"/>
    </xf>
    <xf numFmtId="165" fontId="4" fillId="0" borderId="43" xfId="1" applyFont="1" applyBorder="1" applyAlignment="1">
      <alignment horizontal="center"/>
    </xf>
    <xf numFmtId="165" fontId="4" fillId="0" borderId="46" xfId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4" fillId="0" borderId="5" xfId="1" applyFont="1" applyBorder="1" applyAlignment="1">
      <alignment horizontal="left" vertical="top"/>
    </xf>
    <xf numFmtId="165" fontId="4" fillId="0" borderId="42" xfId="1" applyFont="1" applyBorder="1" applyAlignment="1">
      <alignment horizontal="left" vertical="top"/>
    </xf>
    <xf numFmtId="165" fontId="4" fillId="0" borderId="2" xfId="1" applyFont="1" applyBorder="1" applyAlignment="1">
      <alignment horizontal="left"/>
    </xf>
    <xf numFmtId="165" fontId="3" fillId="0" borderId="2" xfId="1" applyFont="1" applyBorder="1" applyAlignment="1">
      <alignment horizontal="left"/>
    </xf>
    <xf numFmtId="165" fontId="3" fillId="0" borderId="42" xfId="1" applyFont="1" applyBorder="1" applyAlignment="1">
      <alignment horizontal="left"/>
    </xf>
    <xf numFmtId="165" fontId="3" fillId="0" borderId="5" xfId="1" applyFont="1" applyBorder="1" applyAlignment="1">
      <alignment horizontal="left"/>
    </xf>
    <xf numFmtId="165" fontId="4" fillId="0" borderId="0" xfId="1" applyFont="1" applyBorder="1" applyAlignment="1">
      <alignment horizontal="left"/>
    </xf>
    <xf numFmtId="0" fontId="16" fillId="0" borderId="27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6" fontId="4" fillId="0" borderId="9" xfId="1" applyNumberFormat="1" applyFont="1" applyBorder="1" applyAlignment="1">
      <alignment horizontal="left"/>
    </xf>
    <xf numFmtId="166" fontId="4" fillId="0" borderId="47" xfId="1" applyNumberFormat="1" applyFont="1" applyBorder="1" applyAlignment="1">
      <alignment horizontal="left"/>
    </xf>
    <xf numFmtId="166" fontId="4" fillId="0" borderId="2" xfId="1" applyNumberFormat="1" applyFont="1" applyBorder="1" applyAlignment="1">
      <alignment horizontal="left"/>
    </xf>
    <xf numFmtId="166" fontId="4" fillId="0" borderId="42" xfId="1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165" fontId="22" fillId="0" borderId="3" xfId="3" applyFont="1" applyBorder="1" applyAlignment="1">
      <alignment horizontal="center" vertical="center" wrapText="1"/>
    </xf>
    <xf numFmtId="165" fontId="22" fillId="0" borderId="47" xfId="3" applyFont="1" applyBorder="1" applyAlignment="1">
      <alignment horizontal="center" vertical="center" wrapText="1"/>
    </xf>
    <xf numFmtId="165" fontId="22" fillId="0" borderId="43" xfId="3" applyFont="1" applyBorder="1" applyAlignment="1">
      <alignment horizontal="center" vertical="center" wrapText="1"/>
    </xf>
    <xf numFmtId="165" fontId="22" fillId="0" borderId="46" xfId="3" applyFont="1" applyBorder="1" applyAlignment="1">
      <alignment horizontal="center" vertical="center" wrapText="1"/>
    </xf>
    <xf numFmtId="165" fontId="22" fillId="0" borderId="52" xfId="3" applyFont="1" applyBorder="1" applyAlignment="1">
      <alignment horizontal="center" vertical="center" wrapText="1"/>
    </xf>
    <xf numFmtId="165" fontId="22" fillId="0" borderId="29" xfId="3" applyFont="1" applyBorder="1" applyAlignment="1">
      <alignment horizontal="center" vertical="center" wrapText="1"/>
    </xf>
    <xf numFmtId="165" fontId="22" fillId="0" borderId="10" xfId="3" applyFont="1" applyBorder="1" applyAlignment="1">
      <alignment horizontal="center" vertical="center" wrapText="1"/>
    </xf>
    <xf numFmtId="165" fontId="22" fillId="0" borderId="73" xfId="3" applyFont="1" applyBorder="1" applyAlignment="1">
      <alignment horizontal="center" vertical="center" wrapText="1"/>
    </xf>
    <xf numFmtId="165" fontId="22" fillId="0" borderId="20" xfId="3" applyFont="1" applyBorder="1" applyAlignment="1">
      <alignment horizontal="center" vertical="center" wrapText="1"/>
    </xf>
    <xf numFmtId="165" fontId="22" fillId="0" borderId="74" xfId="3" applyFont="1" applyBorder="1" applyAlignment="1">
      <alignment horizontal="center" vertical="center" wrapText="1"/>
    </xf>
    <xf numFmtId="0" fontId="27" fillId="0" borderId="0" xfId="7" applyFont="1" applyAlignment="1">
      <alignment horizontal="center" vertical="top"/>
    </xf>
    <xf numFmtId="165" fontId="22" fillId="0" borderId="35" xfId="3" applyFont="1" applyBorder="1" applyAlignment="1">
      <alignment horizontal="center" vertical="center" wrapText="1"/>
    </xf>
    <xf numFmtId="165" fontId="22" fillId="0" borderId="38" xfId="3" applyFont="1" applyBorder="1" applyAlignment="1">
      <alignment horizontal="center" vertical="center" wrapText="1"/>
    </xf>
    <xf numFmtId="165" fontId="22" fillId="0" borderId="19" xfId="3" applyFont="1" applyBorder="1" applyAlignment="1">
      <alignment horizontal="center" vertical="center" wrapText="1"/>
    </xf>
    <xf numFmtId="165" fontId="22" fillId="3" borderId="52" xfId="3" applyFont="1" applyFill="1" applyBorder="1" applyAlignment="1">
      <alignment horizontal="center" vertical="center" wrapText="1"/>
    </xf>
    <xf numFmtId="165" fontId="22" fillId="3" borderId="29" xfId="3" applyFont="1" applyFill="1" applyBorder="1" applyAlignment="1">
      <alignment horizontal="center" vertical="center" wrapText="1"/>
    </xf>
    <xf numFmtId="165" fontId="22" fillId="3" borderId="10" xfId="3" applyFont="1" applyFill="1" applyBorder="1" applyAlignment="1">
      <alignment horizontal="center" vertical="center" wrapText="1"/>
    </xf>
    <xf numFmtId="0" fontId="22" fillId="3" borderId="52" xfId="11" applyFont="1" applyFill="1" applyBorder="1" applyAlignment="1">
      <alignment horizontal="center" vertical="center" wrapText="1"/>
    </xf>
    <xf numFmtId="0" fontId="22" fillId="3" borderId="29" xfId="11" applyFont="1" applyFill="1" applyBorder="1" applyAlignment="1">
      <alignment horizontal="center" vertical="center" wrapText="1"/>
    </xf>
    <xf numFmtId="0" fontId="22" fillId="3" borderId="10" xfId="11" applyFont="1" applyFill="1" applyBorder="1" applyAlignment="1">
      <alignment horizontal="center" vertical="center" wrapText="1"/>
    </xf>
    <xf numFmtId="165" fontId="22" fillId="3" borderId="3" xfId="3" applyFont="1" applyFill="1" applyBorder="1" applyAlignment="1">
      <alignment horizontal="center" vertical="center" wrapText="1"/>
    </xf>
    <xf numFmtId="165" fontId="22" fillId="3" borderId="47" xfId="3" applyFont="1" applyFill="1" applyBorder="1" applyAlignment="1">
      <alignment horizontal="center" vertical="center" wrapText="1"/>
    </xf>
    <xf numFmtId="165" fontId="22" fillId="3" borderId="43" xfId="3" applyFont="1" applyFill="1" applyBorder="1" applyAlignment="1">
      <alignment horizontal="center" vertical="center" wrapText="1"/>
    </xf>
    <xf numFmtId="165" fontId="22" fillId="3" borderId="46" xfId="3" applyFont="1" applyFill="1" applyBorder="1" applyAlignment="1">
      <alignment horizontal="center" vertical="center" wrapText="1"/>
    </xf>
    <xf numFmtId="0" fontId="27" fillId="0" borderId="0" xfId="7" applyFont="1" applyBorder="1" applyAlignment="1">
      <alignment horizontal="center" vertical="top"/>
    </xf>
    <xf numFmtId="165" fontId="22" fillId="0" borderId="53" xfId="3" applyFont="1" applyBorder="1" applyAlignment="1">
      <alignment horizontal="center" vertical="center" wrapText="1"/>
    </xf>
    <xf numFmtId="165" fontId="22" fillId="0" borderId="116" xfId="3" applyFont="1" applyBorder="1" applyAlignment="1">
      <alignment horizontal="center" vertical="center" wrapText="1"/>
    </xf>
    <xf numFmtId="165" fontId="22" fillId="0" borderId="102" xfId="3" applyFont="1" applyBorder="1" applyAlignment="1">
      <alignment horizontal="center" vertical="center" wrapText="1"/>
    </xf>
    <xf numFmtId="165" fontId="22" fillId="0" borderId="26" xfId="3" applyFont="1" applyBorder="1" applyAlignment="1">
      <alignment horizontal="center" vertical="center" wrapText="1"/>
    </xf>
    <xf numFmtId="165" fontId="22" fillId="0" borderId="16" xfId="3" applyFont="1" applyBorder="1" applyAlignment="1">
      <alignment horizontal="center" vertical="center" wrapText="1"/>
    </xf>
    <xf numFmtId="165" fontId="22" fillId="3" borderId="37" xfId="3" applyFont="1" applyFill="1" applyBorder="1" applyAlignment="1">
      <alignment horizontal="center" vertical="center" wrapText="1"/>
    </xf>
    <xf numFmtId="165" fontId="22" fillId="3" borderId="44" xfId="3" applyFont="1" applyFill="1" applyBorder="1" applyAlignment="1">
      <alignment horizontal="center" vertical="center" wrapText="1"/>
    </xf>
    <xf numFmtId="165" fontId="22" fillId="0" borderId="3" xfId="3" applyFont="1" applyFill="1" applyBorder="1" applyAlignment="1">
      <alignment horizontal="center" vertical="center" wrapText="1"/>
    </xf>
    <xf numFmtId="165" fontId="22" fillId="0" borderId="37" xfId="3" applyFont="1" applyFill="1" applyBorder="1" applyAlignment="1">
      <alignment horizontal="center" vertical="center" wrapText="1"/>
    </xf>
    <xf numFmtId="165" fontId="22" fillId="0" borderId="47" xfId="3" applyFont="1" applyFill="1" applyBorder="1" applyAlignment="1">
      <alignment horizontal="center" vertical="center" wrapText="1"/>
    </xf>
    <xf numFmtId="165" fontId="22" fillId="0" borderId="43" xfId="3" applyFont="1" applyFill="1" applyBorder="1" applyAlignment="1">
      <alignment horizontal="center" vertical="center" wrapText="1"/>
    </xf>
    <xf numFmtId="165" fontId="22" fillId="0" borderId="44" xfId="3" applyFont="1" applyFill="1" applyBorder="1" applyAlignment="1">
      <alignment horizontal="center" vertical="center" wrapText="1"/>
    </xf>
    <xf numFmtId="165" fontId="22" fillId="0" borderId="46" xfId="3" applyFont="1" applyFill="1" applyBorder="1" applyAlignment="1">
      <alignment horizontal="center" vertical="center" wrapText="1"/>
    </xf>
    <xf numFmtId="0" fontId="46" fillId="0" borderId="126" xfId="2" applyFont="1" applyBorder="1" applyAlignment="1">
      <alignment horizontal="center" vertical="center" wrapText="1"/>
    </xf>
    <xf numFmtId="0" fontId="46" fillId="0" borderId="32" xfId="2" applyFont="1" applyBorder="1" applyAlignment="1">
      <alignment horizontal="center" vertical="center" wrapText="1"/>
    </xf>
    <xf numFmtId="0" fontId="46" fillId="0" borderId="115" xfId="2" applyFont="1" applyBorder="1" applyAlignment="1">
      <alignment horizontal="center" vertical="center" wrapText="1"/>
    </xf>
    <xf numFmtId="0" fontId="46" fillId="0" borderId="46" xfId="2" applyFont="1" applyBorder="1" applyAlignment="1">
      <alignment horizontal="center" vertical="center" wrapText="1"/>
    </xf>
    <xf numFmtId="0" fontId="46" fillId="0" borderId="22" xfId="2" applyFont="1" applyBorder="1" applyAlignment="1">
      <alignment horizontal="center" vertical="center" wrapText="1"/>
    </xf>
    <xf numFmtId="0" fontId="46" fillId="0" borderId="90" xfId="2" applyFont="1" applyBorder="1" applyAlignment="1">
      <alignment horizontal="center" vertical="center" wrapText="1"/>
    </xf>
    <xf numFmtId="0" fontId="46" fillId="0" borderId="45" xfId="2" applyFont="1" applyBorder="1" applyAlignment="1">
      <alignment horizontal="center" vertical="center" wrapText="1"/>
    </xf>
    <xf numFmtId="0" fontId="46" fillId="0" borderId="29" xfId="2" applyFont="1" applyBorder="1" applyAlignment="1">
      <alignment horizontal="center" vertical="center" wrapText="1"/>
    </xf>
    <xf numFmtId="0" fontId="46" fillId="0" borderId="10" xfId="2" applyFont="1" applyBorder="1" applyAlignment="1">
      <alignment horizontal="center" vertical="center" wrapText="1"/>
    </xf>
    <xf numFmtId="0" fontId="30" fillId="0" borderId="0" xfId="11" applyFont="1" applyAlignment="1">
      <alignment horizontal="center" vertical="center"/>
    </xf>
    <xf numFmtId="166" fontId="46" fillId="0" borderId="109" xfId="3" applyNumberFormat="1" applyFont="1" applyBorder="1" applyAlignment="1">
      <alignment horizontal="center" vertical="center" wrapText="1"/>
    </xf>
    <xf numFmtId="166" fontId="46" fillId="0" borderId="44" xfId="3" applyNumberFormat="1" applyFont="1" applyBorder="1" applyAlignment="1">
      <alignment horizontal="center" vertical="center" wrapText="1"/>
    </xf>
    <xf numFmtId="166" fontId="46" fillId="0" borderId="30" xfId="3" applyNumberFormat="1" applyFont="1" applyBorder="1" applyAlignment="1">
      <alignment horizontal="center" vertical="center" wrapText="1"/>
    </xf>
    <xf numFmtId="0" fontId="52" fillId="0" borderId="69" xfId="2" applyFont="1" applyBorder="1" applyAlignment="1">
      <alignment horizontal="center" vertical="center" wrapText="1"/>
    </xf>
    <xf numFmtId="0" fontId="52" fillId="0" borderId="32" xfId="2" applyFont="1" applyBorder="1" applyAlignment="1">
      <alignment horizontal="center" vertical="center" wrapText="1"/>
    </xf>
    <xf numFmtId="0" fontId="52" fillId="0" borderId="115" xfId="2" applyFont="1" applyBorder="1" applyAlignment="1">
      <alignment horizontal="center" vertical="center" wrapText="1"/>
    </xf>
    <xf numFmtId="166" fontId="46" fillId="0" borderId="113" xfId="3" applyNumberFormat="1" applyFont="1" applyBorder="1" applyAlignment="1">
      <alignment horizontal="center" vertical="center" wrapText="1"/>
    </xf>
    <xf numFmtId="166" fontId="46" fillId="0" borderId="43" xfId="3" applyNumberFormat="1" applyFont="1" applyBorder="1" applyAlignment="1">
      <alignment horizontal="center" vertical="center" wrapText="1"/>
    </xf>
    <xf numFmtId="166" fontId="46" fillId="0" borderId="45" xfId="3" applyNumberFormat="1" applyFont="1" applyBorder="1" applyAlignment="1">
      <alignment horizontal="center" vertical="center" wrapText="1"/>
    </xf>
    <xf numFmtId="166" fontId="46" fillId="0" borderId="15" xfId="3" applyNumberFormat="1" applyFont="1" applyBorder="1" applyAlignment="1">
      <alignment horizontal="center" vertical="center" wrapText="1"/>
    </xf>
    <xf numFmtId="166" fontId="46" fillId="0" borderId="18" xfId="3" applyNumberFormat="1" applyFont="1" applyBorder="1" applyAlignment="1">
      <alignment horizontal="center" vertical="center" wrapText="1"/>
    </xf>
    <xf numFmtId="167" fontId="27" fillId="4" borderId="24" xfId="2" applyNumberFormat="1" applyFont="1" applyFill="1" applyBorder="1" applyAlignment="1">
      <alignment horizontal="center" vertical="center"/>
    </xf>
    <xf numFmtId="0" fontId="46" fillId="0" borderId="43" xfId="2" applyFont="1" applyBorder="1" applyAlignment="1">
      <alignment horizontal="center" vertical="center" wrapText="1"/>
    </xf>
    <xf numFmtId="0" fontId="46" fillId="0" borderId="21" xfId="2" applyFont="1" applyBorder="1" applyAlignment="1">
      <alignment horizontal="center" vertical="center" wrapText="1"/>
    </xf>
    <xf numFmtId="0" fontId="46" fillId="0" borderId="11" xfId="2" applyFont="1" applyBorder="1" applyAlignment="1">
      <alignment horizontal="center" vertical="center" wrapText="1"/>
    </xf>
    <xf numFmtId="0" fontId="46" fillId="0" borderId="2" xfId="2" applyFont="1" applyBorder="1" applyAlignment="1">
      <alignment horizontal="center" vertical="center" wrapText="1"/>
    </xf>
    <xf numFmtId="0" fontId="46" fillId="0" borderId="0" xfId="2" applyFont="1" applyBorder="1" applyAlignment="1">
      <alignment horizontal="center" vertical="center" wrapText="1"/>
    </xf>
    <xf numFmtId="0" fontId="46" fillId="0" borderId="30" xfId="2" applyFont="1" applyBorder="1" applyAlignment="1">
      <alignment horizontal="center" vertical="center" wrapText="1"/>
    </xf>
    <xf numFmtId="0" fontId="46" fillId="0" borderId="109" xfId="2" applyFont="1" applyBorder="1" applyAlignment="1">
      <alignment horizontal="center" vertical="center" wrapText="1"/>
    </xf>
    <xf numFmtId="0" fontId="46" fillId="0" borderId="44" xfId="2" applyFont="1" applyBorder="1" applyAlignment="1">
      <alignment horizontal="center" vertical="center" wrapText="1"/>
    </xf>
    <xf numFmtId="0" fontId="46" fillId="0" borderId="110" xfId="2" applyFont="1" applyBorder="1" applyAlignment="1">
      <alignment horizontal="center" vertical="center" wrapText="1"/>
    </xf>
    <xf numFmtId="0" fontId="46" fillId="0" borderId="33" xfId="2" applyFont="1" applyBorder="1" applyAlignment="1">
      <alignment horizontal="center" vertical="center" wrapText="1"/>
    </xf>
    <xf numFmtId="0" fontId="46" fillId="0" borderId="111" xfId="2" applyFont="1" applyBorder="1" applyAlignment="1">
      <alignment horizontal="center" vertical="center" wrapText="1"/>
    </xf>
    <xf numFmtId="0" fontId="46" fillId="0" borderId="17" xfId="7" applyFont="1" applyBorder="1" applyAlignment="1">
      <alignment horizontal="center" vertical="center" wrapText="1"/>
    </xf>
    <xf numFmtId="0" fontId="46" fillId="0" borderId="31" xfId="7" applyFont="1" applyBorder="1" applyAlignment="1">
      <alignment horizontal="center" vertical="center" wrapText="1"/>
    </xf>
    <xf numFmtId="0" fontId="46" fillId="0" borderId="125" xfId="7" applyFont="1" applyBorder="1" applyAlignment="1">
      <alignment horizontal="center" vertical="center" wrapText="1"/>
    </xf>
    <xf numFmtId="0" fontId="52" fillId="0" borderId="17" xfId="7" applyFont="1" applyBorder="1" applyAlignment="1">
      <alignment horizontal="center" vertical="center" wrapText="1"/>
    </xf>
    <xf numFmtId="0" fontId="52" fillId="0" borderId="31" xfId="7" applyFont="1" applyBorder="1" applyAlignment="1">
      <alignment horizontal="center" vertical="center" wrapText="1"/>
    </xf>
    <xf numFmtId="0" fontId="52" fillId="0" borderId="125" xfId="7" applyFont="1" applyBorder="1" applyAlignment="1">
      <alignment horizontal="center" vertical="center" wrapText="1"/>
    </xf>
    <xf numFmtId="0" fontId="47" fillId="3" borderId="15" xfId="7" applyFont="1" applyFill="1" applyBorder="1" applyAlignment="1">
      <alignment horizontal="center" vertical="center" wrapText="1"/>
    </xf>
    <xf numFmtId="0" fontId="47" fillId="3" borderId="1" xfId="7" applyFont="1" applyFill="1" applyBorder="1" applyAlignment="1">
      <alignment horizontal="center" vertical="center" wrapText="1"/>
    </xf>
    <xf numFmtId="0" fontId="47" fillId="3" borderId="18" xfId="7" applyFont="1" applyFill="1" applyBorder="1" applyAlignment="1">
      <alignment horizontal="center" vertical="center" wrapText="1"/>
    </xf>
    <xf numFmtId="0" fontId="46" fillId="0" borderId="37" xfId="7" applyFont="1" applyBorder="1" applyAlignment="1">
      <alignment horizontal="center" vertical="center" wrapText="1"/>
    </xf>
    <xf numFmtId="0" fontId="46" fillId="0" borderId="44" xfId="7" applyFont="1" applyBorder="1" applyAlignment="1">
      <alignment horizontal="center" vertical="center" wrapText="1"/>
    </xf>
    <xf numFmtId="0" fontId="34" fillId="0" borderId="0" xfId="2" applyFont="1" applyAlignment="1">
      <alignment horizontal="center" vertical="center"/>
    </xf>
    <xf numFmtId="0" fontId="27" fillId="0" borderId="0" xfId="2" applyFont="1" applyAlignment="1">
      <alignment horizontal="center" vertical="top"/>
    </xf>
    <xf numFmtId="0" fontId="27" fillId="0" borderId="0" xfId="2" applyFont="1" applyBorder="1" applyAlignment="1">
      <alignment horizontal="center" vertical="top"/>
    </xf>
    <xf numFmtId="0" fontId="46" fillId="0" borderId="69" xfId="7" applyFont="1" applyBorder="1" applyAlignment="1">
      <alignment horizontal="center" vertical="center" wrapText="1"/>
    </xf>
    <xf numFmtId="0" fontId="46" fillId="0" borderId="32" xfId="7" applyFont="1" applyBorder="1" applyAlignment="1">
      <alignment horizontal="center" vertical="center" wrapText="1"/>
    </xf>
    <xf numFmtId="0" fontId="46" fillId="0" borderId="115" xfId="7" applyFont="1" applyBorder="1" applyAlignment="1">
      <alignment horizontal="center" vertical="center" wrapText="1"/>
    </xf>
    <xf numFmtId="0" fontId="52" fillId="0" borderId="74" xfId="7" applyFont="1" applyBorder="1" applyAlignment="1">
      <alignment horizontal="center" vertical="center" wrapText="1"/>
    </xf>
    <xf numFmtId="0" fontId="52" fillId="0" borderId="22" xfId="7" applyFont="1" applyBorder="1" applyAlignment="1">
      <alignment horizontal="center" vertical="center" wrapText="1"/>
    </xf>
    <xf numFmtId="0" fontId="52" fillId="0" borderId="90" xfId="7" applyFont="1" applyBorder="1" applyAlignment="1">
      <alignment horizontal="center" vertical="center" wrapText="1"/>
    </xf>
    <xf numFmtId="0" fontId="52" fillId="0" borderId="52" xfId="7" applyFont="1" applyBorder="1" applyAlignment="1">
      <alignment horizontal="center" vertical="center" wrapText="1"/>
    </xf>
    <xf numFmtId="0" fontId="52" fillId="0" borderId="29" xfId="7" applyFont="1" applyBorder="1" applyAlignment="1">
      <alignment horizontal="center" vertical="center" wrapText="1"/>
    </xf>
    <xf numFmtId="0" fontId="52" fillId="0" borderId="10" xfId="7" applyFont="1" applyBorder="1" applyAlignment="1">
      <alignment horizontal="center" vertical="center" wrapText="1"/>
    </xf>
    <xf numFmtId="0" fontId="47" fillId="0" borderId="53" xfId="7" applyFont="1" applyBorder="1" applyAlignment="1">
      <alignment horizontal="center" vertical="center" wrapText="1"/>
    </xf>
    <xf numFmtId="0" fontId="47" fillId="0" borderId="116" xfId="7" applyFont="1" applyBorder="1" applyAlignment="1">
      <alignment horizontal="center" vertical="center" wrapText="1"/>
    </xf>
    <xf numFmtId="0" fontId="47" fillId="0" borderId="102" xfId="7" applyFont="1" applyBorder="1" applyAlignment="1">
      <alignment horizontal="center" vertical="center" wrapText="1"/>
    </xf>
    <xf numFmtId="0" fontId="46" fillId="0" borderId="9" xfId="7" applyFont="1" applyBorder="1" applyAlignment="1">
      <alignment horizontal="center" vertical="center" wrapText="1"/>
    </xf>
    <xf numFmtId="0" fontId="46" fillId="0" borderId="13" xfId="7" applyFont="1" applyBorder="1" applyAlignment="1">
      <alignment horizontal="center" vertical="center" wrapText="1"/>
    </xf>
    <xf numFmtId="0" fontId="46" fillId="0" borderId="109" xfId="7" applyFont="1" applyBorder="1" applyAlignment="1">
      <alignment horizontal="center" vertical="center" wrapText="1"/>
    </xf>
    <xf numFmtId="0" fontId="46" fillId="0" borderId="110" xfId="7" applyFont="1" applyBorder="1" applyAlignment="1">
      <alignment horizontal="center" vertical="center" wrapText="1"/>
    </xf>
    <xf numFmtId="166" fontId="46" fillId="0" borderId="9" xfId="3" applyNumberFormat="1" applyFont="1" applyBorder="1" applyAlignment="1">
      <alignment horizontal="center" vertical="center" wrapText="1"/>
    </xf>
    <xf numFmtId="166" fontId="46" fillId="0" borderId="2" xfId="3" applyNumberFormat="1" applyFont="1" applyBorder="1" applyAlignment="1">
      <alignment horizontal="center" vertical="center" wrapText="1"/>
    </xf>
    <xf numFmtId="166" fontId="46" fillId="0" borderId="14" xfId="3" applyNumberFormat="1" applyFont="1" applyBorder="1" applyAlignment="1">
      <alignment horizontal="center" vertical="center" wrapText="1"/>
    </xf>
    <xf numFmtId="166" fontId="46" fillId="0" borderId="20" xfId="3" applyNumberFormat="1" applyFont="1" applyBorder="1" applyAlignment="1">
      <alignment horizontal="center" vertical="center" wrapText="1"/>
    </xf>
    <xf numFmtId="0" fontId="47" fillId="0" borderId="69" xfId="7" applyFont="1" applyBorder="1" applyAlignment="1">
      <alignment horizontal="center" vertical="center" wrapText="1"/>
    </xf>
    <xf numFmtId="0" fontId="47" fillId="0" borderId="32" xfId="7" applyFont="1" applyBorder="1" applyAlignment="1">
      <alignment horizontal="center" vertical="center" wrapText="1"/>
    </xf>
    <xf numFmtId="0" fontId="47" fillId="0" borderId="115" xfId="7" applyFont="1" applyBorder="1" applyAlignment="1">
      <alignment horizontal="center" vertical="center" wrapText="1"/>
    </xf>
    <xf numFmtId="166" fontId="46" fillId="0" borderId="46" xfId="3" applyNumberFormat="1" applyFont="1" applyBorder="1" applyAlignment="1">
      <alignment horizontal="center" vertical="center" wrapText="1"/>
    </xf>
    <xf numFmtId="0" fontId="34" fillId="0" borderId="0" xfId="7" applyFont="1" applyAlignment="1">
      <alignment horizontal="center" vertical="center"/>
    </xf>
    <xf numFmtId="0" fontId="31" fillId="0" borderId="0" xfId="11" applyFont="1" applyAlignment="1">
      <alignment horizontal="center" vertical="center"/>
    </xf>
    <xf numFmtId="0" fontId="32" fillId="0" borderId="0" xfId="11" applyFont="1" applyAlignment="1">
      <alignment horizontal="center" vertical="center"/>
    </xf>
    <xf numFmtId="0" fontId="77" fillId="0" borderId="128" xfId="12" applyFont="1" applyBorder="1" applyAlignment="1">
      <alignment horizontal="left"/>
    </xf>
    <xf numFmtId="0" fontId="59" fillId="0" borderId="129" xfId="12" applyFont="1" applyBorder="1"/>
    <xf numFmtId="0" fontId="45" fillId="0" borderId="128" xfId="12" applyFont="1" applyBorder="1" applyAlignment="1">
      <alignment horizontal="left" wrapText="1"/>
    </xf>
    <xf numFmtId="0" fontId="77" fillId="0" borderId="0" xfId="12" applyFont="1" applyAlignment="1">
      <alignment horizontal="center"/>
    </xf>
    <xf numFmtId="0" fontId="79" fillId="0" borderId="0" xfId="12" applyFont="1" applyAlignment="1"/>
    <xf numFmtId="0" fontId="45" fillId="0" borderId="0" xfId="12" applyFont="1" applyAlignment="1">
      <alignment horizontal="center"/>
    </xf>
    <xf numFmtId="0" fontId="45" fillId="0" borderId="2" xfId="12" applyFont="1" applyBorder="1" applyAlignment="1">
      <alignment horizontal="center"/>
    </xf>
    <xf numFmtId="0" fontId="79" fillId="0" borderId="0" xfId="12" applyFont="1" applyBorder="1" applyAlignment="1"/>
    <xf numFmtId="0" fontId="77" fillId="0" borderId="131" xfId="12" applyFont="1" applyBorder="1" applyAlignment="1">
      <alignment horizontal="left"/>
    </xf>
    <xf numFmtId="0" fontId="77" fillId="0" borderId="0" xfId="12" applyFont="1" applyAlignment="1">
      <alignment horizontal="left"/>
    </xf>
    <xf numFmtId="0" fontId="77" fillId="0" borderId="0" xfId="12" applyFont="1" applyBorder="1" applyAlignment="1">
      <alignment horizontal="left"/>
    </xf>
    <xf numFmtId="0" fontId="25" fillId="0" borderId="69" xfId="12" applyFont="1" applyBorder="1" applyAlignment="1">
      <alignment horizontal="center" vertical="center" wrapText="1"/>
    </xf>
    <xf numFmtId="0" fontId="25" fillId="0" borderId="32" xfId="12" applyFont="1" applyBorder="1" applyAlignment="1">
      <alignment horizontal="center" vertical="center" wrapText="1"/>
    </xf>
    <xf numFmtId="0" fontId="25" fillId="0" borderId="115" xfId="12" applyFont="1" applyBorder="1" applyAlignment="1">
      <alignment horizontal="center" vertical="center" wrapText="1"/>
    </xf>
    <xf numFmtId="0" fontId="25" fillId="0" borderId="74" xfId="12" applyFont="1" applyBorder="1" applyAlignment="1">
      <alignment horizontal="center" vertical="center" wrapText="1"/>
    </xf>
    <xf numFmtId="0" fontId="25" fillId="0" borderId="22" xfId="12" applyFont="1" applyBorder="1" applyAlignment="1">
      <alignment horizontal="center" vertical="center" wrapText="1"/>
    </xf>
    <xf numFmtId="0" fontId="25" fillId="0" borderId="90" xfId="12" applyFont="1" applyBorder="1" applyAlignment="1">
      <alignment horizontal="center" vertical="center" wrapText="1"/>
    </xf>
    <xf numFmtId="0" fontId="25" fillId="0" borderId="52" xfId="12" applyFont="1" applyBorder="1" applyAlignment="1">
      <alignment horizontal="center" vertical="center" wrapText="1"/>
    </xf>
    <xf numFmtId="0" fontId="25" fillId="0" borderId="29" xfId="12" applyFont="1" applyBorder="1" applyAlignment="1">
      <alignment horizontal="center" vertical="center" wrapText="1"/>
    </xf>
    <xf numFmtId="0" fontId="25" fillId="0" borderId="10" xfId="12" applyFont="1" applyBorder="1" applyAlignment="1">
      <alignment horizontal="center" vertical="center" wrapText="1"/>
    </xf>
    <xf numFmtId="0" fontId="25" fillId="0" borderId="73" xfId="12" applyFont="1" applyBorder="1" applyAlignment="1">
      <alignment horizontal="center" vertical="center" wrapText="1"/>
    </xf>
    <xf numFmtId="0" fontId="25" fillId="0" borderId="21" xfId="12" applyFont="1" applyBorder="1" applyAlignment="1">
      <alignment horizontal="center" vertical="center" wrapText="1"/>
    </xf>
    <xf numFmtId="0" fontId="25" fillId="0" borderId="11" xfId="12" applyFont="1" applyBorder="1" applyAlignment="1">
      <alignment horizontal="center" vertical="center" wrapText="1"/>
    </xf>
    <xf numFmtId="0" fontId="25" fillId="0" borderId="9" xfId="12" applyFont="1" applyBorder="1" applyAlignment="1">
      <alignment horizontal="center" vertical="center" wrapText="1"/>
    </xf>
    <xf numFmtId="0" fontId="25" fillId="0" borderId="37" xfId="12" applyFont="1" applyBorder="1" applyAlignment="1">
      <alignment horizontal="center" vertical="center" wrapText="1"/>
    </xf>
    <xf numFmtId="0" fontId="25" fillId="0" borderId="13" xfId="12" applyFont="1" applyBorder="1" applyAlignment="1">
      <alignment horizontal="center" vertical="center" wrapText="1"/>
    </xf>
    <xf numFmtId="0" fontId="25" fillId="0" borderId="109" xfId="12" applyFont="1" applyBorder="1" applyAlignment="1">
      <alignment horizontal="center" vertical="center" wrapText="1"/>
    </xf>
    <xf numFmtId="0" fontId="25" fillId="0" borderId="44" xfId="12" applyFont="1" applyBorder="1" applyAlignment="1">
      <alignment horizontal="center" vertical="center" wrapText="1"/>
    </xf>
    <xf numFmtId="0" fontId="25" fillId="0" borderId="110" xfId="12" applyFont="1" applyBorder="1" applyAlignment="1">
      <alignment horizontal="center" vertical="center" wrapText="1"/>
    </xf>
    <xf numFmtId="0" fontId="25" fillId="0" borderId="0" xfId="12" applyFont="1" applyAlignment="1">
      <alignment horizontal="center" vertical="center"/>
    </xf>
    <xf numFmtId="166" fontId="25" fillId="0" borderId="0" xfId="13" applyNumberFormat="1" applyFont="1" applyAlignment="1">
      <alignment horizontal="center" vertical="center"/>
    </xf>
    <xf numFmtId="0" fontId="25" fillId="0" borderId="20" xfId="12" applyFont="1" applyBorder="1" applyAlignment="1">
      <alignment horizontal="center" vertical="center" wrapText="1"/>
    </xf>
    <xf numFmtId="0" fontId="25" fillId="0" borderId="33" xfId="12" applyFont="1" applyBorder="1" applyAlignment="1">
      <alignment horizontal="center" vertical="center" wrapText="1"/>
    </xf>
    <xf numFmtId="0" fontId="25" fillId="0" borderId="111" xfId="12" applyFont="1" applyBorder="1" applyAlignment="1">
      <alignment horizontal="center" vertical="center" wrapText="1"/>
    </xf>
    <xf numFmtId="166" fontId="25" fillId="0" borderId="17" xfId="13" applyNumberFormat="1" applyFont="1" applyBorder="1" applyAlignment="1">
      <alignment horizontal="center" vertical="center" wrapText="1"/>
    </xf>
    <xf numFmtId="166" fontId="25" fillId="0" borderId="20" xfId="13" applyNumberFormat="1" applyFont="1" applyBorder="1" applyAlignment="1">
      <alignment horizontal="center" vertical="center" wrapText="1"/>
    </xf>
    <xf numFmtId="166" fontId="25" fillId="0" borderId="28" xfId="13" applyNumberFormat="1" applyFont="1" applyBorder="1" applyAlignment="1">
      <alignment horizontal="center" vertical="center" wrapText="1"/>
    </xf>
    <xf numFmtId="0" fontId="25" fillId="0" borderId="28" xfId="12" applyFont="1" applyBorder="1" applyAlignment="1">
      <alignment horizontal="center" vertical="center" wrapText="1"/>
    </xf>
    <xf numFmtId="0" fontId="25" fillId="0" borderId="25" xfId="12" applyFont="1" applyBorder="1" applyAlignment="1">
      <alignment horizontal="center" vertical="center" wrapText="1"/>
    </xf>
    <xf numFmtId="0" fontId="25" fillId="0" borderId="112" xfId="12" applyFont="1" applyBorder="1" applyAlignment="1">
      <alignment horizontal="center" vertical="center" wrapText="1"/>
    </xf>
    <xf numFmtId="166" fontId="25" fillId="0" borderId="113" xfId="13" applyNumberFormat="1" applyFont="1" applyBorder="1" applyAlignment="1">
      <alignment horizontal="center" vertical="center" wrapText="1"/>
    </xf>
    <xf numFmtId="166" fontId="25" fillId="0" borderId="43" xfId="13" applyNumberFormat="1" applyFont="1" applyBorder="1" applyAlignment="1">
      <alignment horizontal="center" vertical="center" wrapText="1"/>
    </xf>
    <xf numFmtId="166" fontId="25" fillId="0" borderId="45" xfId="13" applyNumberFormat="1" applyFont="1" applyBorder="1" applyAlignment="1">
      <alignment horizontal="center" vertical="center" wrapText="1"/>
    </xf>
    <xf numFmtId="166" fontId="25" fillId="0" borderId="114" xfId="13" applyNumberFormat="1" applyFont="1" applyBorder="1" applyAlignment="1">
      <alignment horizontal="center" vertical="center" wrapText="1"/>
    </xf>
    <xf numFmtId="166" fontId="25" fillId="0" borderId="30" xfId="13" applyNumberFormat="1" applyFont="1" applyBorder="1" applyAlignment="1">
      <alignment horizontal="center" vertical="center" wrapText="1"/>
    </xf>
    <xf numFmtId="166" fontId="25" fillId="0" borderId="23" xfId="13" applyNumberFormat="1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12" xfId="0" applyFont="1" applyBorder="1" applyAlignment="1">
      <alignment horizontal="center" vertical="center" wrapText="1"/>
    </xf>
    <xf numFmtId="166" fontId="22" fillId="0" borderId="51" xfId="3" applyNumberFormat="1" applyFont="1" applyBorder="1" applyAlignment="1">
      <alignment horizontal="center" vertical="center" wrapText="1"/>
    </xf>
    <xf numFmtId="166" fontId="22" fillId="0" borderId="53" xfId="3" applyNumberFormat="1" applyFont="1" applyBorder="1" applyAlignment="1">
      <alignment horizontal="center" vertical="center" wrapText="1"/>
    </xf>
    <xf numFmtId="166" fontId="22" fillId="0" borderId="52" xfId="3" applyNumberFormat="1" applyFont="1" applyBorder="1" applyAlignment="1">
      <alignment horizontal="center" vertical="center" wrapText="1"/>
    </xf>
    <xf numFmtId="166" fontId="22" fillId="0" borderId="73" xfId="3" applyNumberFormat="1" applyFont="1" applyBorder="1" applyAlignment="1">
      <alignment horizontal="center" vertical="center" wrapText="1"/>
    </xf>
    <xf numFmtId="166" fontId="22" fillId="0" borderId="15" xfId="3" applyNumberFormat="1" applyFont="1" applyBorder="1" applyAlignment="1">
      <alignment horizontal="center" vertical="center" wrapText="1"/>
    </xf>
    <xf numFmtId="166" fontId="22" fillId="0" borderId="18" xfId="3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115" xfId="0" applyFont="1" applyBorder="1" applyAlignment="1">
      <alignment horizontal="center" vertical="center" wrapText="1"/>
    </xf>
    <xf numFmtId="0" fontId="22" fillId="0" borderId="74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90" xfId="0" applyFont="1" applyBorder="1" applyAlignment="1">
      <alignment horizontal="center" vertical="center" wrapText="1"/>
    </xf>
    <xf numFmtId="0" fontId="22" fillId="3" borderId="74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 wrapText="1"/>
    </xf>
    <xf numFmtId="0" fontId="22" fillId="3" borderId="90" xfId="0" applyFont="1" applyFill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73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09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110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11" xfId="0" applyFont="1" applyBorder="1" applyAlignment="1">
      <alignment horizontal="center" vertical="center" wrapText="1"/>
    </xf>
    <xf numFmtId="166" fontId="22" fillId="0" borderId="9" xfId="3" applyNumberFormat="1" applyFont="1" applyBorder="1" applyAlignment="1">
      <alignment horizontal="center" vertical="center" wrapText="1"/>
    </xf>
    <xf numFmtId="166" fontId="22" fillId="0" borderId="37" xfId="3" applyNumberFormat="1" applyFont="1" applyBorder="1" applyAlignment="1">
      <alignment horizontal="center" vertical="center" wrapText="1"/>
    </xf>
    <xf numFmtId="166" fontId="22" fillId="0" borderId="13" xfId="3" applyNumberFormat="1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112" xfId="0" applyFont="1" applyBorder="1" applyAlignment="1">
      <alignment horizontal="center" vertical="center" wrapText="1"/>
    </xf>
    <xf numFmtId="166" fontId="27" fillId="0" borderId="51" xfId="3" applyNumberFormat="1" applyFont="1" applyBorder="1" applyAlignment="1">
      <alignment horizontal="center" vertical="center" wrapText="1"/>
    </xf>
    <xf numFmtId="166" fontId="27" fillId="0" borderId="53" xfId="3" applyNumberFormat="1" applyFont="1" applyBorder="1" applyAlignment="1">
      <alignment horizontal="center" vertical="center" wrapText="1"/>
    </xf>
    <xf numFmtId="166" fontId="27" fillId="0" borderId="52" xfId="3" applyNumberFormat="1" applyFont="1" applyBorder="1" applyAlignment="1">
      <alignment horizontal="center" vertical="center" wrapText="1"/>
    </xf>
    <xf numFmtId="166" fontId="27" fillId="0" borderId="15" xfId="3" applyNumberFormat="1" applyFont="1" applyBorder="1" applyAlignment="1">
      <alignment horizontal="center" vertical="center" wrapText="1"/>
    </xf>
    <xf numFmtId="166" fontId="27" fillId="0" borderId="18" xfId="3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7" fillId="0" borderId="69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115" xfId="0" applyFont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90" xfId="0" applyFont="1" applyBorder="1" applyAlignment="1">
      <alignment horizontal="center" vertical="center" wrapText="1"/>
    </xf>
    <xf numFmtId="0" fontId="27" fillId="3" borderId="74" xfId="0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90" xfId="0" applyFont="1" applyFill="1" applyBorder="1" applyAlignment="1">
      <alignment horizontal="center" vertical="center" wrapText="1"/>
    </xf>
    <xf numFmtId="0" fontId="27" fillId="0" borderId="52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73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09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110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111" xfId="0" applyFont="1" applyBorder="1" applyAlignment="1">
      <alignment horizontal="center" vertical="center" wrapText="1"/>
    </xf>
    <xf numFmtId="166" fontId="27" fillId="0" borderId="9" xfId="3" applyNumberFormat="1" applyFont="1" applyBorder="1" applyAlignment="1">
      <alignment horizontal="center" vertical="center" wrapText="1"/>
    </xf>
    <xf numFmtId="166" fontId="27" fillId="0" borderId="37" xfId="3" applyNumberFormat="1" applyFont="1" applyBorder="1" applyAlignment="1">
      <alignment horizontal="center" vertical="center" wrapText="1"/>
    </xf>
    <xf numFmtId="166" fontId="27" fillId="0" borderId="13" xfId="3" applyNumberFormat="1" applyFont="1" applyBorder="1" applyAlignment="1">
      <alignment horizontal="center" vertical="center" wrapText="1"/>
    </xf>
    <xf numFmtId="0" fontId="25" fillId="0" borderId="0" xfId="11" applyFont="1" applyAlignment="1">
      <alignment horizontal="center" vertical="center"/>
    </xf>
    <xf numFmtId="165" fontId="112" fillId="3" borderId="52" xfId="3" applyFont="1" applyFill="1" applyBorder="1" applyAlignment="1">
      <alignment horizontal="center" vertical="center" wrapText="1"/>
    </xf>
    <xf numFmtId="165" fontId="112" fillId="3" borderId="29" xfId="3" applyFont="1" applyFill="1" applyBorder="1" applyAlignment="1">
      <alignment horizontal="center" vertical="center" wrapText="1"/>
    </xf>
    <xf numFmtId="165" fontId="112" fillId="3" borderId="10" xfId="3" applyFont="1" applyFill="1" applyBorder="1" applyAlignment="1">
      <alignment horizontal="center" vertical="center" wrapText="1"/>
    </xf>
    <xf numFmtId="165" fontId="22" fillId="0" borderId="37" xfId="3" applyFont="1" applyBorder="1" applyAlignment="1">
      <alignment horizontal="center" vertical="center" wrapText="1"/>
    </xf>
    <xf numFmtId="165" fontId="22" fillId="0" borderId="44" xfId="3" applyFont="1" applyBorder="1" applyAlignment="1">
      <alignment horizontal="center" vertical="center" wrapText="1"/>
    </xf>
    <xf numFmtId="166" fontId="23" fillId="0" borderId="104" xfId="3" applyNumberFormat="1" applyFont="1" applyBorder="1" applyAlignment="1">
      <alignment horizontal="center" vertical="center" wrapText="1"/>
    </xf>
    <xf numFmtId="166" fontId="23" fillId="0" borderId="116" xfId="3" applyNumberFormat="1" applyFont="1" applyBorder="1" applyAlignment="1">
      <alignment horizontal="center" vertical="center" wrapText="1"/>
    </xf>
    <xf numFmtId="166" fontId="23" fillId="0" borderId="29" xfId="3" applyNumberFormat="1" applyFont="1" applyBorder="1" applyAlignment="1">
      <alignment horizontal="center" vertical="center" wrapText="1"/>
    </xf>
    <xf numFmtId="166" fontId="23" fillId="0" borderId="108" xfId="3" applyNumberFormat="1" applyFont="1" applyBorder="1" applyAlignment="1">
      <alignment horizontal="center" vertical="center" wrapText="1"/>
    </xf>
    <xf numFmtId="166" fontId="23" fillId="0" borderId="0" xfId="3" applyNumberFormat="1" applyFont="1" applyBorder="1" applyAlignment="1">
      <alignment horizontal="center" vertical="center" wrapText="1"/>
    </xf>
    <xf numFmtId="166" fontId="23" fillId="0" borderId="40" xfId="3" applyNumberFormat="1" applyFont="1" applyBorder="1" applyAlignment="1">
      <alignment horizontal="center" vertical="center" wrapText="1"/>
    </xf>
    <xf numFmtId="0" fontId="25" fillId="0" borderId="0" xfId="11" applyFont="1" applyBorder="1" applyAlignment="1">
      <alignment horizontal="center" vertical="center"/>
    </xf>
    <xf numFmtId="0" fontId="25" fillId="0" borderId="2" xfId="11" applyFont="1" applyBorder="1" applyAlignment="1">
      <alignment horizontal="left" vertical="center"/>
    </xf>
    <xf numFmtId="0" fontId="25" fillId="0" borderId="0" xfId="11" applyFont="1" applyBorder="1" applyAlignment="1">
      <alignment horizontal="left" vertical="center"/>
    </xf>
    <xf numFmtId="0" fontId="25" fillId="0" borderId="42" xfId="11" applyFont="1" applyBorder="1" applyAlignment="1">
      <alignment horizontal="left" vertical="center"/>
    </xf>
    <xf numFmtId="0" fontId="25" fillId="0" borderId="2" xfId="11" applyFont="1" applyBorder="1" applyAlignment="1">
      <alignment horizontal="center" vertical="center" wrapText="1"/>
    </xf>
    <xf numFmtId="0" fontId="25" fillId="0" borderId="0" xfId="11" applyFont="1" applyBorder="1" applyAlignment="1">
      <alignment horizontal="center" vertical="center" wrapText="1"/>
    </xf>
    <xf numFmtId="0" fontId="25" fillId="0" borderId="42" xfId="11" applyFont="1" applyBorder="1" applyAlignment="1">
      <alignment horizontal="center" vertical="center" wrapText="1"/>
    </xf>
    <xf numFmtId="0" fontId="23" fillId="0" borderId="15" xfId="11" applyFont="1" applyBorder="1" applyAlignment="1">
      <alignment horizontal="center" vertical="center" wrapText="1"/>
    </xf>
    <xf numFmtId="0" fontId="23" fillId="0" borderId="1" xfId="11" applyFont="1" applyBorder="1" applyAlignment="1">
      <alignment horizontal="center" vertical="center" wrapText="1"/>
    </xf>
    <xf numFmtId="0" fontId="23" fillId="0" borderId="18" xfId="11" applyFont="1" applyBorder="1" applyAlignment="1">
      <alignment horizontal="center" vertical="center" wrapText="1"/>
    </xf>
    <xf numFmtId="0" fontId="23" fillId="0" borderId="37" xfId="11" applyFont="1" applyBorder="1" applyAlignment="1">
      <alignment horizontal="center" vertical="center" wrapText="1"/>
    </xf>
    <xf numFmtId="0" fontId="23" fillId="0" borderId="0" xfId="11" applyFont="1" applyBorder="1" applyAlignment="1">
      <alignment horizontal="center" vertical="center" wrapText="1"/>
    </xf>
    <xf numFmtId="0" fontId="23" fillId="0" borderId="40" xfId="11" applyFont="1" applyBorder="1" applyAlignment="1">
      <alignment horizontal="center" vertical="center" wrapText="1"/>
    </xf>
    <xf numFmtId="0" fontId="23" fillId="0" borderId="35" xfId="11" applyFont="1" applyBorder="1" applyAlignment="1">
      <alignment horizontal="center" vertical="center" wrapText="1"/>
    </xf>
    <xf numFmtId="0" fontId="23" fillId="0" borderId="38" xfId="11" applyFont="1" applyBorder="1" applyAlignment="1">
      <alignment horizontal="center" vertical="center" wrapText="1"/>
    </xf>
    <xf numFmtId="0" fontId="23" fillId="0" borderId="19" xfId="11" applyFont="1" applyBorder="1" applyAlignment="1">
      <alignment horizontal="center" vertical="center" wrapText="1"/>
    </xf>
    <xf numFmtId="0" fontId="23" fillId="0" borderId="36" xfId="11" applyFont="1" applyBorder="1" applyAlignment="1">
      <alignment horizontal="center" vertical="center" wrapText="1"/>
    </xf>
    <xf numFmtId="0" fontId="23" fillId="0" borderId="39" xfId="11" applyFont="1" applyBorder="1" applyAlignment="1">
      <alignment horizontal="center" vertical="center" wrapText="1"/>
    </xf>
    <xf numFmtId="0" fontId="23" fillId="0" borderId="16" xfId="11" applyFont="1" applyBorder="1" applyAlignment="1">
      <alignment horizontal="center" vertical="center" wrapText="1"/>
    </xf>
    <xf numFmtId="0" fontId="36" fillId="0" borderId="0" xfId="11" applyFont="1" applyBorder="1" applyAlignment="1">
      <alignment horizontal="left" vertical="center"/>
    </xf>
    <xf numFmtId="166" fontId="23" fillId="2" borderId="124" xfId="3" applyNumberFormat="1" applyFont="1" applyFill="1" applyBorder="1" applyAlignment="1">
      <alignment horizontal="center" vertical="center" wrapText="1"/>
    </xf>
    <xf numFmtId="166" fontId="23" fillId="2" borderId="119" xfId="3" applyNumberFormat="1" applyFont="1" applyFill="1" applyBorder="1" applyAlignment="1">
      <alignment horizontal="center" vertical="center" wrapText="1"/>
    </xf>
    <xf numFmtId="166" fontId="23" fillId="2" borderId="57" xfId="3" applyNumberFormat="1" applyFont="1" applyFill="1" applyBorder="1" applyAlignment="1">
      <alignment horizontal="center" vertical="center" wrapText="1"/>
    </xf>
    <xf numFmtId="166" fontId="23" fillId="2" borderId="36" xfId="3" applyNumberFormat="1" applyFont="1" applyFill="1" applyBorder="1" applyAlignment="1">
      <alignment horizontal="center" vertical="center" wrapText="1"/>
    </xf>
    <xf numFmtId="166" fontId="23" fillId="2" borderId="39" xfId="3" applyNumberFormat="1" applyFont="1" applyFill="1" applyBorder="1" applyAlignment="1">
      <alignment horizontal="center" vertical="center" wrapText="1"/>
    </xf>
    <xf numFmtId="166" fontId="23" fillId="2" borderId="16" xfId="3" applyNumberFormat="1" applyFont="1" applyFill="1" applyBorder="1" applyAlignment="1">
      <alignment horizontal="center" vertical="center" wrapText="1"/>
    </xf>
    <xf numFmtId="166" fontId="23" fillId="2" borderId="123" xfId="3" applyNumberFormat="1" applyFont="1" applyFill="1" applyBorder="1" applyAlignment="1">
      <alignment horizontal="center" vertical="center" wrapText="1"/>
    </xf>
    <xf numFmtId="166" fontId="23" fillId="2" borderId="117" xfId="3" applyNumberFormat="1" applyFont="1" applyFill="1" applyBorder="1" applyAlignment="1">
      <alignment horizontal="center" vertical="center" wrapText="1"/>
    </xf>
    <xf numFmtId="166" fontId="23" fillId="2" borderId="118" xfId="3" applyNumberFormat="1" applyFont="1" applyFill="1" applyBorder="1" applyAlignment="1">
      <alignment horizontal="center" vertical="center" wrapText="1"/>
    </xf>
    <xf numFmtId="166" fontId="23" fillId="0" borderId="27" xfId="3" applyNumberFormat="1" applyFont="1" applyBorder="1" applyAlignment="1">
      <alignment horizontal="center" vertical="center" wrapText="1"/>
    </xf>
    <xf numFmtId="166" fontId="23" fillId="0" borderId="19" xfId="3" applyNumberFormat="1" applyFont="1" applyBorder="1" applyAlignment="1">
      <alignment horizontal="center" vertical="center" wrapText="1"/>
    </xf>
    <xf numFmtId="166" fontId="23" fillId="0" borderId="34" xfId="3" applyNumberFormat="1" applyFont="1" applyBorder="1" applyAlignment="1">
      <alignment horizontal="center" vertical="center" wrapText="1"/>
    </xf>
    <xf numFmtId="166" fontId="23" fillId="0" borderId="41" xfId="3" applyNumberFormat="1" applyFont="1" applyBorder="1" applyAlignment="1">
      <alignment horizontal="center" vertical="center" wrapText="1"/>
    </xf>
    <xf numFmtId="166" fontId="23" fillId="0" borderId="26" xfId="3" applyNumberFormat="1" applyFont="1" applyBorder="1" applyAlignment="1">
      <alignment horizontal="center" vertical="center" wrapText="1"/>
    </xf>
    <xf numFmtId="166" fontId="23" fillId="0" borderId="16" xfId="3" applyNumberFormat="1" applyFont="1" applyBorder="1" applyAlignment="1">
      <alignment horizontal="center" vertical="center" wrapText="1"/>
    </xf>
    <xf numFmtId="0" fontId="23" fillId="0" borderId="123" xfId="11" applyFont="1" applyBorder="1" applyAlignment="1">
      <alignment horizontal="center" vertical="center" wrapText="1"/>
    </xf>
    <xf numFmtId="0" fontId="23" fillId="0" borderId="117" xfId="11" applyFont="1" applyBorder="1" applyAlignment="1">
      <alignment horizontal="center" vertical="center" wrapText="1"/>
    </xf>
    <xf numFmtId="0" fontId="23" fillId="0" borderId="118" xfId="11" applyFont="1" applyBorder="1" applyAlignment="1">
      <alignment horizontal="center" vertical="center" wrapText="1"/>
    </xf>
    <xf numFmtId="166" fontId="25" fillId="0" borderId="120" xfId="3" applyNumberFormat="1" applyFont="1" applyBorder="1" applyAlignment="1">
      <alignment horizontal="center" vertical="center" wrapText="1"/>
    </xf>
    <xf numFmtId="166" fontId="25" fillId="0" borderId="20" xfId="3" applyNumberFormat="1" applyFont="1" applyBorder="1" applyAlignment="1">
      <alignment horizontal="center" vertical="center" wrapText="1"/>
    </xf>
    <xf numFmtId="166" fontId="25" fillId="0" borderId="121" xfId="3" applyNumberFormat="1" applyFont="1" applyBorder="1" applyAlignment="1">
      <alignment horizontal="center" vertical="center" wrapText="1"/>
    </xf>
    <xf numFmtId="0" fontId="25" fillId="2" borderId="63" xfId="11" applyFont="1" applyFill="1" applyBorder="1" applyAlignment="1">
      <alignment horizontal="center" vertical="center"/>
    </xf>
    <xf numFmtId="0" fontId="25" fillId="2" borderId="54" xfId="11" applyFont="1" applyFill="1" applyBorder="1" applyAlignment="1">
      <alignment horizontal="center" vertical="center"/>
    </xf>
    <xf numFmtId="0" fontId="25" fillId="2" borderId="64" xfId="11" applyFont="1" applyFill="1" applyBorder="1" applyAlignment="1">
      <alignment horizontal="center" vertical="center"/>
    </xf>
    <xf numFmtId="0" fontId="27" fillId="0" borderId="13" xfId="11" applyFont="1" applyBorder="1" applyAlignment="1">
      <alignment horizontal="center" vertical="center" wrapText="1"/>
    </xf>
    <xf numFmtId="0" fontId="27" fillId="0" borderId="30" xfId="11" applyFont="1" applyBorder="1" applyAlignment="1">
      <alignment horizontal="center" vertical="center" wrapText="1"/>
    </xf>
    <xf numFmtId="0" fontId="27" fillId="0" borderId="23" xfId="11" applyFont="1" applyBorder="1" applyAlignment="1">
      <alignment horizontal="center" vertical="center" wrapText="1"/>
    </xf>
    <xf numFmtId="0" fontId="23" fillId="0" borderId="87" xfId="11" applyFont="1" applyBorder="1" applyAlignment="1">
      <alignment horizontal="center" vertical="center" wrapText="1"/>
    </xf>
    <xf numFmtId="0" fontId="23" fillId="0" borderId="42" xfId="11" applyFont="1" applyBorder="1" applyAlignment="1">
      <alignment horizontal="center" vertical="center" wrapText="1"/>
    </xf>
    <xf numFmtId="0" fontId="23" fillId="0" borderId="98" xfId="11" applyFont="1" applyBorder="1" applyAlignment="1">
      <alignment horizontal="center" vertical="center" wrapText="1"/>
    </xf>
    <xf numFmtId="0" fontId="23" fillId="0" borderId="26" xfId="11" applyFont="1" applyBorder="1" applyAlignment="1">
      <alignment horizontal="center" vertical="center" wrapText="1"/>
    </xf>
    <xf numFmtId="0" fontId="23" fillId="0" borderId="89" xfId="11" applyFont="1" applyBorder="1" applyAlignment="1">
      <alignment horizontal="center" vertical="center" wrapText="1"/>
    </xf>
    <xf numFmtId="0" fontId="23" fillId="0" borderId="5" xfId="11" applyFont="1" applyBorder="1" applyAlignment="1">
      <alignment horizontal="center" vertical="center" wrapText="1"/>
    </xf>
    <xf numFmtId="0" fontId="23" fillId="0" borderId="99" xfId="11" applyFont="1" applyBorder="1" applyAlignment="1">
      <alignment horizontal="center" vertical="center" wrapText="1"/>
    </xf>
    <xf numFmtId="0" fontId="34" fillId="0" borderId="137" xfId="11" applyFont="1" applyBorder="1" applyAlignment="1">
      <alignment horizontal="left" vertical="center" wrapText="1"/>
    </xf>
    <xf numFmtId="0" fontId="34" fillId="0" borderId="1" xfId="11" applyFont="1" applyBorder="1" applyAlignment="1">
      <alignment horizontal="left" vertical="center" wrapText="1"/>
    </xf>
    <xf numFmtId="0" fontId="34" fillId="0" borderId="126" xfId="11" applyFont="1" applyBorder="1" applyAlignment="1">
      <alignment horizontal="left" vertical="center" wrapText="1"/>
    </xf>
    <xf numFmtId="0" fontId="31" fillId="0" borderId="26" xfId="11" applyFont="1" applyBorder="1" applyAlignment="1">
      <alignment horizontal="left" vertical="center"/>
    </xf>
    <xf numFmtId="0" fontId="31" fillId="0" borderId="39" xfId="11" applyFont="1" applyBorder="1" applyAlignment="1">
      <alignment horizontal="left" vertical="center"/>
    </xf>
    <xf numFmtId="0" fontId="31" fillId="0" borderId="45" xfId="11" applyFont="1" applyBorder="1" applyAlignment="1">
      <alignment horizontal="left" vertical="center"/>
    </xf>
    <xf numFmtId="0" fontId="31" fillId="0" borderId="29" xfId="11" applyFont="1" applyBorder="1" applyAlignment="1">
      <alignment horizontal="left" vertical="center"/>
    </xf>
    <xf numFmtId="0" fontId="31" fillId="0" borderId="26" xfId="11" applyFont="1" applyBorder="1" applyAlignment="1">
      <alignment horizontal="center" vertical="center"/>
    </xf>
    <xf numFmtId="0" fontId="31" fillId="0" borderId="39" xfId="11" applyFont="1" applyBorder="1" applyAlignment="1">
      <alignment horizontal="center" vertical="center"/>
    </xf>
    <xf numFmtId="0" fontId="31" fillId="0" borderId="45" xfId="11" applyFont="1" applyBorder="1" applyAlignment="1">
      <alignment horizontal="center" vertical="center"/>
    </xf>
    <xf numFmtId="0" fontId="31" fillId="0" borderId="74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31" fillId="0" borderId="90" xfId="0" applyFont="1" applyFill="1" applyBorder="1" applyAlignment="1">
      <alignment horizontal="center" vertical="center" wrapText="1"/>
    </xf>
    <xf numFmtId="166" fontId="31" fillId="0" borderId="52" xfId="3" applyNumberFormat="1" applyFont="1" applyFill="1" applyBorder="1" applyAlignment="1">
      <alignment horizontal="center" vertical="center" wrapText="1"/>
    </xf>
    <xf numFmtId="166" fontId="31" fillId="0" borderId="29" xfId="3" applyNumberFormat="1" applyFont="1" applyFill="1" applyBorder="1" applyAlignment="1">
      <alignment horizontal="center" vertical="center" wrapText="1"/>
    </xf>
    <xf numFmtId="166" fontId="31" fillId="0" borderId="10" xfId="3" applyNumberFormat="1" applyFont="1" applyFill="1" applyBorder="1" applyAlignment="1">
      <alignment horizontal="center" vertical="center" wrapText="1"/>
    </xf>
    <xf numFmtId="165" fontId="31" fillId="0" borderId="52" xfId="3" applyFont="1" applyFill="1" applyBorder="1" applyAlignment="1">
      <alignment horizontal="center" vertical="center" wrapText="1"/>
    </xf>
    <xf numFmtId="165" fontId="31" fillId="0" borderId="29" xfId="3" applyFont="1" applyFill="1" applyBorder="1" applyAlignment="1">
      <alignment horizontal="center" vertical="center" wrapText="1"/>
    </xf>
    <xf numFmtId="165" fontId="31" fillId="0" borderId="10" xfId="3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31" fillId="0" borderId="21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31" fillId="0" borderId="37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 wrapText="1"/>
    </xf>
    <xf numFmtId="0" fontId="31" fillId="0" borderId="109" xfId="0" applyFont="1" applyFill="1" applyBorder="1" applyAlignment="1">
      <alignment horizontal="center" vertical="center" wrapText="1"/>
    </xf>
    <xf numFmtId="0" fontId="31" fillId="0" borderId="44" xfId="0" applyFont="1" applyFill="1" applyBorder="1" applyAlignment="1">
      <alignment horizontal="center" vertical="center" wrapText="1"/>
    </xf>
    <xf numFmtId="0" fontId="31" fillId="0" borderId="110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 wrapText="1"/>
    </xf>
    <xf numFmtId="0" fontId="31" fillId="0" borderId="111" xfId="0" applyFont="1" applyFill="1" applyBorder="1" applyAlignment="1">
      <alignment horizontal="center" vertical="center" wrapText="1"/>
    </xf>
    <xf numFmtId="166" fontId="31" fillId="0" borderId="17" xfId="3" applyNumberFormat="1" applyFont="1" applyFill="1" applyBorder="1" applyAlignment="1">
      <alignment horizontal="center" vertical="center" wrapText="1"/>
    </xf>
    <xf numFmtId="166" fontId="31" fillId="0" borderId="20" xfId="3" applyNumberFormat="1" applyFont="1" applyFill="1" applyBorder="1" applyAlignment="1">
      <alignment horizontal="center" vertical="center" wrapText="1"/>
    </xf>
    <xf numFmtId="166" fontId="31" fillId="0" borderId="28" xfId="3" applyNumberFormat="1" applyFont="1" applyFill="1" applyBorder="1" applyAlignment="1">
      <alignment horizontal="center" vertical="center" wrapText="1"/>
    </xf>
    <xf numFmtId="166" fontId="92" fillId="0" borderId="0" xfId="3" applyNumberFormat="1" applyFont="1" applyAlignment="1">
      <alignment horizontal="left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31" fillId="0" borderId="25" xfId="0" applyFont="1" applyFill="1" applyBorder="1" applyAlignment="1">
      <alignment horizontal="center" vertical="center" wrapText="1"/>
    </xf>
    <xf numFmtId="0" fontId="31" fillId="0" borderId="112" xfId="0" applyFont="1" applyFill="1" applyBorder="1" applyAlignment="1">
      <alignment horizontal="center" vertical="center" wrapText="1"/>
    </xf>
    <xf numFmtId="166" fontId="31" fillId="0" borderId="113" xfId="3" applyNumberFormat="1" applyFont="1" applyFill="1" applyBorder="1" applyAlignment="1">
      <alignment horizontal="center" vertical="center" wrapText="1"/>
    </xf>
    <xf numFmtId="166" fontId="31" fillId="0" borderId="43" xfId="3" applyNumberFormat="1" applyFont="1" applyFill="1" applyBorder="1" applyAlignment="1">
      <alignment horizontal="center" vertical="center" wrapText="1"/>
    </xf>
    <xf numFmtId="166" fontId="31" fillId="0" borderId="45" xfId="3" applyNumberFormat="1" applyFont="1" applyFill="1" applyBorder="1" applyAlignment="1">
      <alignment horizontal="center" vertical="center" wrapText="1"/>
    </xf>
    <xf numFmtId="166" fontId="31" fillId="0" borderId="114" xfId="3" applyNumberFormat="1" applyFont="1" applyFill="1" applyBorder="1" applyAlignment="1">
      <alignment horizontal="center" vertical="center" wrapText="1"/>
    </xf>
    <xf numFmtId="166" fontId="31" fillId="0" borderId="30" xfId="3" applyNumberFormat="1" applyFont="1" applyFill="1" applyBorder="1" applyAlignment="1">
      <alignment horizontal="center" vertical="center" wrapText="1"/>
    </xf>
    <xf numFmtId="166" fontId="31" fillId="0" borderId="23" xfId="3" applyNumberFormat="1" applyFont="1" applyFill="1" applyBorder="1" applyAlignment="1">
      <alignment horizontal="center" vertical="center" wrapText="1"/>
    </xf>
    <xf numFmtId="0" fontId="31" fillId="0" borderId="69" xfId="0" applyFont="1" applyFill="1" applyBorder="1" applyAlignment="1">
      <alignment horizontal="center" vertical="center" wrapText="1"/>
    </xf>
    <xf numFmtId="0" fontId="31" fillId="0" borderId="32" xfId="0" applyFont="1" applyFill="1" applyBorder="1" applyAlignment="1">
      <alignment horizontal="center" vertical="center" wrapText="1"/>
    </xf>
    <xf numFmtId="0" fontId="31" fillId="0" borderId="115" xfId="0" applyFont="1" applyFill="1" applyBorder="1" applyAlignment="1">
      <alignment horizontal="center" vertical="center" wrapText="1"/>
    </xf>
  </cellXfs>
  <cellStyles count="15">
    <cellStyle name="Comma" xfId="1" builtinId="3"/>
    <cellStyle name="Comma 2" xfId="3" xr:uid="{00000000-0005-0000-0000-000001000000}"/>
    <cellStyle name="Comma 2 2" xfId="10" xr:uid="{00000000-0005-0000-0000-000002000000}"/>
    <cellStyle name="Comma 2 3" xfId="8" xr:uid="{00000000-0005-0000-0000-000003000000}"/>
    <cellStyle name="Comma 3" xfId="13" xr:uid="{00000000-0005-0000-0000-000004000000}"/>
    <cellStyle name="Currency 2" xfId="9" xr:uid="{00000000-0005-0000-0000-000005000000}"/>
    <cellStyle name="Normal" xfId="0" builtinId="0"/>
    <cellStyle name="Normal 2" xfId="4" xr:uid="{00000000-0005-0000-0000-000007000000}"/>
    <cellStyle name="Normal 3" xfId="5" xr:uid="{00000000-0005-0000-0000-000008000000}"/>
    <cellStyle name="Normal 3 2" xfId="11" xr:uid="{00000000-0005-0000-0000-000009000000}"/>
    <cellStyle name="Normal 4" xfId="2" xr:uid="{00000000-0005-0000-0000-00000A000000}"/>
    <cellStyle name="Normal 5" xfId="7" xr:uid="{00000000-0005-0000-0000-00000B000000}"/>
    <cellStyle name="Normal 6" xfId="12" xr:uid="{00000000-0005-0000-0000-00000C000000}"/>
    <cellStyle name="Percent 2" xfId="6" xr:uid="{00000000-0005-0000-0000-00000D000000}"/>
    <cellStyle name="Percent 3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137</xdr:row>
      <xdr:rowOff>48271</xdr:rowOff>
    </xdr:from>
    <xdr:ext cx="184731" cy="36849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3320465" y="3096271"/>
          <a:ext cx="184731" cy="368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0</xdr:col>
      <xdr:colOff>0</xdr:colOff>
      <xdr:row>137</xdr:row>
      <xdr:rowOff>79087</xdr:rowOff>
    </xdr:from>
    <xdr:ext cx="116672" cy="44607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27791531" y="3127087"/>
          <a:ext cx="116672" cy="4460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0</xdr:col>
      <xdr:colOff>0</xdr:colOff>
      <xdr:row>137</xdr:row>
      <xdr:rowOff>48271</xdr:rowOff>
    </xdr:from>
    <xdr:ext cx="184731" cy="368494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23320465" y="3096271"/>
          <a:ext cx="184731" cy="368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0</xdr:col>
      <xdr:colOff>0</xdr:colOff>
      <xdr:row>137</xdr:row>
      <xdr:rowOff>79087</xdr:rowOff>
    </xdr:from>
    <xdr:ext cx="116672" cy="44607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27791531" y="3127087"/>
          <a:ext cx="116672" cy="4460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273861</xdr:colOff>
      <xdr:row>9</xdr:row>
      <xdr:rowOff>35423</xdr:rowOff>
    </xdr:from>
    <xdr:to>
      <xdr:col>13</xdr:col>
      <xdr:colOff>490597</xdr:colOff>
      <xdr:row>9</xdr:row>
      <xdr:rowOff>250477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2580161" y="2464298"/>
          <a:ext cx="216736" cy="2150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13</xdr:col>
      <xdr:colOff>273858</xdr:colOff>
      <xdr:row>8</xdr:row>
      <xdr:rowOff>40253</xdr:rowOff>
    </xdr:from>
    <xdr:to>
      <xdr:col>13</xdr:col>
      <xdr:colOff>490398</xdr:colOff>
      <xdr:row>8</xdr:row>
      <xdr:rowOff>263185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2580158" y="2154803"/>
          <a:ext cx="216540" cy="222932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13</xdr:col>
      <xdr:colOff>270099</xdr:colOff>
      <xdr:row>10</xdr:row>
      <xdr:rowOff>13806</xdr:rowOff>
    </xdr:from>
    <xdr:to>
      <xdr:col>13</xdr:col>
      <xdr:colOff>482600</xdr:colOff>
      <xdr:row>10</xdr:row>
      <xdr:rowOff>232729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2576399" y="2757006"/>
          <a:ext cx="212501" cy="21892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15</xdr:col>
      <xdr:colOff>433382</xdr:colOff>
      <xdr:row>9</xdr:row>
      <xdr:rowOff>41327</xdr:rowOff>
    </xdr:from>
    <xdr:to>
      <xdr:col>15</xdr:col>
      <xdr:colOff>661304</xdr:colOff>
      <xdr:row>9</xdr:row>
      <xdr:rowOff>265731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4549432" y="2470202"/>
          <a:ext cx="180297" cy="22440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15</xdr:col>
      <xdr:colOff>429623</xdr:colOff>
      <xdr:row>10</xdr:row>
      <xdr:rowOff>10740</xdr:rowOff>
    </xdr:from>
    <xdr:to>
      <xdr:col>15</xdr:col>
      <xdr:colOff>690419</xdr:colOff>
      <xdr:row>10</xdr:row>
      <xdr:rowOff>225387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4545673" y="2753940"/>
          <a:ext cx="184596" cy="21464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15</xdr:col>
      <xdr:colOff>260471</xdr:colOff>
      <xdr:row>8</xdr:row>
      <xdr:rowOff>86707</xdr:rowOff>
    </xdr:from>
    <xdr:ext cx="184731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4376521" y="2201257"/>
          <a:ext cx="18473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15</xdr:col>
      <xdr:colOff>440968</xdr:colOff>
      <xdr:row>9</xdr:row>
      <xdr:rowOff>67732</xdr:rowOff>
    </xdr:from>
    <xdr:to>
      <xdr:col>15</xdr:col>
      <xdr:colOff>626533</xdr:colOff>
      <xdr:row>9</xdr:row>
      <xdr:rowOff>272615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4557018" y="2496607"/>
          <a:ext cx="166515" cy="20488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15</xdr:col>
      <xdr:colOff>434369</xdr:colOff>
      <xdr:row>8</xdr:row>
      <xdr:rowOff>96986</xdr:rowOff>
    </xdr:from>
    <xdr:to>
      <xdr:col>15</xdr:col>
      <xdr:colOff>692579</xdr:colOff>
      <xdr:row>8</xdr:row>
      <xdr:rowOff>310036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4550419" y="2211536"/>
          <a:ext cx="172485" cy="2130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 editAs="oneCell">
    <xdr:from>
      <xdr:col>0</xdr:col>
      <xdr:colOff>0</xdr:colOff>
      <xdr:row>29</xdr:row>
      <xdr:rowOff>31750</xdr:rowOff>
    </xdr:from>
    <xdr:to>
      <xdr:col>15</xdr:col>
      <xdr:colOff>771659</xdr:colOff>
      <xdr:row>37</xdr:row>
      <xdr:rowOff>104775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98"/>
        <a:stretch/>
      </xdr:blipFill>
      <xdr:spPr>
        <a:xfrm>
          <a:off x="0" y="10480675"/>
          <a:ext cx="17792700" cy="1597025"/>
        </a:xfrm>
        <a:prstGeom prst="rect">
          <a:avLst/>
        </a:prstGeom>
      </xdr:spPr>
    </xdr:pic>
    <xdr:clientData/>
  </xdr:twoCellAnchor>
  <xdr:twoCellAnchor>
    <xdr:from>
      <xdr:col>13</xdr:col>
      <xdr:colOff>273861</xdr:colOff>
      <xdr:row>49</xdr:row>
      <xdr:rowOff>35423</xdr:rowOff>
    </xdr:from>
    <xdr:to>
      <xdr:col>13</xdr:col>
      <xdr:colOff>490597</xdr:colOff>
      <xdr:row>49</xdr:row>
      <xdr:rowOff>250477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13275486" y="3016748"/>
          <a:ext cx="216736" cy="2150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13</xdr:col>
      <xdr:colOff>273858</xdr:colOff>
      <xdr:row>48</xdr:row>
      <xdr:rowOff>40253</xdr:rowOff>
    </xdr:from>
    <xdr:to>
      <xdr:col>13</xdr:col>
      <xdr:colOff>490398</xdr:colOff>
      <xdr:row>48</xdr:row>
      <xdr:rowOff>263185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3275483" y="2707253"/>
          <a:ext cx="216540" cy="222932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13</xdr:col>
      <xdr:colOff>270099</xdr:colOff>
      <xdr:row>50</xdr:row>
      <xdr:rowOff>13806</xdr:rowOff>
    </xdr:from>
    <xdr:to>
      <xdr:col>13</xdr:col>
      <xdr:colOff>513025</xdr:colOff>
      <xdr:row>50</xdr:row>
      <xdr:rowOff>232729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3271724" y="3309456"/>
          <a:ext cx="242926" cy="21892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15</xdr:col>
      <xdr:colOff>429623</xdr:colOff>
      <xdr:row>50</xdr:row>
      <xdr:rowOff>10740</xdr:rowOff>
    </xdr:from>
    <xdr:to>
      <xdr:col>15</xdr:col>
      <xdr:colOff>690419</xdr:colOff>
      <xdr:row>50</xdr:row>
      <xdr:rowOff>225387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15631523" y="3306390"/>
          <a:ext cx="260796" cy="21464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13</xdr:col>
      <xdr:colOff>237580</xdr:colOff>
      <xdr:row>48</xdr:row>
      <xdr:rowOff>29221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3239205" y="26962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15</xdr:col>
      <xdr:colOff>260471</xdr:colOff>
      <xdr:row>48</xdr:row>
      <xdr:rowOff>86707</xdr:rowOff>
    </xdr:from>
    <xdr:ext cx="184731" cy="43678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5462371" y="2753707"/>
          <a:ext cx="18473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15</xdr:col>
      <xdr:colOff>440969</xdr:colOff>
      <xdr:row>49</xdr:row>
      <xdr:rowOff>59566</xdr:rowOff>
    </xdr:from>
    <xdr:to>
      <xdr:col>15</xdr:col>
      <xdr:colOff>699179</xdr:colOff>
      <xdr:row>49</xdr:row>
      <xdr:rowOff>272616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15642869" y="3040891"/>
          <a:ext cx="258210" cy="2130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15</xdr:col>
      <xdr:colOff>434369</xdr:colOff>
      <xdr:row>48</xdr:row>
      <xdr:rowOff>96986</xdr:rowOff>
    </xdr:from>
    <xdr:to>
      <xdr:col>15</xdr:col>
      <xdr:colOff>692579</xdr:colOff>
      <xdr:row>48</xdr:row>
      <xdr:rowOff>310036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15636269" y="2763986"/>
          <a:ext cx="258210" cy="2130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 editAs="oneCell">
    <xdr:from>
      <xdr:col>0</xdr:col>
      <xdr:colOff>0</xdr:colOff>
      <xdr:row>74</xdr:row>
      <xdr:rowOff>27214</xdr:rowOff>
    </xdr:from>
    <xdr:to>
      <xdr:col>15</xdr:col>
      <xdr:colOff>745352</xdr:colOff>
      <xdr:row>82</xdr:row>
      <xdr:rowOff>122766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98"/>
        <a:stretch/>
      </xdr:blipFill>
      <xdr:spPr>
        <a:xfrm>
          <a:off x="0" y="12619264"/>
          <a:ext cx="17766393" cy="16195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17</xdr:col>
      <xdr:colOff>1017373</xdr:colOff>
      <xdr:row>131</xdr:row>
      <xdr:rowOff>88748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98"/>
        <a:stretch/>
      </xdr:blipFill>
      <xdr:spPr>
        <a:xfrm>
          <a:off x="0" y="11963400"/>
          <a:ext cx="20436567" cy="1612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17</xdr:col>
      <xdr:colOff>1017373</xdr:colOff>
      <xdr:row>185</xdr:row>
      <xdr:rowOff>75333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98"/>
        <a:stretch/>
      </xdr:blipFill>
      <xdr:spPr>
        <a:xfrm>
          <a:off x="0" y="50992289"/>
          <a:ext cx="20241774" cy="2141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268146</xdr:colOff>
      <xdr:row>9</xdr:row>
      <xdr:rowOff>35423</xdr:rowOff>
    </xdr:from>
    <xdr:to>
      <xdr:col>13</xdr:col>
      <xdr:colOff>488385</xdr:colOff>
      <xdr:row>9</xdr:row>
      <xdr:rowOff>259827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3347221" y="3397748"/>
          <a:ext cx="220239" cy="22440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twoCellAnchor>
    <xdr:from>
      <xdr:col>13</xdr:col>
      <xdr:colOff>268143</xdr:colOff>
      <xdr:row>8</xdr:row>
      <xdr:rowOff>40253</xdr:rowOff>
    </xdr:from>
    <xdr:to>
      <xdr:col>13</xdr:col>
      <xdr:colOff>488184</xdr:colOff>
      <xdr:row>8</xdr:row>
      <xdr:rowOff>263185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23347218" y="3088253"/>
          <a:ext cx="220041" cy="22293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twoCellAnchor>
    <xdr:from>
      <xdr:col>13</xdr:col>
      <xdr:colOff>264384</xdr:colOff>
      <xdr:row>10</xdr:row>
      <xdr:rowOff>30951</xdr:rowOff>
    </xdr:from>
    <xdr:to>
      <xdr:col>13</xdr:col>
      <xdr:colOff>503147</xdr:colOff>
      <xdr:row>10</xdr:row>
      <xdr:rowOff>232183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23343459" y="3707601"/>
          <a:ext cx="238763" cy="20123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twoCellAnchor>
    <xdr:from>
      <xdr:col>15</xdr:col>
      <xdr:colOff>433382</xdr:colOff>
      <xdr:row>9</xdr:row>
      <xdr:rowOff>41327</xdr:rowOff>
    </xdr:from>
    <xdr:to>
      <xdr:col>15</xdr:col>
      <xdr:colOff>688821</xdr:colOff>
      <xdr:row>9</xdr:row>
      <xdr:rowOff>265731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8055882" y="3403652"/>
          <a:ext cx="255439" cy="22440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twoCellAnchor>
    <xdr:from>
      <xdr:col>15</xdr:col>
      <xdr:colOff>415269</xdr:colOff>
      <xdr:row>8</xdr:row>
      <xdr:rowOff>72988</xdr:rowOff>
    </xdr:from>
    <xdr:to>
      <xdr:col>15</xdr:col>
      <xdr:colOff>662201</xdr:colOff>
      <xdr:row>8</xdr:row>
      <xdr:rowOff>297392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28037769" y="3120988"/>
          <a:ext cx="246932" cy="2244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twoCellAnchor>
    <xdr:from>
      <xdr:col>15</xdr:col>
      <xdr:colOff>420098</xdr:colOff>
      <xdr:row>10</xdr:row>
      <xdr:rowOff>1215</xdr:rowOff>
    </xdr:from>
    <xdr:to>
      <xdr:col>15</xdr:col>
      <xdr:colOff>684651</xdr:colOff>
      <xdr:row>10</xdr:row>
      <xdr:rowOff>225619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28042598" y="3677865"/>
          <a:ext cx="264553" cy="22440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oneCellAnchor>
    <xdr:from>
      <xdr:col>13</xdr:col>
      <xdr:colOff>241390</xdr:colOff>
      <xdr:row>8</xdr:row>
      <xdr:rowOff>48271</xdr:rowOff>
    </xdr:from>
    <xdr:ext cx="184731" cy="36849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23320465" y="3096271"/>
          <a:ext cx="184731" cy="368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15</xdr:col>
      <xdr:colOff>169031</xdr:colOff>
      <xdr:row>8</xdr:row>
      <xdr:rowOff>79087</xdr:rowOff>
    </xdr:from>
    <xdr:ext cx="116672" cy="44607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27791531" y="3127087"/>
          <a:ext cx="116672" cy="4460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13</xdr:col>
      <xdr:colOff>268146</xdr:colOff>
      <xdr:row>9</xdr:row>
      <xdr:rowOff>35423</xdr:rowOff>
    </xdr:from>
    <xdr:to>
      <xdr:col>13</xdr:col>
      <xdr:colOff>488385</xdr:colOff>
      <xdr:row>9</xdr:row>
      <xdr:rowOff>259827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23347221" y="3397748"/>
          <a:ext cx="220239" cy="22440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twoCellAnchor>
    <xdr:from>
      <xdr:col>13</xdr:col>
      <xdr:colOff>268143</xdr:colOff>
      <xdr:row>8</xdr:row>
      <xdr:rowOff>40253</xdr:rowOff>
    </xdr:from>
    <xdr:to>
      <xdr:col>13</xdr:col>
      <xdr:colOff>488184</xdr:colOff>
      <xdr:row>8</xdr:row>
      <xdr:rowOff>263185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23347218" y="3088253"/>
          <a:ext cx="220041" cy="22293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twoCellAnchor>
    <xdr:from>
      <xdr:col>13</xdr:col>
      <xdr:colOff>264384</xdr:colOff>
      <xdr:row>10</xdr:row>
      <xdr:rowOff>30951</xdr:rowOff>
    </xdr:from>
    <xdr:to>
      <xdr:col>13</xdr:col>
      <xdr:colOff>503147</xdr:colOff>
      <xdr:row>10</xdr:row>
      <xdr:rowOff>232183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23343459" y="3707601"/>
          <a:ext cx="238763" cy="20123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twoCellAnchor>
    <xdr:from>
      <xdr:col>15</xdr:col>
      <xdr:colOff>433382</xdr:colOff>
      <xdr:row>9</xdr:row>
      <xdr:rowOff>41327</xdr:rowOff>
    </xdr:from>
    <xdr:to>
      <xdr:col>15</xdr:col>
      <xdr:colOff>688821</xdr:colOff>
      <xdr:row>9</xdr:row>
      <xdr:rowOff>265731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28055882" y="3403652"/>
          <a:ext cx="255439" cy="22440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twoCellAnchor>
    <xdr:from>
      <xdr:col>15</xdr:col>
      <xdr:colOff>415269</xdr:colOff>
      <xdr:row>8</xdr:row>
      <xdr:rowOff>72988</xdr:rowOff>
    </xdr:from>
    <xdr:to>
      <xdr:col>15</xdr:col>
      <xdr:colOff>662201</xdr:colOff>
      <xdr:row>8</xdr:row>
      <xdr:rowOff>297392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28037769" y="3120988"/>
          <a:ext cx="246932" cy="2244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twoCellAnchor>
    <xdr:from>
      <xdr:col>15</xdr:col>
      <xdr:colOff>420098</xdr:colOff>
      <xdr:row>10</xdr:row>
      <xdr:rowOff>1215</xdr:rowOff>
    </xdr:from>
    <xdr:to>
      <xdr:col>15</xdr:col>
      <xdr:colOff>684651</xdr:colOff>
      <xdr:row>10</xdr:row>
      <xdr:rowOff>225619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28042598" y="3677865"/>
          <a:ext cx="264553" cy="22440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PH"/>
        </a:p>
      </xdr:txBody>
    </xdr:sp>
    <xdr:clientData/>
  </xdr:twoCellAnchor>
  <xdr:oneCellAnchor>
    <xdr:from>
      <xdr:col>13</xdr:col>
      <xdr:colOff>241390</xdr:colOff>
      <xdr:row>8</xdr:row>
      <xdr:rowOff>48271</xdr:rowOff>
    </xdr:from>
    <xdr:ext cx="184731" cy="368494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23320465" y="3096271"/>
          <a:ext cx="184731" cy="368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15</xdr:col>
      <xdr:colOff>169031</xdr:colOff>
      <xdr:row>8</xdr:row>
      <xdr:rowOff>79087</xdr:rowOff>
    </xdr:from>
    <xdr:ext cx="116672" cy="44607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27791531" y="3127087"/>
          <a:ext cx="116672" cy="4460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rop%20damage\abloy%20new(pablo)\Users\Korea\Desktop\standing%20crop%20by%20mu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rop%20damage\abloy%20new(pablo)\Users\DA10-CORN\Desktop\standing%20crop%20by%20mu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ley/Downloads/wwwwwwww/TSS%20Falcon%20Consolidated%20Report%20-%20La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2012"/>
      <sheetName val="Aug only"/>
      <sheetName val="Sept only"/>
      <sheetName val="Oct. only"/>
      <sheetName val="CO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6">
          <cell r="N16">
            <v>1685</v>
          </cell>
        </row>
        <row r="19">
          <cell r="N19">
            <v>5247</v>
          </cell>
        </row>
        <row r="20">
          <cell r="N20">
            <v>1716</v>
          </cell>
        </row>
        <row r="24">
          <cell r="N24">
            <v>5045</v>
          </cell>
        </row>
        <row r="26">
          <cell r="N26">
            <v>1903</v>
          </cell>
        </row>
        <row r="61">
          <cell r="N61">
            <v>1272</v>
          </cell>
        </row>
        <row r="97">
          <cell r="N97">
            <v>1658.25</v>
          </cell>
        </row>
        <row r="100">
          <cell r="N100">
            <v>110</v>
          </cell>
        </row>
        <row r="105">
          <cell r="N105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2012"/>
      <sheetName val="Aug only"/>
      <sheetName val="Sept only"/>
      <sheetName val="Oct. only"/>
      <sheetName val="CO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N10">
            <v>0</v>
          </cell>
        </row>
        <row r="17">
          <cell r="N17">
            <v>2694</v>
          </cell>
        </row>
        <row r="46">
          <cell r="N46">
            <v>105</v>
          </cell>
        </row>
        <row r="48">
          <cell r="N48">
            <v>392</v>
          </cell>
        </row>
        <row r="49">
          <cell r="N49">
            <v>235</v>
          </cell>
        </row>
        <row r="50">
          <cell r="N50">
            <v>122</v>
          </cell>
        </row>
        <row r="53">
          <cell r="N53">
            <v>117</v>
          </cell>
        </row>
        <row r="59">
          <cell r="N59">
            <v>407</v>
          </cell>
        </row>
        <row r="62">
          <cell r="N62">
            <v>622</v>
          </cell>
        </row>
        <row r="63">
          <cell r="N63">
            <v>125</v>
          </cell>
        </row>
        <row r="64">
          <cell r="N64">
            <v>164</v>
          </cell>
        </row>
        <row r="67">
          <cell r="N67">
            <v>1519</v>
          </cell>
        </row>
        <row r="68">
          <cell r="N68">
            <v>242</v>
          </cell>
        </row>
        <row r="69">
          <cell r="N69">
            <v>240</v>
          </cell>
        </row>
        <row r="74">
          <cell r="N74">
            <v>107</v>
          </cell>
        </row>
        <row r="86">
          <cell r="N86">
            <v>839</v>
          </cell>
        </row>
        <row r="89">
          <cell r="N89">
            <v>394</v>
          </cell>
        </row>
        <row r="101">
          <cell r="N101">
            <v>990</v>
          </cell>
        </row>
        <row r="103">
          <cell r="N103">
            <v>445</v>
          </cell>
        </row>
        <row r="108">
          <cell r="N108">
            <v>545</v>
          </cell>
        </row>
        <row r="111">
          <cell r="N111">
            <v>760</v>
          </cell>
        </row>
        <row r="112">
          <cell r="N112">
            <v>405</v>
          </cell>
        </row>
        <row r="116">
          <cell r="N116">
            <v>990</v>
          </cell>
        </row>
        <row r="117">
          <cell r="N117">
            <v>520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MAGE_CROPS_Rice "/>
      <sheetName val="DAMAGE_CROPS_ Corn"/>
      <sheetName val="DAMAGE_CROPS_HVCC"/>
      <sheetName val="FISHERY_Fish Cages"/>
      <sheetName val="FISHERY_Fish Ponds"/>
      <sheetName val="FISHERY_Fish Capture"/>
      <sheetName val="Affected Farmers List_crops"/>
      <sheetName val="Affected farmers list_livestock"/>
      <sheetName val="Affected farmers list_mach-eqpt"/>
      <sheetName val="Affected Farmer Groups_FACI "/>
      <sheetName val="HVC_C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view="pageBreakPreview" zoomScale="96" zoomScaleSheetLayoutView="96" workbookViewId="0">
      <selection activeCell="J11" sqref="J11"/>
    </sheetView>
  </sheetViews>
  <sheetFormatPr defaultRowHeight="15"/>
  <cols>
    <col min="1" max="1" width="14.140625" customWidth="1"/>
    <col min="2" max="2" width="10.42578125" customWidth="1"/>
    <col min="3" max="3" width="10.7109375" customWidth="1"/>
    <col min="4" max="4" width="5.42578125" customWidth="1"/>
    <col min="5" max="5" width="8.42578125" customWidth="1"/>
    <col min="6" max="6" width="12.85546875" customWidth="1"/>
    <col min="7" max="7" width="10.5703125" customWidth="1"/>
    <col min="8" max="8" width="8.85546875" customWidth="1"/>
    <col min="9" max="9" width="7.140625" customWidth="1"/>
    <col min="10" max="10" width="8.28515625" customWidth="1"/>
    <col min="11" max="11" width="6.28515625" customWidth="1"/>
    <col min="12" max="12" width="7.7109375" customWidth="1"/>
    <col min="13" max="13" width="11.28515625" customWidth="1"/>
    <col min="14" max="14" width="15" customWidth="1"/>
    <col min="15" max="15" width="12.140625" customWidth="1"/>
    <col min="16" max="16" width="11" customWidth="1"/>
    <col min="17" max="17" width="7.85546875" customWidth="1"/>
    <col min="18" max="18" width="20.7109375" customWidth="1"/>
    <col min="22" max="22" width="18" customWidth="1"/>
  </cols>
  <sheetData>
    <row r="1" spans="1:18">
      <c r="A1" s="1655" t="s">
        <v>27</v>
      </c>
      <c r="B1" s="1655"/>
      <c r="C1" s="1655"/>
      <c r="D1" s="1655"/>
      <c r="E1" s="1655"/>
      <c r="F1" s="1655"/>
      <c r="G1" s="1655"/>
      <c r="H1" s="1655"/>
      <c r="I1" s="1655"/>
      <c r="J1" s="1655"/>
      <c r="K1" s="1655"/>
      <c r="L1" s="1655"/>
      <c r="M1" s="1655"/>
      <c r="N1" s="1655"/>
      <c r="O1" s="1655"/>
      <c r="P1" s="1655"/>
      <c r="Q1" s="1655"/>
    </row>
    <row r="2" spans="1:18">
      <c r="A2" s="1655" t="s">
        <v>0</v>
      </c>
      <c r="B2" s="1655"/>
      <c r="C2" s="1655"/>
      <c r="D2" s="1655"/>
      <c r="E2" s="1655"/>
      <c r="F2" s="1655"/>
      <c r="G2" s="1655"/>
      <c r="H2" s="1655"/>
      <c r="I2" s="1655"/>
      <c r="J2" s="1655"/>
      <c r="K2" s="1655"/>
      <c r="L2" s="1655"/>
      <c r="M2" s="1655"/>
      <c r="N2" s="1655"/>
      <c r="O2" s="1655"/>
      <c r="P2" s="1655"/>
      <c r="Q2" s="1655"/>
    </row>
    <row r="3" spans="1:18">
      <c r="A3" s="2"/>
      <c r="B3" s="2"/>
      <c r="C3" s="2"/>
      <c r="D3" s="3"/>
      <c r="E3" s="2"/>
      <c r="F3" s="2"/>
      <c r="G3" s="2"/>
      <c r="H3" s="2"/>
      <c r="I3" s="2"/>
      <c r="J3" s="2"/>
      <c r="K3" s="1"/>
      <c r="L3" s="1"/>
      <c r="M3" s="1"/>
      <c r="N3" s="1"/>
      <c r="O3" s="2"/>
      <c r="P3" s="2"/>
      <c r="Q3" s="2"/>
    </row>
    <row r="4" spans="1:18">
      <c r="A4" s="3" t="s">
        <v>28</v>
      </c>
      <c r="B4" s="2"/>
      <c r="C4" s="2"/>
      <c r="D4" s="3"/>
      <c r="E4" s="2"/>
      <c r="F4" s="2"/>
      <c r="G4" s="2"/>
      <c r="H4" s="2"/>
      <c r="I4" s="2"/>
      <c r="J4" s="2"/>
      <c r="K4" s="1"/>
      <c r="L4" s="1"/>
      <c r="M4" s="1"/>
      <c r="N4" s="1"/>
      <c r="O4" s="2"/>
      <c r="P4" s="2"/>
      <c r="Q4" s="2"/>
    </row>
    <row r="5" spans="1:18" ht="15.75" thickBot="1">
      <c r="A5" s="2"/>
      <c r="B5" s="2"/>
      <c r="C5" s="2"/>
      <c r="D5" s="2"/>
      <c r="E5" s="2"/>
      <c r="F5" s="2"/>
      <c r="G5" s="2"/>
      <c r="H5" s="2"/>
      <c r="I5" s="2"/>
      <c r="J5" s="2"/>
      <c r="K5" s="1"/>
      <c r="L5" s="1"/>
      <c r="M5" s="1"/>
      <c r="N5" s="1"/>
      <c r="O5" s="2"/>
      <c r="P5" s="2"/>
      <c r="Q5" s="2"/>
    </row>
    <row r="6" spans="1:18" ht="15" customHeight="1">
      <c r="A6" s="1656" t="s">
        <v>1</v>
      </c>
      <c r="B6" s="1659" t="s">
        <v>2</v>
      </c>
      <c r="C6" s="1656" t="s">
        <v>3</v>
      </c>
      <c r="D6" s="1659" t="s">
        <v>4</v>
      </c>
      <c r="E6" s="1662" t="s">
        <v>5</v>
      </c>
      <c r="F6" s="1665" t="s">
        <v>6</v>
      </c>
      <c r="G6" s="1666"/>
      <c r="H6" s="1666"/>
      <c r="I6" s="1666"/>
      <c r="J6" s="1666"/>
      <c r="K6" s="1666"/>
      <c r="L6" s="1666"/>
      <c r="M6" s="1666"/>
      <c r="N6" s="1667"/>
      <c r="O6" s="1659" t="s">
        <v>7</v>
      </c>
      <c r="P6" s="1656" t="s">
        <v>8</v>
      </c>
      <c r="Q6" s="1662"/>
    </row>
    <row r="7" spans="1:18" ht="27" customHeight="1" thickBot="1">
      <c r="A7" s="1657"/>
      <c r="B7" s="1660"/>
      <c r="C7" s="1657"/>
      <c r="D7" s="1660"/>
      <c r="E7" s="1663"/>
      <c r="F7" s="1668" t="s">
        <v>9</v>
      </c>
      <c r="G7" s="1653" t="s">
        <v>10</v>
      </c>
      <c r="H7" s="1653" t="s">
        <v>11</v>
      </c>
      <c r="I7" s="1653" t="s">
        <v>12</v>
      </c>
      <c r="J7" s="1670" t="s">
        <v>13</v>
      </c>
      <c r="K7" s="1671"/>
      <c r="L7" s="1653" t="s">
        <v>12</v>
      </c>
      <c r="M7" s="1672" t="s">
        <v>14</v>
      </c>
      <c r="N7" s="1673"/>
      <c r="O7" s="1660"/>
      <c r="P7" s="1658"/>
      <c r="Q7" s="1664"/>
    </row>
    <row r="8" spans="1:18" ht="46.5" customHeight="1" thickBot="1">
      <c r="A8" s="1658"/>
      <c r="B8" s="1661"/>
      <c r="C8" s="1658"/>
      <c r="D8" s="1661"/>
      <c r="E8" s="1664"/>
      <c r="F8" s="1669"/>
      <c r="G8" s="1654"/>
      <c r="H8" s="1654"/>
      <c r="I8" s="1654"/>
      <c r="J8" s="5" t="s">
        <v>15</v>
      </c>
      <c r="K8" s="5" t="s">
        <v>16</v>
      </c>
      <c r="L8" s="1654"/>
      <c r="M8" s="5" t="s">
        <v>17</v>
      </c>
      <c r="N8" s="6" t="s">
        <v>18</v>
      </c>
      <c r="O8" s="1661"/>
      <c r="P8" s="17" t="s">
        <v>19</v>
      </c>
      <c r="Q8" s="10" t="s">
        <v>26</v>
      </c>
    </row>
    <row r="9" spans="1:18">
      <c r="A9" s="19"/>
      <c r="B9" s="48"/>
      <c r="C9" s="20"/>
      <c r="D9" s="45"/>
      <c r="E9" s="47"/>
      <c r="F9" s="21"/>
      <c r="G9" s="22"/>
      <c r="H9" s="22"/>
      <c r="I9" s="23"/>
      <c r="J9" s="23"/>
      <c r="K9" s="23"/>
      <c r="L9" s="23"/>
      <c r="M9" s="23"/>
      <c r="N9" s="24"/>
      <c r="O9" s="25"/>
      <c r="P9" s="25"/>
      <c r="Q9" s="26"/>
    </row>
    <row r="10" spans="1:18">
      <c r="A10" s="27" t="s">
        <v>20</v>
      </c>
      <c r="B10" s="51">
        <f>SUM(B12:B13)</f>
        <v>0</v>
      </c>
      <c r="C10" s="52">
        <f>SUM(C12:C14)</f>
        <v>573.6</v>
      </c>
      <c r="D10" s="52">
        <f t="shared" ref="D10:Q10" si="0">SUM(D12:D14)</f>
        <v>0</v>
      </c>
      <c r="E10" s="51">
        <f t="shared" si="0"/>
        <v>0</v>
      </c>
      <c r="F10" s="52">
        <f t="shared" si="0"/>
        <v>0</v>
      </c>
      <c r="G10" s="53">
        <f t="shared" si="0"/>
        <v>430.42999999999995</v>
      </c>
      <c r="H10" s="53">
        <f t="shared" si="0"/>
        <v>105.04</v>
      </c>
      <c r="I10" s="53">
        <f t="shared" si="0"/>
        <v>147</v>
      </c>
      <c r="J10" s="53">
        <f t="shared" si="0"/>
        <v>219.2</v>
      </c>
      <c r="K10" s="53">
        <f t="shared" si="0"/>
        <v>0</v>
      </c>
      <c r="L10" s="53">
        <f t="shared" si="0"/>
        <v>0</v>
      </c>
      <c r="M10" s="53">
        <f t="shared" si="0"/>
        <v>1851.82</v>
      </c>
      <c r="N10" s="54">
        <f t="shared" si="0"/>
        <v>37036400</v>
      </c>
      <c r="O10" s="52">
        <f t="shared" si="0"/>
        <v>0</v>
      </c>
      <c r="P10" s="52">
        <f t="shared" si="0"/>
        <v>0</v>
      </c>
      <c r="Q10" s="51">
        <f t="shared" si="0"/>
        <v>0</v>
      </c>
    </row>
    <row r="11" spans="1:18" ht="20.25" customHeight="1">
      <c r="A11" s="29"/>
      <c r="B11" s="55"/>
      <c r="C11" s="56"/>
      <c r="D11" s="56"/>
      <c r="E11" s="55"/>
      <c r="F11" s="56"/>
      <c r="G11" s="57"/>
      <c r="H11" s="57"/>
      <c r="I11" s="57"/>
      <c r="J11" s="57"/>
      <c r="K11" s="57"/>
      <c r="L11" s="57"/>
      <c r="M11" s="57"/>
      <c r="N11" s="58"/>
      <c r="O11" s="56"/>
      <c r="P11" s="56"/>
      <c r="Q11" s="55"/>
    </row>
    <row r="12" spans="1:18" ht="18" customHeight="1">
      <c r="A12" s="28" t="s">
        <v>21</v>
      </c>
      <c r="B12" s="59"/>
      <c r="C12" s="60"/>
      <c r="D12" s="60"/>
      <c r="E12" s="59"/>
      <c r="F12" s="60"/>
      <c r="G12" s="61">
        <v>76.03</v>
      </c>
      <c r="H12" s="61">
        <v>76.03</v>
      </c>
      <c r="I12" s="61"/>
      <c r="J12" s="61"/>
      <c r="K12" s="61"/>
      <c r="L12" s="62"/>
      <c r="M12" s="61"/>
      <c r="N12" s="63"/>
      <c r="O12" s="64"/>
      <c r="P12" s="60"/>
      <c r="Q12" s="59"/>
      <c r="R12" s="13"/>
    </row>
    <row r="13" spans="1:18" ht="67.5" customHeight="1">
      <c r="A13" s="44" t="s">
        <v>29</v>
      </c>
      <c r="B13" s="65"/>
      <c r="C13" s="66">
        <v>573.6</v>
      </c>
      <c r="D13" s="66"/>
      <c r="E13" s="65"/>
      <c r="F13" s="72" t="s">
        <v>31</v>
      </c>
      <c r="G13" s="67">
        <v>354.4</v>
      </c>
      <c r="H13" s="67">
        <v>29.01</v>
      </c>
      <c r="I13" s="67">
        <v>147</v>
      </c>
      <c r="J13" s="67">
        <v>219.2</v>
      </c>
      <c r="K13" s="67"/>
      <c r="L13" s="68"/>
      <c r="M13" s="67">
        <v>1851.82</v>
      </c>
      <c r="N13" s="69">
        <v>37036400</v>
      </c>
      <c r="O13" s="64"/>
      <c r="P13" s="60"/>
      <c r="Q13" s="59"/>
      <c r="R13" s="13"/>
    </row>
    <row r="14" spans="1:18" ht="18.75" customHeight="1">
      <c r="A14" s="28"/>
      <c r="B14" s="59"/>
      <c r="C14" s="60"/>
      <c r="D14" s="60"/>
      <c r="E14" s="59"/>
      <c r="F14" s="46"/>
      <c r="G14" s="61"/>
      <c r="H14" s="61"/>
      <c r="I14" s="61"/>
      <c r="J14" s="61"/>
      <c r="K14" s="61"/>
      <c r="L14" s="62"/>
      <c r="M14" s="61"/>
      <c r="N14" s="63"/>
      <c r="O14" s="64"/>
      <c r="P14" s="60"/>
      <c r="Q14" s="59"/>
      <c r="R14" s="13"/>
    </row>
    <row r="15" spans="1:18">
      <c r="A15" s="27" t="s">
        <v>23</v>
      </c>
      <c r="B15" s="51">
        <f>SUM(B17:B18)</f>
        <v>97560</v>
      </c>
      <c r="C15" s="52">
        <f>SUM(C16:C19)</f>
        <v>975.2</v>
      </c>
      <c r="D15" s="52">
        <f t="shared" ref="D15:Q15" si="1">SUM(D16:D19)</f>
        <v>0</v>
      </c>
      <c r="E15" s="51">
        <f t="shared" si="1"/>
        <v>0</v>
      </c>
      <c r="F15" s="73">
        <f t="shared" si="1"/>
        <v>0</v>
      </c>
      <c r="G15" s="53">
        <f t="shared" si="1"/>
        <v>746.31</v>
      </c>
      <c r="H15" s="53">
        <f t="shared" si="1"/>
        <v>511</v>
      </c>
      <c r="I15" s="53">
        <f t="shared" si="1"/>
        <v>119</v>
      </c>
      <c r="J15" s="53">
        <f t="shared" si="1"/>
        <v>234.89</v>
      </c>
      <c r="K15" s="53">
        <f t="shared" si="1"/>
        <v>0</v>
      </c>
      <c r="L15" s="53">
        <f t="shared" si="1"/>
        <v>0</v>
      </c>
      <c r="M15" s="53">
        <f t="shared" si="1"/>
        <v>2006.11</v>
      </c>
      <c r="N15" s="54">
        <f t="shared" si="1"/>
        <v>29695063.5</v>
      </c>
      <c r="O15" s="52">
        <f t="shared" si="1"/>
        <v>0</v>
      </c>
      <c r="P15" s="52">
        <f t="shared" si="1"/>
        <v>0</v>
      </c>
      <c r="Q15" s="51">
        <f t="shared" si="1"/>
        <v>0</v>
      </c>
    </row>
    <row r="16" spans="1:18">
      <c r="A16" s="29"/>
      <c r="B16" s="59"/>
      <c r="C16" s="60"/>
      <c r="D16" s="60"/>
      <c r="E16" s="59"/>
      <c r="F16" s="46"/>
      <c r="G16" s="61"/>
      <c r="H16" s="61"/>
      <c r="I16" s="61"/>
      <c r="J16" s="61"/>
      <c r="K16" s="61"/>
      <c r="L16" s="61"/>
      <c r="M16" s="61"/>
      <c r="N16" s="63"/>
      <c r="O16" s="60"/>
      <c r="P16" s="60"/>
      <c r="Q16" s="59"/>
    </row>
    <row r="17" spans="1:22" ht="39" customHeight="1">
      <c r="A17" s="50" t="s">
        <v>21</v>
      </c>
      <c r="B17" s="65">
        <v>67061</v>
      </c>
      <c r="C17" s="66"/>
      <c r="D17" s="66"/>
      <c r="E17" s="65"/>
      <c r="F17" s="72" t="s">
        <v>32</v>
      </c>
      <c r="G17" s="67">
        <v>6</v>
      </c>
      <c r="H17" s="67">
        <v>6</v>
      </c>
      <c r="I17" s="67"/>
      <c r="J17" s="67"/>
      <c r="K17" s="67"/>
      <c r="L17" s="67"/>
      <c r="M17" s="67">
        <f>4.72*6</f>
        <v>28.32</v>
      </c>
      <c r="N17" s="69">
        <v>28320</v>
      </c>
      <c r="O17" s="60"/>
      <c r="P17" s="60"/>
      <c r="Q17" s="59"/>
    </row>
    <row r="18" spans="1:22">
      <c r="A18" s="30" t="s">
        <v>29</v>
      </c>
      <c r="B18" s="59">
        <v>30499</v>
      </c>
      <c r="C18" s="60">
        <v>975.2</v>
      </c>
      <c r="D18" s="60"/>
      <c r="E18" s="59"/>
      <c r="F18" s="46" t="s">
        <v>22</v>
      </c>
      <c r="G18" s="61">
        <v>740.31</v>
      </c>
      <c r="H18" s="61">
        <f>740-235</f>
        <v>505</v>
      </c>
      <c r="I18" s="61">
        <v>119</v>
      </c>
      <c r="J18" s="61">
        <v>234.89</v>
      </c>
      <c r="K18" s="61"/>
      <c r="L18" s="61"/>
      <c r="M18" s="61">
        <v>1977.79</v>
      </c>
      <c r="N18" s="63">
        <v>29666743.5</v>
      </c>
      <c r="O18" s="60"/>
      <c r="P18" s="60"/>
      <c r="Q18" s="59"/>
    </row>
    <row r="19" spans="1:22">
      <c r="A19" s="30"/>
      <c r="B19" s="59"/>
      <c r="C19" s="60"/>
      <c r="D19" s="60"/>
      <c r="E19" s="59"/>
      <c r="F19" s="46"/>
      <c r="G19" s="61"/>
      <c r="H19" s="61"/>
      <c r="I19" s="61"/>
      <c r="J19" s="61"/>
      <c r="K19" s="61"/>
      <c r="L19" s="61"/>
      <c r="M19" s="61"/>
      <c r="N19" s="63"/>
      <c r="O19" s="60"/>
      <c r="P19" s="60"/>
      <c r="Q19" s="59"/>
    </row>
    <row r="20" spans="1:22">
      <c r="A20" s="31" t="s">
        <v>24</v>
      </c>
      <c r="B20" s="51">
        <f>SUM(B22:B24)</f>
        <v>4627</v>
      </c>
      <c r="C20" s="52">
        <f>SUM(C21:C23)</f>
        <v>145.88999999999999</v>
      </c>
      <c r="D20" s="52">
        <f t="shared" ref="D20:Q20" si="2">SUM(D21:D23)</f>
        <v>0</v>
      </c>
      <c r="E20" s="51">
        <f t="shared" si="2"/>
        <v>0</v>
      </c>
      <c r="F20" s="73">
        <f t="shared" si="2"/>
        <v>0</v>
      </c>
      <c r="G20" s="53">
        <f t="shared" si="2"/>
        <v>139.63</v>
      </c>
      <c r="H20" s="53">
        <f t="shared" si="2"/>
        <v>129.37</v>
      </c>
      <c r="I20" s="54">
        <f t="shared" si="2"/>
        <v>0</v>
      </c>
      <c r="J20" s="70">
        <v>10</v>
      </c>
      <c r="K20" s="54">
        <f t="shared" si="2"/>
        <v>31</v>
      </c>
      <c r="L20" s="53">
        <f t="shared" si="2"/>
        <v>0</v>
      </c>
      <c r="M20" s="53">
        <f t="shared" si="2"/>
        <v>2188.35</v>
      </c>
      <c r="N20" s="54">
        <f t="shared" si="2"/>
        <v>32825250</v>
      </c>
      <c r="O20" s="52">
        <f t="shared" si="2"/>
        <v>0</v>
      </c>
      <c r="P20" s="52">
        <f t="shared" si="2"/>
        <v>0</v>
      </c>
      <c r="Q20" s="51">
        <f t="shared" si="2"/>
        <v>0</v>
      </c>
      <c r="S20" s="15"/>
    </row>
    <row r="21" spans="1:22">
      <c r="A21" s="40"/>
      <c r="B21" s="59"/>
      <c r="C21" s="60"/>
      <c r="D21" s="60"/>
      <c r="E21" s="59"/>
      <c r="F21" s="46"/>
      <c r="G21" s="57"/>
      <c r="H21" s="57"/>
      <c r="I21" s="57"/>
      <c r="J21" s="61"/>
      <c r="K21" s="61"/>
      <c r="L21" s="61"/>
      <c r="M21" s="61"/>
      <c r="N21" s="63"/>
      <c r="O21" s="60"/>
      <c r="P21" s="60"/>
      <c r="Q21" s="59"/>
      <c r="S21" s="15"/>
    </row>
    <row r="22" spans="1:22">
      <c r="A22" s="41" t="s">
        <v>30</v>
      </c>
      <c r="B22" s="59">
        <v>4505</v>
      </c>
      <c r="C22" s="60"/>
      <c r="D22" s="60"/>
      <c r="E22" s="59"/>
      <c r="F22" s="46"/>
      <c r="G22" s="61">
        <v>4</v>
      </c>
      <c r="H22" s="61">
        <v>4</v>
      </c>
      <c r="I22" s="61"/>
      <c r="J22" s="61"/>
      <c r="K22" s="61"/>
      <c r="L22" s="61"/>
      <c r="M22" s="61"/>
      <c r="N22" s="63"/>
      <c r="O22" s="60"/>
      <c r="P22" s="60"/>
      <c r="Q22" s="59"/>
      <c r="S22" s="15"/>
    </row>
    <row r="23" spans="1:22">
      <c r="A23" s="41" t="s">
        <v>29</v>
      </c>
      <c r="B23" s="59">
        <v>122</v>
      </c>
      <c r="C23" s="60">
        <v>145.88999999999999</v>
      </c>
      <c r="D23" s="60"/>
      <c r="E23" s="59"/>
      <c r="F23" s="46" t="s">
        <v>22</v>
      </c>
      <c r="G23" s="61">
        <v>135.63</v>
      </c>
      <c r="H23" s="61">
        <f>135.63-10.26</f>
        <v>125.36999999999999</v>
      </c>
      <c r="I23" s="61"/>
      <c r="J23" s="61">
        <v>10.26</v>
      </c>
      <c r="K23" s="61">
        <v>31</v>
      </c>
      <c r="L23" s="61"/>
      <c r="M23" s="61">
        <v>2188.35</v>
      </c>
      <c r="N23" s="63">
        <v>32825250</v>
      </c>
      <c r="O23" s="60"/>
      <c r="P23" s="60"/>
      <c r="Q23" s="59"/>
      <c r="S23" s="15"/>
    </row>
    <row r="24" spans="1:22" ht="15.75" thickBot="1">
      <c r="A24" s="41"/>
      <c r="B24" s="59"/>
      <c r="C24" s="60"/>
      <c r="D24" s="60"/>
      <c r="E24" s="59"/>
      <c r="F24" s="46"/>
      <c r="G24" s="61"/>
      <c r="H24" s="61"/>
      <c r="I24" s="61"/>
      <c r="J24" s="61"/>
      <c r="K24" s="61"/>
      <c r="L24" s="61"/>
      <c r="M24" s="61"/>
      <c r="N24" s="63"/>
      <c r="O24" s="60"/>
      <c r="P24" s="60"/>
      <c r="Q24" s="59"/>
      <c r="S24" s="15"/>
    </row>
    <row r="25" spans="1:22" ht="15.75" thickBot="1">
      <c r="A25" s="32" t="s">
        <v>25</v>
      </c>
      <c r="B25" s="49">
        <f t="shared" ref="B25:Q25" si="3">SUM(B20+B15+B10)</f>
        <v>102187</v>
      </c>
      <c r="C25" s="42">
        <f t="shared" si="3"/>
        <v>1694.69</v>
      </c>
      <c r="D25" s="43">
        <f t="shared" si="3"/>
        <v>0</v>
      </c>
      <c r="E25" s="42">
        <f t="shared" si="3"/>
        <v>0</v>
      </c>
      <c r="F25" s="74">
        <f t="shared" si="3"/>
        <v>0</v>
      </c>
      <c r="G25" s="42">
        <f t="shared" si="3"/>
        <v>1316.37</v>
      </c>
      <c r="H25" s="43">
        <f t="shared" si="3"/>
        <v>745.41</v>
      </c>
      <c r="I25" s="42">
        <f t="shared" si="3"/>
        <v>266</v>
      </c>
      <c r="J25" s="42">
        <f t="shared" si="3"/>
        <v>464.09</v>
      </c>
      <c r="K25" s="43">
        <f t="shared" si="3"/>
        <v>31</v>
      </c>
      <c r="L25" s="42">
        <f t="shared" si="3"/>
        <v>0</v>
      </c>
      <c r="M25" s="43">
        <f t="shared" si="3"/>
        <v>6046.28</v>
      </c>
      <c r="N25" s="42">
        <f t="shared" si="3"/>
        <v>99556713.5</v>
      </c>
      <c r="O25" s="43">
        <f t="shared" si="3"/>
        <v>0</v>
      </c>
      <c r="P25" s="42">
        <f t="shared" si="3"/>
        <v>0</v>
      </c>
      <c r="Q25" s="71">
        <f t="shared" si="3"/>
        <v>0</v>
      </c>
    </row>
    <row r="26" spans="1:22">
      <c r="A26" s="7"/>
      <c r="B26" s="7"/>
      <c r="C26" s="7"/>
      <c r="D26" s="7"/>
      <c r="E26" s="7"/>
      <c r="F26" s="1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2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2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2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22">
      <c r="A30" s="12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6"/>
    </row>
    <row r="31" spans="1:22">
      <c r="A31" s="11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36"/>
      <c r="V31" s="16"/>
    </row>
    <row r="32" spans="1:22">
      <c r="A32" s="11"/>
      <c r="B32" s="11"/>
      <c r="C32" s="14"/>
      <c r="D32" s="7"/>
      <c r="E32" s="7"/>
      <c r="F32" s="7"/>
      <c r="G32" s="1651"/>
      <c r="H32" s="1651"/>
      <c r="I32" s="1651"/>
      <c r="J32" s="1651"/>
      <c r="K32" s="1651"/>
      <c r="L32" s="7"/>
      <c r="M32" s="2"/>
      <c r="N32" s="7"/>
      <c r="O32" s="1651"/>
      <c r="P32" s="1651"/>
      <c r="Q32" s="7"/>
      <c r="R32" s="37"/>
      <c r="V32" s="16"/>
    </row>
    <row r="33" spans="1:22">
      <c r="A33" s="9"/>
      <c r="B33" s="8"/>
      <c r="C33" s="14"/>
      <c r="D33" s="7"/>
      <c r="E33" s="7"/>
      <c r="F33" s="7"/>
      <c r="G33" s="1652"/>
      <c r="H33" s="1652"/>
      <c r="I33" s="1652"/>
      <c r="J33" s="1652"/>
      <c r="K33" s="1652"/>
      <c r="L33" s="7"/>
      <c r="M33" s="2"/>
      <c r="N33" s="7"/>
      <c r="O33" s="1652"/>
      <c r="P33" s="1652"/>
      <c r="Q33" s="7"/>
      <c r="R33" s="38"/>
      <c r="V33" s="16"/>
    </row>
    <row r="34" spans="1:22" ht="15.7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1"/>
      <c r="N34" s="4"/>
      <c r="O34" s="4"/>
      <c r="P34" s="4"/>
      <c r="Q34" s="4"/>
      <c r="R34" s="39"/>
      <c r="V34" s="16"/>
    </row>
    <row r="35" spans="1:22" ht="15.75">
      <c r="M35" s="35"/>
      <c r="R35" s="36"/>
      <c r="V35" s="16"/>
    </row>
    <row r="36" spans="1:22">
      <c r="M36" s="1"/>
      <c r="R36" s="36"/>
      <c r="V36" s="16"/>
    </row>
    <row r="37" spans="1:22">
      <c r="M37" s="33"/>
      <c r="V37" s="16"/>
    </row>
    <row r="38" spans="1:22">
      <c r="M38" s="34"/>
      <c r="V38" s="16"/>
    </row>
  </sheetData>
  <mergeCells count="21">
    <mergeCell ref="A1:Q1"/>
    <mergeCell ref="A2:Q2"/>
    <mergeCell ref="A6:A8"/>
    <mergeCell ref="B6:B8"/>
    <mergeCell ref="C6:C8"/>
    <mergeCell ref="D6:D8"/>
    <mergeCell ref="E6:E8"/>
    <mergeCell ref="F6:N6"/>
    <mergeCell ref="O6:O8"/>
    <mergeCell ref="P6:Q7"/>
    <mergeCell ref="F7:F8"/>
    <mergeCell ref="G7:G8"/>
    <mergeCell ref="H7:H8"/>
    <mergeCell ref="I7:I8"/>
    <mergeCell ref="J7:K7"/>
    <mergeCell ref="M7:N7"/>
    <mergeCell ref="G32:K32"/>
    <mergeCell ref="O32:P32"/>
    <mergeCell ref="G33:K33"/>
    <mergeCell ref="O33:P33"/>
    <mergeCell ref="L7:L8"/>
  </mergeCells>
  <pageMargins left="1.2" right="0" top="0.5" bottom="0.5" header="0.3" footer="0.3"/>
  <pageSetup paperSize="5" scale="78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9"/>
  <sheetViews>
    <sheetView topLeftCell="A7" zoomScale="85" zoomScaleNormal="85" workbookViewId="0"/>
  </sheetViews>
  <sheetFormatPr defaultRowHeight="15"/>
  <cols>
    <col min="1" max="1" width="21.5703125" customWidth="1"/>
    <col min="2" max="2" width="16.28515625" customWidth="1"/>
    <col min="3" max="3" width="19.28515625" customWidth="1"/>
    <col min="4" max="4" width="41" customWidth="1"/>
    <col min="5" max="5" width="21.42578125" customWidth="1"/>
    <col min="6" max="6" width="13.140625" customWidth="1"/>
    <col min="7" max="7" width="15.42578125" customWidth="1"/>
    <col min="8" max="8" width="15" customWidth="1"/>
    <col min="9" max="9" width="11" customWidth="1"/>
    <col min="10" max="10" width="15" customWidth="1"/>
    <col min="11" max="11" width="15.140625" customWidth="1"/>
    <col min="12" max="12" width="12.5703125" customWidth="1"/>
    <col min="13" max="13" width="14.42578125" customWidth="1"/>
    <col min="14" max="14" width="12.7109375" customWidth="1"/>
    <col min="15" max="15" width="14.5703125" customWidth="1"/>
  </cols>
  <sheetData>
    <row r="1" spans="1:16" s="582" customFormat="1"/>
    <row r="2" spans="1:16" s="582" customFormat="1" ht="15.75">
      <c r="A2" s="1618" t="s">
        <v>554</v>
      </c>
      <c r="C2" s="582" t="s">
        <v>630</v>
      </c>
    </row>
    <row r="3" spans="1:16" s="582" customFormat="1" ht="15.75">
      <c r="A3" s="1699" t="s">
        <v>311</v>
      </c>
      <c r="B3" s="1701" t="s">
        <v>555</v>
      </c>
      <c r="C3" s="1701"/>
      <c r="D3" s="1701"/>
      <c r="E3" s="1701"/>
      <c r="F3" s="1701"/>
      <c r="G3" s="1701"/>
      <c r="H3" s="1701"/>
      <c r="I3" s="1701"/>
      <c r="J3" s="1701"/>
      <c r="K3" s="1701"/>
      <c r="L3" s="1701"/>
      <c r="M3" s="1701"/>
      <c r="N3" s="1701"/>
      <c r="O3" s="1701"/>
    </row>
    <row r="4" spans="1:16" ht="31.5">
      <c r="A4" s="1700"/>
      <c r="B4" s="1619" t="s">
        <v>313</v>
      </c>
      <c r="C4" s="1619" t="s">
        <v>314</v>
      </c>
      <c r="D4" s="1620" t="s">
        <v>201</v>
      </c>
      <c r="E4" s="1619" t="s">
        <v>544</v>
      </c>
      <c r="F4" s="1619" t="s">
        <v>203</v>
      </c>
      <c r="G4" s="1619" t="s">
        <v>198</v>
      </c>
      <c r="H4" s="1620" t="s">
        <v>556</v>
      </c>
      <c r="I4" s="1619" t="s">
        <v>557</v>
      </c>
      <c r="J4" s="1619" t="s">
        <v>558</v>
      </c>
      <c r="K4" s="1619" t="s">
        <v>559</v>
      </c>
      <c r="L4" s="1619" t="s">
        <v>546</v>
      </c>
      <c r="M4" s="1619" t="s">
        <v>315</v>
      </c>
      <c r="N4" s="1619" t="s">
        <v>208</v>
      </c>
      <c r="O4" s="1619" t="s">
        <v>560</v>
      </c>
      <c r="P4" s="582"/>
    </row>
    <row r="5" spans="1:16" ht="15.75">
      <c r="A5" s="1621" t="s">
        <v>29</v>
      </c>
      <c r="B5" s="1622">
        <v>7971.6</v>
      </c>
      <c r="C5" s="1622">
        <v>13151.15</v>
      </c>
      <c r="D5" s="1622">
        <v>92.1</v>
      </c>
      <c r="E5" s="1622">
        <v>26280</v>
      </c>
      <c r="F5" s="1622">
        <v>66</v>
      </c>
      <c r="G5" s="1622">
        <v>1482.4</v>
      </c>
      <c r="H5" s="1622"/>
      <c r="I5" s="1622"/>
      <c r="J5" s="1622"/>
      <c r="K5" s="1622"/>
      <c r="L5" s="1622"/>
      <c r="M5" s="1622"/>
      <c r="N5" s="1622"/>
      <c r="O5" s="1622"/>
      <c r="P5" s="582"/>
    </row>
    <row r="6" spans="1:16" ht="15.75">
      <c r="A6" s="1621" t="s">
        <v>21</v>
      </c>
      <c r="B6" s="1622">
        <v>865.25</v>
      </c>
      <c r="C6" s="1622">
        <v>4760.41</v>
      </c>
      <c r="D6" s="1622">
        <v>129.69999999999999</v>
      </c>
      <c r="E6" s="1622">
        <v>0.26</v>
      </c>
      <c r="F6" s="1622">
        <v>1.75</v>
      </c>
      <c r="G6" s="1623">
        <v>154.1</v>
      </c>
      <c r="H6" s="1622">
        <v>38.5</v>
      </c>
      <c r="I6" s="1622">
        <v>3.1</v>
      </c>
      <c r="J6" s="1622">
        <v>56.3</v>
      </c>
      <c r="K6" s="1622">
        <v>100.35</v>
      </c>
      <c r="L6" s="1622">
        <v>48.8</v>
      </c>
      <c r="M6" s="1622">
        <v>4.5</v>
      </c>
      <c r="N6" s="1622">
        <v>4.5</v>
      </c>
      <c r="O6" s="1622">
        <v>1.5</v>
      </c>
      <c r="P6" s="582"/>
    </row>
    <row r="7" spans="1:16" ht="15.75">
      <c r="A7" s="1621" t="s">
        <v>318</v>
      </c>
      <c r="B7" s="1622">
        <v>1073.4000000000001</v>
      </c>
      <c r="C7" s="1622">
        <v>1882.07</v>
      </c>
      <c r="D7" s="1622">
        <v>11.53</v>
      </c>
      <c r="E7" s="1622"/>
      <c r="F7" s="1622"/>
      <c r="G7" s="1622">
        <v>74.319999999999993</v>
      </c>
      <c r="H7" s="1622">
        <v>0.06</v>
      </c>
      <c r="I7" s="1622"/>
      <c r="J7" s="1622"/>
      <c r="K7" s="1622"/>
      <c r="L7" s="1622"/>
      <c r="M7" s="1622"/>
      <c r="N7" s="1622"/>
      <c r="O7" s="1622"/>
      <c r="P7" s="582"/>
    </row>
    <row r="8" spans="1:16" ht="15" customHeight="1">
      <c r="A8" s="1621" t="s">
        <v>319</v>
      </c>
      <c r="B8" s="1622"/>
      <c r="C8" s="1622">
        <v>629.5</v>
      </c>
      <c r="D8" s="1622">
        <v>2.75</v>
      </c>
      <c r="E8" s="1622"/>
      <c r="F8" s="1622"/>
      <c r="G8" s="1622"/>
      <c r="H8" s="1622">
        <v>2.75</v>
      </c>
      <c r="I8" s="1622"/>
      <c r="J8" s="1622">
        <v>4</v>
      </c>
      <c r="K8" s="1622"/>
      <c r="L8" s="1622"/>
      <c r="M8" s="1622"/>
      <c r="N8" s="1622"/>
      <c r="O8" s="1622"/>
      <c r="P8" s="582"/>
    </row>
    <row r="9" spans="1:16" ht="15" customHeight="1">
      <c r="A9" s="1624" t="s">
        <v>25</v>
      </c>
      <c r="B9" s="1622">
        <f t="shared" ref="B9:O9" si="0">SUM(B5:B8)</f>
        <v>9910.25</v>
      </c>
      <c r="C9" s="1622">
        <f t="shared" si="0"/>
        <v>20423.129999999997</v>
      </c>
      <c r="D9" s="1622">
        <f t="shared" si="0"/>
        <v>236.07999999999998</v>
      </c>
      <c r="E9" s="1622">
        <f t="shared" si="0"/>
        <v>26280.26</v>
      </c>
      <c r="F9" s="1622">
        <f t="shared" si="0"/>
        <v>67.75</v>
      </c>
      <c r="G9" s="1622">
        <f t="shared" si="0"/>
        <v>1710.82</v>
      </c>
      <c r="H9" s="1622">
        <f t="shared" si="0"/>
        <v>41.31</v>
      </c>
      <c r="I9" s="1622">
        <f t="shared" si="0"/>
        <v>3.1</v>
      </c>
      <c r="J9" s="1622">
        <f t="shared" si="0"/>
        <v>60.3</v>
      </c>
      <c r="K9" s="1622">
        <f t="shared" si="0"/>
        <v>100.35</v>
      </c>
      <c r="L9" s="1622">
        <f t="shared" si="0"/>
        <v>48.8</v>
      </c>
      <c r="M9" s="1622">
        <f t="shared" si="0"/>
        <v>4.5</v>
      </c>
      <c r="N9" s="1622">
        <f t="shared" si="0"/>
        <v>4.5</v>
      </c>
      <c r="O9" s="1622">
        <f t="shared" si="0"/>
        <v>1.5</v>
      </c>
      <c r="P9" s="582"/>
    </row>
    <row r="10" spans="1:16" ht="15.75">
      <c r="A10" s="1624" t="s">
        <v>357</v>
      </c>
      <c r="B10" s="1622">
        <f>B9+C9+D9+E9+F9+G9+H9+I9+J9+K9+L9+M9+N9+O9</f>
        <v>58892.65</v>
      </c>
      <c r="C10" s="1622"/>
      <c r="D10" s="1622"/>
      <c r="E10" s="1622"/>
      <c r="F10" s="1622"/>
      <c r="G10" s="1622"/>
      <c r="H10" s="1622"/>
      <c r="I10" s="1622"/>
      <c r="J10" s="1622"/>
      <c r="K10" s="1622"/>
      <c r="L10" s="1622"/>
      <c r="M10" s="1622"/>
      <c r="N10" s="1622"/>
      <c r="O10" s="1622"/>
      <c r="P10" s="582"/>
    </row>
    <row r="11" spans="1:16">
      <c r="A11" s="582"/>
      <c r="B11" s="582"/>
      <c r="C11" s="582"/>
      <c r="D11" s="582"/>
      <c r="E11" s="582"/>
      <c r="F11" s="582"/>
      <c r="G11" s="582"/>
      <c r="H11" s="582"/>
      <c r="I11" s="582"/>
      <c r="J11" s="582"/>
      <c r="K11" s="582"/>
      <c r="L11" s="582"/>
      <c r="M11" s="582"/>
      <c r="N11" s="582"/>
      <c r="O11" s="582"/>
      <c r="P11" s="582"/>
    </row>
    <row r="12" spans="1:16" ht="15.75">
      <c r="A12" s="1618" t="s">
        <v>561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2"/>
      <c r="N12" s="582"/>
      <c r="O12" s="582"/>
      <c r="P12" s="582"/>
    </row>
    <row r="13" spans="1:16" ht="15.75">
      <c r="A13" s="1699" t="s">
        <v>562</v>
      </c>
      <c r="B13" s="1701" t="s">
        <v>555</v>
      </c>
      <c r="C13" s="1701"/>
      <c r="D13" s="1701"/>
      <c r="E13" s="1701"/>
      <c r="F13" s="1701"/>
      <c r="G13" s="1701"/>
      <c r="H13" s="1701"/>
      <c r="I13" s="1701"/>
      <c r="J13" s="1701"/>
      <c r="K13" s="1701"/>
      <c r="L13" s="1701"/>
      <c r="M13" s="1701"/>
      <c r="N13" s="1701"/>
      <c r="O13" s="1701"/>
      <c r="P13" s="582"/>
    </row>
    <row r="14" spans="1:16" ht="31.5">
      <c r="A14" s="1700"/>
      <c r="B14" s="1619" t="s">
        <v>313</v>
      </c>
      <c r="C14" s="1619" t="s">
        <v>314</v>
      </c>
      <c r="D14" s="1620" t="s">
        <v>201</v>
      </c>
      <c r="E14" s="1619" t="s">
        <v>544</v>
      </c>
      <c r="F14" s="1619" t="s">
        <v>203</v>
      </c>
      <c r="G14" s="1619" t="s">
        <v>198</v>
      </c>
      <c r="H14" s="1620" t="s">
        <v>556</v>
      </c>
      <c r="I14" s="1619" t="s">
        <v>557</v>
      </c>
      <c r="J14" s="1619" t="s">
        <v>558</v>
      </c>
      <c r="K14" s="1619" t="s">
        <v>559</v>
      </c>
      <c r="L14" s="1619" t="s">
        <v>546</v>
      </c>
      <c r="M14" s="1619" t="s">
        <v>315</v>
      </c>
      <c r="N14" s="1619" t="s">
        <v>208</v>
      </c>
      <c r="O14" s="1619" t="s">
        <v>560</v>
      </c>
      <c r="P14" s="582"/>
    </row>
    <row r="15" spans="1:16" ht="15.75">
      <c r="A15" s="1625" t="s">
        <v>563</v>
      </c>
      <c r="B15" s="1626">
        <v>3050</v>
      </c>
      <c r="C15" s="1627">
        <v>2651</v>
      </c>
      <c r="D15" s="1627">
        <v>10</v>
      </c>
      <c r="E15" s="1627">
        <v>2318</v>
      </c>
      <c r="F15" s="1627"/>
      <c r="G15" s="1627">
        <v>134</v>
      </c>
      <c r="H15" s="1627"/>
      <c r="I15" s="1627"/>
      <c r="J15" s="1627"/>
      <c r="K15" s="1627"/>
      <c r="L15" s="1627"/>
      <c r="M15" s="1627"/>
      <c r="N15" s="1627"/>
      <c r="O15" s="1627"/>
      <c r="P15" s="582"/>
    </row>
    <row r="16" spans="1:16">
      <c r="A16" s="583" t="s">
        <v>304</v>
      </c>
      <c r="B16" s="1628">
        <v>2916.35</v>
      </c>
      <c r="C16" s="1628">
        <v>400</v>
      </c>
      <c r="D16" s="1628"/>
      <c r="E16" s="1628"/>
      <c r="F16" s="1628"/>
      <c r="G16" s="1628"/>
      <c r="H16" s="1629"/>
      <c r="I16" s="1629"/>
      <c r="J16" s="1629"/>
      <c r="K16" s="1629"/>
      <c r="L16" s="1629"/>
      <c r="M16" s="1629"/>
      <c r="N16" s="1629"/>
      <c r="O16" s="1629"/>
      <c r="P16" s="582"/>
    </row>
    <row r="17" spans="1:16">
      <c r="A17" s="583" t="s">
        <v>564</v>
      </c>
      <c r="B17" s="1628">
        <v>803</v>
      </c>
      <c r="C17" s="1628">
        <v>840</v>
      </c>
      <c r="D17" s="1628">
        <v>9</v>
      </c>
      <c r="E17" s="1628"/>
      <c r="F17" s="1628"/>
      <c r="G17" s="1628"/>
      <c r="H17" s="1629"/>
      <c r="I17" s="1629"/>
      <c r="J17" s="1629"/>
      <c r="K17" s="1629"/>
      <c r="L17" s="1629"/>
      <c r="M17" s="1629"/>
      <c r="N17" s="1629"/>
      <c r="O17" s="1629"/>
      <c r="P17" s="582"/>
    </row>
    <row r="18" spans="1:16">
      <c r="A18" s="583" t="s">
        <v>299</v>
      </c>
      <c r="B18" s="1628">
        <v>464.96</v>
      </c>
      <c r="C18" s="1628"/>
      <c r="D18" s="1628"/>
      <c r="E18" s="1628"/>
      <c r="F18" s="1628"/>
      <c r="G18" s="1628"/>
      <c r="H18" s="1629"/>
      <c r="I18" s="1629"/>
      <c r="J18" s="1629"/>
      <c r="K18" s="1629"/>
      <c r="L18" s="1629"/>
      <c r="M18" s="1629"/>
      <c r="N18" s="1629"/>
      <c r="O18" s="1629"/>
      <c r="P18" s="582"/>
    </row>
    <row r="19" spans="1:16">
      <c r="A19" s="583" t="s">
        <v>295</v>
      </c>
      <c r="B19" s="1628">
        <v>164.7</v>
      </c>
      <c r="C19" s="1628">
        <v>170.5</v>
      </c>
      <c r="D19" s="1628"/>
      <c r="E19" s="1628">
        <v>1657</v>
      </c>
      <c r="F19" s="1628"/>
      <c r="G19" s="1628"/>
      <c r="H19" s="1629"/>
      <c r="I19" s="1629"/>
      <c r="J19" s="1629"/>
      <c r="K19" s="1629"/>
      <c r="L19" s="1629"/>
      <c r="M19" s="1629"/>
      <c r="N19" s="1629"/>
      <c r="O19" s="1629"/>
      <c r="P19" s="582"/>
    </row>
    <row r="20" spans="1:16">
      <c r="A20" s="583" t="s">
        <v>494</v>
      </c>
      <c r="B20" s="1628"/>
      <c r="C20" s="1628">
        <v>2268</v>
      </c>
      <c r="D20" s="1628"/>
      <c r="E20" s="1628"/>
      <c r="F20" s="1628"/>
      <c r="G20" s="1628"/>
      <c r="H20" s="1629"/>
      <c r="I20" s="1629"/>
      <c r="J20" s="1629"/>
      <c r="K20" s="1629"/>
      <c r="L20" s="1629"/>
      <c r="M20" s="1629"/>
      <c r="N20" s="1629"/>
      <c r="O20" s="1629"/>
      <c r="P20" s="582"/>
    </row>
    <row r="21" spans="1:16">
      <c r="A21" s="583" t="s">
        <v>492</v>
      </c>
      <c r="B21" s="1628">
        <v>315</v>
      </c>
      <c r="C21" s="1628">
        <v>1469.6</v>
      </c>
      <c r="D21" s="1628"/>
      <c r="E21" s="1628"/>
      <c r="F21" s="1628"/>
      <c r="G21" s="1628"/>
      <c r="H21" s="1629"/>
      <c r="I21" s="1629"/>
      <c r="J21" s="1629"/>
      <c r="K21" s="1629"/>
      <c r="L21" s="1629"/>
      <c r="M21" s="1629"/>
      <c r="N21" s="1629"/>
      <c r="O21" s="1629"/>
      <c r="P21" s="582"/>
    </row>
    <row r="22" spans="1:16">
      <c r="A22" s="583" t="s">
        <v>343</v>
      </c>
      <c r="B22" s="1628">
        <v>42</v>
      </c>
      <c r="C22" s="1628">
        <v>810</v>
      </c>
      <c r="D22" s="1628"/>
      <c r="E22" s="1628"/>
      <c r="F22" s="1628"/>
      <c r="G22" s="1628"/>
      <c r="H22" s="1629"/>
      <c r="I22" s="1629"/>
      <c r="J22" s="1629"/>
      <c r="K22" s="1629"/>
      <c r="L22" s="1629"/>
      <c r="M22" s="1629"/>
      <c r="N22" s="1629"/>
      <c r="O22" s="1629"/>
      <c r="P22" s="582"/>
    </row>
    <row r="23" spans="1:16">
      <c r="A23" s="583" t="s">
        <v>487</v>
      </c>
      <c r="B23" s="1628">
        <v>44</v>
      </c>
      <c r="C23" s="1628">
        <v>461.5</v>
      </c>
      <c r="D23" s="1628">
        <v>9.5</v>
      </c>
      <c r="E23" s="1628">
        <v>8250</v>
      </c>
      <c r="F23" s="1628">
        <v>66</v>
      </c>
      <c r="G23" s="1628">
        <v>387</v>
      </c>
      <c r="H23" s="1629"/>
      <c r="I23" s="1629"/>
      <c r="J23" s="1629"/>
      <c r="K23" s="1629"/>
      <c r="L23" s="1629"/>
      <c r="M23" s="1629"/>
      <c r="N23" s="1629"/>
      <c r="O23" s="1629"/>
      <c r="P23" s="582"/>
    </row>
    <row r="24" spans="1:16">
      <c r="A24" s="583" t="s">
        <v>485</v>
      </c>
      <c r="B24" s="1628">
        <v>10</v>
      </c>
      <c r="C24" s="1628">
        <v>772.4</v>
      </c>
      <c r="D24" s="1628">
        <v>30.6</v>
      </c>
      <c r="E24" s="1628">
        <v>8140</v>
      </c>
      <c r="F24" s="1628"/>
      <c r="G24" s="1628">
        <v>757</v>
      </c>
      <c r="H24" s="1629"/>
      <c r="I24" s="1629"/>
      <c r="J24" s="1629"/>
      <c r="K24" s="1629"/>
      <c r="L24" s="1629"/>
      <c r="M24" s="1629"/>
      <c r="N24" s="1629"/>
      <c r="O24" s="1629"/>
      <c r="P24" s="582"/>
    </row>
    <row r="25" spans="1:16">
      <c r="A25" s="583" t="s">
        <v>504</v>
      </c>
      <c r="B25" s="1628"/>
      <c r="C25" s="1628">
        <v>138</v>
      </c>
      <c r="D25" s="1628"/>
      <c r="E25" s="1628">
        <v>5915</v>
      </c>
      <c r="F25" s="1628"/>
      <c r="G25" s="1628"/>
      <c r="H25" s="1629"/>
      <c r="I25" s="1629"/>
      <c r="J25" s="1629"/>
      <c r="K25" s="1629"/>
      <c r="L25" s="1629"/>
      <c r="M25" s="1629"/>
      <c r="N25" s="1629"/>
      <c r="O25" s="1629"/>
      <c r="P25" s="582"/>
    </row>
    <row r="26" spans="1:16">
      <c r="A26" s="583" t="s">
        <v>493</v>
      </c>
      <c r="B26" s="1628"/>
      <c r="C26" s="1628">
        <v>512.65</v>
      </c>
      <c r="D26" s="1628"/>
      <c r="E26" s="1628"/>
      <c r="F26" s="1628"/>
      <c r="G26" s="1628">
        <v>40</v>
      </c>
      <c r="H26" s="1629"/>
      <c r="I26" s="1629"/>
      <c r="J26" s="1629"/>
      <c r="K26" s="1629"/>
      <c r="L26" s="1629"/>
      <c r="M26" s="1629"/>
      <c r="N26" s="1629"/>
      <c r="O26" s="1629"/>
      <c r="P26" s="582"/>
    </row>
    <row r="27" spans="1:16">
      <c r="A27" s="583" t="s">
        <v>565</v>
      </c>
      <c r="B27" s="1628">
        <v>48</v>
      </c>
      <c r="C27" s="1628">
        <v>427</v>
      </c>
      <c r="D27" s="1628">
        <v>18</v>
      </c>
      <c r="E27" s="1628"/>
      <c r="F27" s="1628"/>
      <c r="G27" s="1628">
        <v>27.5</v>
      </c>
      <c r="H27" s="1629"/>
      <c r="I27" s="1629"/>
      <c r="J27" s="1629"/>
      <c r="K27" s="1629"/>
      <c r="L27" s="1629"/>
      <c r="M27" s="1629"/>
      <c r="N27" s="1629"/>
      <c r="O27" s="1629"/>
      <c r="P27" s="582"/>
    </row>
    <row r="28" spans="1:16">
      <c r="A28" s="583" t="s">
        <v>566</v>
      </c>
      <c r="B28" s="1628">
        <v>1</v>
      </c>
      <c r="C28" s="1628">
        <v>274</v>
      </c>
      <c r="D28" s="1628"/>
      <c r="E28" s="1628"/>
      <c r="F28" s="1628"/>
      <c r="G28" s="1628">
        <v>134</v>
      </c>
      <c r="H28" s="1629"/>
      <c r="I28" s="1629"/>
      <c r="J28" s="1629"/>
      <c r="K28" s="1629"/>
      <c r="L28" s="1629"/>
      <c r="M28" s="1629"/>
      <c r="N28" s="1629"/>
      <c r="O28" s="1629"/>
      <c r="P28" s="582"/>
    </row>
    <row r="29" spans="1:16">
      <c r="A29" s="583" t="s">
        <v>486</v>
      </c>
      <c r="B29" s="1628">
        <v>11.3</v>
      </c>
      <c r="C29" s="1628">
        <v>277.5</v>
      </c>
      <c r="D29" s="1628"/>
      <c r="E29" s="1628"/>
      <c r="F29" s="1628"/>
      <c r="G29" s="1628"/>
      <c r="H29" s="1629"/>
      <c r="I29" s="1629"/>
      <c r="J29" s="1629"/>
      <c r="K29" s="1629"/>
      <c r="L29" s="1629"/>
      <c r="M29" s="1629"/>
      <c r="N29" s="1629"/>
      <c r="O29" s="1629"/>
      <c r="P29" s="582"/>
    </row>
    <row r="30" spans="1:16">
      <c r="A30" s="583" t="s">
        <v>330</v>
      </c>
      <c r="B30" s="1628">
        <v>2.54</v>
      </c>
      <c r="C30" s="1628">
        <v>1510</v>
      </c>
      <c r="D30" s="1628">
        <v>15</v>
      </c>
      <c r="E30" s="1628"/>
      <c r="F30" s="1628"/>
      <c r="G30" s="1628">
        <v>2.9</v>
      </c>
      <c r="H30" s="1629"/>
      <c r="I30" s="1629"/>
      <c r="J30" s="1629"/>
      <c r="K30" s="1629"/>
      <c r="L30" s="1629"/>
      <c r="M30" s="1629"/>
      <c r="N30" s="1629"/>
      <c r="O30" s="1629"/>
      <c r="P30" s="582"/>
    </row>
    <row r="31" spans="1:16">
      <c r="A31" s="583" t="s">
        <v>287</v>
      </c>
      <c r="B31" s="1628">
        <v>68</v>
      </c>
      <c r="C31" s="1628"/>
      <c r="D31" s="1628"/>
      <c r="E31" s="1628"/>
      <c r="F31" s="1628"/>
      <c r="G31" s="1628"/>
      <c r="H31" s="1629"/>
      <c r="I31" s="1629"/>
      <c r="J31" s="1629"/>
      <c r="K31" s="1629"/>
      <c r="L31" s="1629"/>
      <c r="M31" s="1629"/>
      <c r="N31" s="1629"/>
      <c r="O31" s="1629"/>
      <c r="P31" s="582"/>
    </row>
    <row r="32" spans="1:16">
      <c r="A32" s="583" t="s">
        <v>567</v>
      </c>
      <c r="B32" s="1628">
        <v>30.75</v>
      </c>
      <c r="C32" s="1628"/>
      <c r="D32" s="1628"/>
      <c r="E32" s="1628"/>
      <c r="F32" s="1628"/>
      <c r="G32" s="1628"/>
      <c r="H32" s="1629"/>
      <c r="I32" s="1629"/>
      <c r="J32" s="1629"/>
      <c r="K32" s="1629"/>
      <c r="L32" s="1629"/>
      <c r="M32" s="1629"/>
      <c r="N32" s="1629"/>
      <c r="O32" s="1629"/>
      <c r="P32" s="582"/>
    </row>
    <row r="33" spans="1:16">
      <c r="A33" s="583" t="s">
        <v>302</v>
      </c>
      <c r="B33" s="1628"/>
      <c r="C33" s="1628">
        <v>205</v>
      </c>
      <c r="D33" s="1628"/>
      <c r="E33" s="1628"/>
      <c r="F33" s="1628"/>
      <c r="G33" s="1628"/>
      <c r="H33" s="1629"/>
      <c r="I33" s="1629"/>
      <c r="J33" s="1629"/>
      <c r="K33" s="1629"/>
      <c r="L33" s="1629"/>
      <c r="M33" s="1629"/>
      <c r="N33" s="1629"/>
      <c r="O33" s="1629"/>
      <c r="P33" s="582"/>
    </row>
    <row r="34" spans="1:16">
      <c r="A34" s="840" t="s">
        <v>25</v>
      </c>
      <c r="B34" s="1628">
        <f t="shared" ref="B34:G34" si="1">SUM(B15:B33)</f>
        <v>7971.6</v>
      </c>
      <c r="C34" s="1628">
        <f t="shared" si="1"/>
        <v>13187.15</v>
      </c>
      <c r="D34" s="1628">
        <f t="shared" si="1"/>
        <v>92.1</v>
      </c>
      <c r="E34" s="1628">
        <f t="shared" si="1"/>
        <v>26280</v>
      </c>
      <c r="F34" s="1628">
        <f t="shared" si="1"/>
        <v>66</v>
      </c>
      <c r="G34" s="1628">
        <f t="shared" si="1"/>
        <v>1482.4</v>
      </c>
      <c r="H34" s="1629"/>
      <c r="I34" s="1629"/>
      <c r="J34" s="1629"/>
      <c r="K34" s="1629"/>
      <c r="L34" s="1629"/>
      <c r="M34" s="1629"/>
      <c r="N34" s="1629"/>
      <c r="O34" s="1629"/>
      <c r="P34" s="582"/>
    </row>
    <row r="35" spans="1:16">
      <c r="A35" s="840" t="s">
        <v>357</v>
      </c>
      <c r="B35" s="1630">
        <f>B34+C34+D34+E34+F34+G34</f>
        <v>49079.25</v>
      </c>
      <c r="C35" s="1631"/>
      <c r="D35" s="1628"/>
      <c r="E35" s="1631"/>
      <c r="F35" s="1631"/>
      <c r="G35" s="1631"/>
      <c r="H35" s="1632"/>
      <c r="I35" s="1632"/>
      <c r="J35" s="1632"/>
      <c r="K35" s="1632"/>
      <c r="L35" s="1632"/>
      <c r="M35" s="1632"/>
      <c r="N35" s="1632"/>
      <c r="O35" s="1632"/>
      <c r="P35" s="582"/>
    </row>
    <row r="36" spans="1:16">
      <c r="A36" s="582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2"/>
      <c r="P36" s="582"/>
    </row>
    <row r="37" spans="1:16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2"/>
      <c r="P37" s="582"/>
    </row>
    <row r="38" spans="1:16" ht="15.75">
      <c r="A38" s="1618" t="s">
        <v>568</v>
      </c>
      <c r="B38" s="582"/>
      <c r="C38" s="582"/>
      <c r="D38" s="582"/>
      <c r="E38" s="582"/>
      <c r="F38" s="582"/>
      <c r="G38" s="582"/>
      <c r="H38" s="582"/>
      <c r="I38" s="582"/>
      <c r="J38" s="582"/>
      <c r="K38" s="582"/>
      <c r="L38" s="582"/>
      <c r="M38" s="582"/>
      <c r="N38" s="582"/>
      <c r="O38" s="582"/>
      <c r="P38" s="582"/>
    </row>
    <row r="39" spans="1:16" ht="15.75">
      <c r="A39" s="1699" t="s">
        <v>562</v>
      </c>
      <c r="B39" s="1701" t="s">
        <v>555</v>
      </c>
      <c r="C39" s="1701"/>
      <c r="D39" s="1701"/>
      <c r="E39" s="1701"/>
      <c r="F39" s="1701"/>
      <c r="G39" s="1701"/>
      <c r="H39" s="1701"/>
      <c r="I39" s="1701"/>
      <c r="J39" s="1701"/>
      <c r="K39" s="1701"/>
      <c r="L39" s="1701"/>
      <c r="M39" s="1701"/>
      <c r="N39" s="1701"/>
      <c r="O39" s="1701"/>
      <c r="P39" s="582"/>
    </row>
    <row r="40" spans="1:16" ht="31.5">
      <c r="A40" s="1700"/>
      <c r="B40" s="1619" t="s">
        <v>313</v>
      </c>
      <c r="C40" s="1619" t="s">
        <v>314</v>
      </c>
      <c r="D40" s="1620" t="s">
        <v>201</v>
      </c>
      <c r="E40" s="1619" t="s">
        <v>544</v>
      </c>
      <c r="F40" s="1619" t="s">
        <v>203</v>
      </c>
      <c r="G40" s="1619" t="s">
        <v>198</v>
      </c>
      <c r="H40" s="1620" t="s">
        <v>556</v>
      </c>
      <c r="I40" s="1619" t="s">
        <v>557</v>
      </c>
      <c r="J40" s="1619" t="s">
        <v>558</v>
      </c>
      <c r="K40" s="1619" t="s">
        <v>559</v>
      </c>
      <c r="L40" s="1619" t="s">
        <v>546</v>
      </c>
      <c r="M40" s="1619" t="s">
        <v>315</v>
      </c>
      <c r="N40" s="1619" t="s">
        <v>208</v>
      </c>
      <c r="O40" s="1619" t="s">
        <v>560</v>
      </c>
      <c r="P40" s="582"/>
    </row>
    <row r="41" spans="1:16">
      <c r="A41" s="583" t="s">
        <v>342</v>
      </c>
      <c r="B41" s="1632">
        <v>3.3</v>
      </c>
      <c r="C41" s="1632">
        <v>182.55</v>
      </c>
      <c r="D41" s="1632">
        <v>9.15</v>
      </c>
      <c r="E41" s="1632"/>
      <c r="F41" s="1632"/>
      <c r="G41" s="1632"/>
      <c r="H41" s="1632"/>
      <c r="I41" s="1632"/>
      <c r="J41" s="1632"/>
      <c r="K41" s="1632"/>
      <c r="L41" s="1632"/>
      <c r="M41" s="1632"/>
      <c r="N41" s="1632"/>
      <c r="O41" s="1632"/>
      <c r="P41" s="582"/>
    </row>
    <row r="42" spans="1:16">
      <c r="A42" s="583" t="s">
        <v>569</v>
      </c>
      <c r="B42" s="1632">
        <v>0.05</v>
      </c>
      <c r="C42" s="1632">
        <v>4.75</v>
      </c>
      <c r="D42" s="1632">
        <v>0.1</v>
      </c>
      <c r="E42" s="1632"/>
      <c r="F42" s="1632"/>
      <c r="G42" s="1632">
        <v>1.65</v>
      </c>
      <c r="H42" s="1632"/>
      <c r="I42" s="1632"/>
      <c r="J42" s="1632">
        <v>1.5</v>
      </c>
      <c r="K42" s="1632"/>
      <c r="L42" s="1632"/>
      <c r="M42" s="1632">
        <v>1.65</v>
      </c>
      <c r="N42" s="1632"/>
      <c r="O42" s="1632"/>
      <c r="P42" s="582"/>
    </row>
    <row r="43" spans="1:16">
      <c r="A43" s="583" t="s">
        <v>570</v>
      </c>
      <c r="B43" s="1632">
        <v>4.08</v>
      </c>
      <c r="C43" s="1632"/>
      <c r="D43" s="1632"/>
      <c r="E43" s="1632"/>
      <c r="F43" s="1632"/>
      <c r="G43" s="1632"/>
      <c r="H43" s="1632"/>
      <c r="I43" s="1632"/>
      <c r="J43" s="1632"/>
      <c r="K43" s="1632"/>
      <c r="L43" s="1632"/>
      <c r="M43" s="1632"/>
      <c r="N43" s="1632"/>
      <c r="O43" s="1632"/>
      <c r="P43" s="582"/>
    </row>
    <row r="44" spans="1:16">
      <c r="A44" s="583" t="s">
        <v>571</v>
      </c>
      <c r="B44" s="1632">
        <v>2</v>
      </c>
      <c r="C44" s="1632"/>
      <c r="D44" s="1632">
        <v>0.5</v>
      </c>
      <c r="E44" s="1632"/>
      <c r="F44" s="1632"/>
      <c r="G44" s="1632"/>
      <c r="H44" s="1632"/>
      <c r="I44" s="1632"/>
      <c r="J44" s="1632"/>
      <c r="K44" s="1632"/>
      <c r="L44" s="1632"/>
      <c r="M44" s="1632"/>
      <c r="N44" s="1632"/>
      <c r="O44" s="1632"/>
      <c r="P44" s="582"/>
    </row>
    <row r="45" spans="1:16">
      <c r="A45" s="583" t="s">
        <v>572</v>
      </c>
      <c r="B45" s="1632">
        <v>4.75</v>
      </c>
      <c r="C45" s="1632">
        <v>15.75</v>
      </c>
      <c r="D45" s="1632">
        <v>1.4</v>
      </c>
      <c r="E45" s="1632"/>
      <c r="F45" s="1632"/>
      <c r="G45" s="1632"/>
      <c r="H45" s="1632"/>
      <c r="I45" s="1632"/>
      <c r="J45" s="1632"/>
      <c r="K45" s="1632"/>
      <c r="L45" s="1632"/>
      <c r="M45" s="1632"/>
      <c r="N45" s="1632"/>
      <c r="O45" s="1632"/>
      <c r="P45" s="582"/>
    </row>
    <row r="46" spans="1:16">
      <c r="A46" s="583" t="s">
        <v>573</v>
      </c>
      <c r="B46" s="1632">
        <v>19</v>
      </c>
      <c r="C46" s="1632"/>
      <c r="D46" s="1632">
        <v>51.5</v>
      </c>
      <c r="E46" s="1632"/>
      <c r="F46" s="1632">
        <v>1.75</v>
      </c>
      <c r="G46" s="1632">
        <v>6.5</v>
      </c>
      <c r="H46" s="1632"/>
      <c r="I46" s="1632"/>
      <c r="J46" s="1632">
        <v>2</v>
      </c>
      <c r="K46" s="1632">
        <v>6</v>
      </c>
      <c r="L46" s="1632">
        <v>11.5</v>
      </c>
      <c r="M46" s="1632"/>
      <c r="N46" s="1632"/>
      <c r="O46" s="1632"/>
      <c r="P46" s="582"/>
    </row>
    <row r="47" spans="1:16">
      <c r="A47" s="583" t="s">
        <v>335</v>
      </c>
      <c r="B47" s="1632"/>
      <c r="C47" s="1632">
        <v>72.95</v>
      </c>
      <c r="D47" s="1632">
        <v>3.45</v>
      </c>
      <c r="E47" s="1632"/>
      <c r="F47" s="1632"/>
      <c r="G47" s="1632"/>
      <c r="H47" s="1632">
        <v>8</v>
      </c>
      <c r="I47" s="1632"/>
      <c r="J47" s="1632">
        <v>40</v>
      </c>
      <c r="K47" s="1632">
        <v>4.25</v>
      </c>
      <c r="L47" s="1632"/>
      <c r="M47" s="1632"/>
      <c r="N47" s="1632">
        <v>4.5</v>
      </c>
      <c r="O47" s="1632"/>
      <c r="P47" s="582"/>
    </row>
    <row r="48" spans="1:16">
      <c r="A48" s="583" t="s">
        <v>479</v>
      </c>
      <c r="B48" s="1632">
        <v>47.5</v>
      </c>
      <c r="C48" s="1629">
        <v>1948.05</v>
      </c>
      <c r="D48" s="1632">
        <v>1.5</v>
      </c>
      <c r="E48" s="1632"/>
      <c r="F48" s="1632"/>
      <c r="G48" s="1632"/>
      <c r="H48" s="1632"/>
      <c r="I48" s="1632"/>
      <c r="J48" s="1632"/>
      <c r="K48" s="1632"/>
      <c r="L48" s="1632"/>
      <c r="M48" s="1632"/>
      <c r="N48" s="1632"/>
      <c r="O48" s="1632"/>
      <c r="P48" s="582"/>
    </row>
    <row r="49" spans="1:16">
      <c r="A49" s="583" t="s">
        <v>339</v>
      </c>
      <c r="B49" s="1632"/>
      <c r="C49" s="1632">
        <v>16.600000000000001</v>
      </c>
      <c r="D49" s="1632">
        <v>0.6</v>
      </c>
      <c r="E49" s="1632">
        <v>0.26</v>
      </c>
      <c r="F49" s="1632"/>
      <c r="G49" s="1632"/>
      <c r="H49" s="1632"/>
      <c r="I49" s="1632"/>
      <c r="J49" s="1632"/>
      <c r="K49" s="1632"/>
      <c r="L49" s="1632"/>
      <c r="M49" s="1632"/>
      <c r="N49" s="1632"/>
      <c r="O49" s="1632"/>
      <c r="P49" s="582"/>
    </row>
    <row r="50" spans="1:16">
      <c r="A50" s="583" t="s">
        <v>338</v>
      </c>
      <c r="B50" s="1632"/>
      <c r="C50" s="1632">
        <v>4.5</v>
      </c>
      <c r="D50" s="1632"/>
      <c r="E50" s="1632"/>
      <c r="F50" s="1632"/>
      <c r="G50" s="1632"/>
      <c r="H50" s="1632"/>
      <c r="I50" s="1632"/>
      <c r="J50" s="1632"/>
      <c r="K50" s="1632"/>
      <c r="L50" s="1632"/>
      <c r="M50" s="1632"/>
      <c r="N50" s="1632"/>
      <c r="O50" s="1632"/>
      <c r="P50" s="582"/>
    </row>
    <row r="51" spans="1:16">
      <c r="A51" s="583" t="s">
        <v>484</v>
      </c>
      <c r="B51" s="1632"/>
      <c r="C51" s="1632">
        <v>1.5</v>
      </c>
      <c r="D51" s="1632"/>
      <c r="E51" s="1632"/>
      <c r="F51" s="1632"/>
      <c r="G51" s="1632"/>
      <c r="H51" s="1632"/>
      <c r="I51" s="1632"/>
      <c r="J51" s="1632"/>
      <c r="K51" s="1632"/>
      <c r="L51" s="1632"/>
      <c r="M51" s="1632"/>
      <c r="N51" s="1632"/>
      <c r="O51" s="1632"/>
      <c r="P51" s="582"/>
    </row>
    <row r="52" spans="1:16">
      <c r="A52" s="583" t="s">
        <v>483</v>
      </c>
      <c r="B52" s="1632">
        <v>151</v>
      </c>
      <c r="C52" s="1632">
        <v>164</v>
      </c>
      <c r="D52" s="1632">
        <v>1.5</v>
      </c>
      <c r="E52" s="1632"/>
      <c r="F52" s="1632"/>
      <c r="G52" s="1632"/>
      <c r="H52" s="1632"/>
      <c r="I52" s="1632"/>
      <c r="J52" s="1632"/>
      <c r="K52" s="1632"/>
      <c r="L52" s="1632"/>
      <c r="M52" s="1632"/>
      <c r="N52" s="1632"/>
      <c r="O52" s="1632"/>
      <c r="P52" s="582"/>
    </row>
    <row r="53" spans="1:16">
      <c r="A53" s="583" t="s">
        <v>340</v>
      </c>
      <c r="B53" s="1632">
        <v>347.05</v>
      </c>
      <c r="C53" s="1629">
        <v>1852.09</v>
      </c>
      <c r="D53" s="1632">
        <v>42</v>
      </c>
      <c r="E53" s="1632"/>
      <c r="F53" s="1632"/>
      <c r="G53" s="1632">
        <v>144.94999999999999</v>
      </c>
      <c r="H53" s="1632">
        <v>30.5</v>
      </c>
      <c r="I53" s="1632">
        <v>0.1</v>
      </c>
      <c r="J53" s="1632">
        <v>11.8</v>
      </c>
      <c r="K53" s="1632">
        <v>90.1</v>
      </c>
      <c r="L53" s="1632">
        <v>37.299999999999997</v>
      </c>
      <c r="M53" s="1632">
        <v>2.85</v>
      </c>
      <c r="N53" s="1632"/>
      <c r="O53" s="1632">
        <v>1.5</v>
      </c>
      <c r="P53" s="582"/>
    </row>
    <row r="54" spans="1:16">
      <c r="A54" s="583" t="s">
        <v>337</v>
      </c>
      <c r="B54" s="1632">
        <v>14.2</v>
      </c>
      <c r="C54" s="1632">
        <v>210</v>
      </c>
      <c r="D54" s="1632"/>
      <c r="E54" s="1632"/>
      <c r="F54" s="1632"/>
      <c r="G54" s="1632"/>
      <c r="H54" s="1632"/>
      <c r="I54" s="1632"/>
      <c r="J54" s="1632"/>
      <c r="K54" s="1632"/>
      <c r="L54" s="1632"/>
      <c r="M54" s="1632"/>
      <c r="N54" s="1632"/>
      <c r="O54" s="1632"/>
      <c r="P54" s="582"/>
    </row>
    <row r="55" spans="1:16">
      <c r="A55" s="583" t="s">
        <v>353</v>
      </c>
      <c r="B55" s="1632">
        <v>272.32</v>
      </c>
      <c r="C55" s="1632">
        <v>287.67</v>
      </c>
      <c r="D55" s="1632">
        <v>18</v>
      </c>
      <c r="E55" s="1632"/>
      <c r="F55" s="1632"/>
      <c r="G55" s="1632">
        <v>1</v>
      </c>
      <c r="H55" s="1632"/>
      <c r="I55" s="1632">
        <v>3</v>
      </c>
      <c r="J55" s="1632">
        <v>1</v>
      </c>
      <c r="K55" s="1632"/>
      <c r="L55" s="1632"/>
      <c r="M55" s="1632"/>
      <c r="N55" s="1632"/>
      <c r="O55" s="1632"/>
      <c r="P55" s="582"/>
    </row>
    <row r="56" spans="1:16">
      <c r="A56" s="840" t="s">
        <v>25</v>
      </c>
      <c r="B56" s="1632">
        <f t="shared" ref="B56:O56" si="2">SUM(B41:B55)</f>
        <v>865.25</v>
      </c>
      <c r="C56" s="1629">
        <f t="shared" si="2"/>
        <v>4760.41</v>
      </c>
      <c r="D56" s="1632">
        <f t="shared" si="2"/>
        <v>129.69999999999999</v>
      </c>
      <c r="E56" s="1632">
        <f t="shared" si="2"/>
        <v>0.26</v>
      </c>
      <c r="F56" s="1632">
        <f t="shared" si="2"/>
        <v>1.75</v>
      </c>
      <c r="G56" s="1632">
        <f t="shared" si="2"/>
        <v>154.1</v>
      </c>
      <c r="H56" s="1632">
        <f t="shared" si="2"/>
        <v>38.5</v>
      </c>
      <c r="I56" s="1632">
        <f t="shared" si="2"/>
        <v>3.1</v>
      </c>
      <c r="J56" s="1632">
        <f t="shared" si="2"/>
        <v>56.3</v>
      </c>
      <c r="K56" s="1632">
        <f t="shared" si="2"/>
        <v>100.35</v>
      </c>
      <c r="L56" s="1632">
        <f t="shared" si="2"/>
        <v>48.8</v>
      </c>
      <c r="M56" s="1632">
        <f t="shared" si="2"/>
        <v>4.5</v>
      </c>
      <c r="N56" s="1632">
        <f t="shared" si="2"/>
        <v>4.5</v>
      </c>
      <c r="O56" s="1632">
        <f t="shared" si="2"/>
        <v>1.5</v>
      </c>
      <c r="P56" s="582"/>
    </row>
    <row r="57" spans="1:16">
      <c r="A57" s="840" t="s">
        <v>357</v>
      </c>
      <c r="B57" s="1633">
        <f>B56+C56+D56+E56+F56+G56+H56+I56+J56+K56+L56+M56+N56+O56</f>
        <v>6169.0200000000013</v>
      </c>
      <c r="C57" s="1632"/>
      <c r="D57" s="1632"/>
      <c r="E57" s="1632"/>
      <c r="F57" s="1632"/>
      <c r="G57" s="1632"/>
      <c r="H57" s="1632"/>
      <c r="I57" s="1632"/>
      <c r="J57" s="1632"/>
      <c r="K57" s="1632"/>
      <c r="L57" s="1632"/>
      <c r="M57" s="1632"/>
      <c r="N57" s="1632"/>
      <c r="O57" s="1632"/>
      <c r="P57" s="582"/>
    </row>
    <row r="58" spans="1:16">
      <c r="A58" s="582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82"/>
      <c r="P58" s="582"/>
    </row>
    <row r="59" spans="1:16" ht="15.75">
      <c r="A59" s="1618" t="s">
        <v>574</v>
      </c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2"/>
      <c r="P59" s="582"/>
    </row>
    <row r="60" spans="1:16" ht="15.75">
      <c r="A60" s="1699" t="s">
        <v>562</v>
      </c>
      <c r="B60" s="1701" t="s">
        <v>555</v>
      </c>
      <c r="C60" s="1701"/>
      <c r="D60" s="1701"/>
      <c r="E60" s="1701"/>
      <c r="F60" s="1701"/>
      <c r="G60" s="1701"/>
      <c r="H60" s="1701"/>
      <c r="I60" s="1701"/>
      <c r="J60" s="1701"/>
      <c r="K60" s="1701"/>
      <c r="L60" s="1701"/>
      <c r="M60" s="1701"/>
      <c r="N60" s="1701"/>
      <c r="O60" s="1701"/>
      <c r="P60" s="582"/>
    </row>
    <row r="61" spans="1:16" ht="31.5">
      <c r="A61" s="1700"/>
      <c r="B61" s="1619" t="s">
        <v>313</v>
      </c>
      <c r="C61" s="1619" t="s">
        <v>314</v>
      </c>
      <c r="D61" s="1620" t="s">
        <v>201</v>
      </c>
      <c r="E61" s="1619" t="s">
        <v>544</v>
      </c>
      <c r="F61" s="1619" t="s">
        <v>203</v>
      </c>
      <c r="G61" s="1619" t="s">
        <v>198</v>
      </c>
      <c r="H61" s="1620" t="s">
        <v>556</v>
      </c>
      <c r="I61" s="1619" t="s">
        <v>557</v>
      </c>
      <c r="J61" s="1619" t="s">
        <v>558</v>
      </c>
      <c r="K61" s="1619" t="s">
        <v>559</v>
      </c>
      <c r="L61" s="1619" t="s">
        <v>546</v>
      </c>
      <c r="M61" s="1619" t="s">
        <v>315</v>
      </c>
      <c r="N61" s="1619" t="s">
        <v>208</v>
      </c>
      <c r="O61" s="1619" t="s">
        <v>560</v>
      </c>
      <c r="P61" s="582"/>
    </row>
    <row r="62" spans="1:16">
      <c r="A62" s="583" t="s">
        <v>498</v>
      </c>
      <c r="B62" s="1632"/>
      <c r="C62" s="1629">
        <v>1780</v>
      </c>
      <c r="D62" s="1632">
        <v>2</v>
      </c>
      <c r="E62" s="1632"/>
      <c r="F62" s="1632"/>
      <c r="G62" s="1632"/>
      <c r="H62" s="1632"/>
      <c r="I62" s="1632"/>
      <c r="J62" s="1632"/>
      <c r="K62" s="1632"/>
      <c r="L62" s="1632"/>
      <c r="M62" s="1632"/>
      <c r="N62" s="1632"/>
      <c r="O62" s="1632"/>
      <c r="P62" s="582"/>
    </row>
    <row r="63" spans="1:16">
      <c r="A63" s="583" t="s">
        <v>575</v>
      </c>
      <c r="B63" s="1629">
        <v>1038.2</v>
      </c>
      <c r="C63" s="1632">
        <v>21.3</v>
      </c>
      <c r="D63" s="1632"/>
      <c r="E63" s="1632"/>
      <c r="F63" s="1632"/>
      <c r="G63" s="1632"/>
      <c r="H63" s="1632"/>
      <c r="I63" s="1632"/>
      <c r="J63" s="1632"/>
      <c r="K63" s="1632"/>
      <c r="L63" s="1632"/>
      <c r="M63" s="1632"/>
      <c r="N63" s="1632"/>
      <c r="O63" s="1632"/>
      <c r="P63" s="582"/>
    </row>
    <row r="64" spans="1:16">
      <c r="A64" s="583" t="s">
        <v>576</v>
      </c>
      <c r="B64" s="1632"/>
      <c r="C64" s="1632">
        <v>14.25</v>
      </c>
      <c r="D64" s="1632"/>
      <c r="E64" s="1632"/>
      <c r="F64" s="1632"/>
      <c r="G64" s="1632"/>
      <c r="H64" s="1632"/>
      <c r="I64" s="1632"/>
      <c r="J64" s="1632"/>
      <c r="K64" s="1632"/>
      <c r="L64" s="1632"/>
      <c r="M64" s="1632"/>
      <c r="N64" s="1632"/>
      <c r="O64" s="1632"/>
      <c r="P64" s="582"/>
    </row>
    <row r="65" spans="1:16">
      <c r="A65" s="583" t="s">
        <v>577</v>
      </c>
      <c r="B65" s="1632"/>
      <c r="C65" s="1632">
        <v>0.02</v>
      </c>
      <c r="D65" s="1632"/>
      <c r="E65" s="1632"/>
      <c r="F65" s="1632"/>
      <c r="G65" s="1632">
        <v>1.1200000000000001</v>
      </c>
      <c r="H65" s="1632">
        <v>0.06</v>
      </c>
      <c r="I65" s="1632"/>
      <c r="J65" s="1632"/>
      <c r="K65" s="1632"/>
      <c r="L65" s="1632"/>
      <c r="M65" s="1632"/>
      <c r="N65" s="1632"/>
      <c r="O65" s="1632"/>
      <c r="P65" s="582"/>
    </row>
    <row r="66" spans="1:16">
      <c r="A66" s="583" t="s">
        <v>346</v>
      </c>
      <c r="B66" s="1632"/>
      <c r="C66" s="1632">
        <v>66.5</v>
      </c>
      <c r="D66" s="1632"/>
      <c r="E66" s="1632"/>
      <c r="F66" s="1632"/>
      <c r="G66" s="1632">
        <v>72.5</v>
      </c>
      <c r="H66" s="1632"/>
      <c r="I66" s="1632"/>
      <c r="J66" s="1632"/>
      <c r="K66" s="1632"/>
      <c r="L66" s="1632"/>
      <c r="M66" s="1632"/>
      <c r="N66" s="1632"/>
      <c r="O66" s="1632"/>
      <c r="P66" s="582"/>
    </row>
    <row r="67" spans="1:16">
      <c r="A67" s="583" t="s">
        <v>578</v>
      </c>
      <c r="B67" s="1632">
        <v>28.2</v>
      </c>
      <c r="C67" s="1632"/>
      <c r="D67" s="1632">
        <v>7.53</v>
      </c>
      <c r="E67" s="1632"/>
      <c r="F67" s="1632"/>
      <c r="G67" s="1632"/>
      <c r="H67" s="1632"/>
      <c r="I67" s="1632"/>
      <c r="J67" s="1632"/>
      <c r="K67" s="1632"/>
      <c r="L67" s="1632"/>
      <c r="M67" s="1632"/>
      <c r="N67" s="1632"/>
      <c r="O67" s="1632"/>
      <c r="P67" s="582"/>
    </row>
    <row r="68" spans="1:16">
      <c r="A68" s="583" t="s">
        <v>349</v>
      </c>
      <c r="B68" s="1632">
        <v>2</v>
      </c>
      <c r="C68" s="1632"/>
      <c r="D68" s="1632"/>
      <c r="E68" s="1632"/>
      <c r="F68" s="1632"/>
      <c r="G68" s="1632">
        <v>0.7</v>
      </c>
      <c r="H68" s="1632"/>
      <c r="I68" s="1632"/>
      <c r="J68" s="1632"/>
      <c r="K68" s="1632"/>
      <c r="L68" s="1632"/>
      <c r="M68" s="1632"/>
      <c r="N68" s="1632"/>
      <c r="O68" s="1632"/>
      <c r="P68" s="582"/>
    </row>
    <row r="69" spans="1:16">
      <c r="A69" s="583" t="s">
        <v>579</v>
      </c>
      <c r="B69" s="1632">
        <v>5</v>
      </c>
      <c r="C69" s="1632"/>
      <c r="D69" s="1632">
        <v>2</v>
      </c>
      <c r="E69" s="1632"/>
      <c r="F69" s="1632"/>
      <c r="G69" s="1632"/>
      <c r="H69" s="1632"/>
      <c r="I69" s="1632"/>
      <c r="J69" s="1632"/>
      <c r="K69" s="1632"/>
      <c r="L69" s="1632"/>
      <c r="M69" s="1632"/>
      <c r="N69" s="1632"/>
      <c r="O69" s="1632"/>
      <c r="P69" s="582"/>
    </row>
    <row r="70" spans="1:16">
      <c r="A70" s="840" t="s">
        <v>25</v>
      </c>
      <c r="B70" s="1629">
        <f>SUM(B62:B69)</f>
        <v>1073.4000000000001</v>
      </c>
      <c r="C70" s="1634">
        <f>SUM(C62:C69)</f>
        <v>1882.07</v>
      </c>
      <c r="D70" s="1632">
        <f>SUM(D62:D69)</f>
        <v>11.530000000000001</v>
      </c>
      <c r="E70" s="1632"/>
      <c r="F70" s="1632"/>
      <c r="G70" s="1632">
        <f>SUM(G62:G69)</f>
        <v>74.320000000000007</v>
      </c>
      <c r="H70" s="1632">
        <f>SUM(H62:H69)</f>
        <v>0.06</v>
      </c>
      <c r="I70" s="1632"/>
      <c r="J70" s="1632"/>
      <c r="K70" s="1632"/>
      <c r="L70" s="1632"/>
      <c r="M70" s="1632"/>
      <c r="N70" s="1632"/>
      <c r="O70" s="1632"/>
      <c r="P70" s="582"/>
    </row>
    <row r="71" spans="1:16">
      <c r="A71" s="840" t="s">
        <v>357</v>
      </c>
      <c r="B71" s="1634">
        <f>B70+C70+D70+G70+H70</f>
        <v>3041.3800000000006</v>
      </c>
      <c r="C71" s="1632"/>
      <c r="D71" s="1632"/>
      <c r="E71" s="1632"/>
      <c r="F71" s="1632"/>
      <c r="G71" s="1632"/>
      <c r="H71" s="1632"/>
      <c r="I71" s="1632"/>
      <c r="J71" s="1632"/>
      <c r="K71" s="1632"/>
      <c r="L71" s="1632"/>
      <c r="M71" s="1632"/>
      <c r="N71" s="1632"/>
      <c r="O71" s="1632"/>
      <c r="P71" s="582"/>
    </row>
    <row r="72" spans="1:16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2"/>
      <c r="P72" s="582"/>
    </row>
    <row r="73" spans="1:16" ht="15.75">
      <c r="A73" s="1618" t="s">
        <v>580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</row>
    <row r="74" spans="1:16" ht="15.75">
      <c r="A74" s="1699" t="s">
        <v>562</v>
      </c>
      <c r="B74" s="1701" t="s">
        <v>555</v>
      </c>
      <c r="C74" s="1701"/>
      <c r="D74" s="1701"/>
      <c r="E74" s="1701"/>
      <c r="F74" s="1701"/>
      <c r="G74" s="1701"/>
      <c r="H74" s="1701"/>
      <c r="I74" s="1701"/>
      <c r="J74" s="1701"/>
      <c r="K74" s="1701"/>
      <c r="L74" s="1701"/>
      <c r="M74" s="1701"/>
      <c r="N74" s="1701"/>
      <c r="O74" s="1701"/>
      <c r="P74" s="582"/>
    </row>
    <row r="75" spans="1:16" ht="31.5">
      <c r="A75" s="1700"/>
      <c r="B75" s="1619" t="s">
        <v>313</v>
      </c>
      <c r="C75" s="1619" t="s">
        <v>314</v>
      </c>
      <c r="D75" s="1620" t="s">
        <v>201</v>
      </c>
      <c r="E75" s="1619" t="s">
        <v>544</v>
      </c>
      <c r="F75" s="1619" t="s">
        <v>203</v>
      </c>
      <c r="G75" s="1619" t="s">
        <v>198</v>
      </c>
      <c r="H75" s="1620" t="s">
        <v>556</v>
      </c>
      <c r="I75" s="1619" t="s">
        <v>557</v>
      </c>
      <c r="J75" s="1619" t="s">
        <v>558</v>
      </c>
      <c r="K75" s="1619" t="s">
        <v>559</v>
      </c>
      <c r="L75" s="1619" t="s">
        <v>546</v>
      </c>
      <c r="M75" s="1619" t="s">
        <v>315</v>
      </c>
      <c r="N75" s="1619" t="s">
        <v>208</v>
      </c>
      <c r="O75" s="1619" t="s">
        <v>560</v>
      </c>
      <c r="P75" s="582"/>
    </row>
    <row r="76" spans="1:16">
      <c r="A76" s="583" t="s">
        <v>330</v>
      </c>
      <c r="B76" s="1632"/>
      <c r="C76" s="1632">
        <v>588</v>
      </c>
      <c r="D76" s="1632">
        <v>2.75</v>
      </c>
      <c r="E76" s="1632"/>
      <c r="F76" s="1632"/>
      <c r="G76" s="1632"/>
      <c r="H76" s="1632">
        <v>2.75</v>
      </c>
      <c r="I76" s="1632"/>
      <c r="J76" s="1632"/>
      <c r="K76" s="1632"/>
      <c r="L76" s="1632"/>
      <c r="M76" s="1632"/>
      <c r="N76" s="1632"/>
      <c r="O76" s="1632"/>
      <c r="P76" s="582"/>
    </row>
    <row r="77" spans="1:16">
      <c r="A77" s="583" t="s">
        <v>512</v>
      </c>
      <c r="B77" s="1632"/>
      <c r="C77" s="1632">
        <v>33</v>
      </c>
      <c r="D77" s="1632"/>
      <c r="E77" s="1632"/>
      <c r="F77" s="1632"/>
      <c r="G77" s="1632"/>
      <c r="H77" s="1632"/>
      <c r="I77" s="1632"/>
      <c r="J77" s="1632"/>
      <c r="K77" s="1632"/>
      <c r="L77" s="1632"/>
      <c r="M77" s="1632"/>
      <c r="N77" s="1632"/>
      <c r="O77" s="1632"/>
      <c r="P77" s="582"/>
    </row>
    <row r="78" spans="1:16">
      <c r="A78" s="583" t="s">
        <v>581</v>
      </c>
      <c r="B78" s="1632"/>
      <c r="C78" s="1632">
        <v>8.5</v>
      </c>
      <c r="D78" s="1632"/>
      <c r="E78" s="1632"/>
      <c r="F78" s="1632"/>
      <c r="G78" s="1632"/>
      <c r="H78" s="1632"/>
      <c r="I78" s="1632"/>
      <c r="J78" s="1632">
        <v>4</v>
      </c>
      <c r="K78" s="1632"/>
      <c r="L78" s="1632"/>
      <c r="M78" s="1632"/>
      <c r="N78" s="1632"/>
      <c r="O78" s="1632"/>
      <c r="P78" s="582"/>
    </row>
    <row r="79" spans="1:16">
      <c r="A79" s="840" t="s">
        <v>25</v>
      </c>
      <c r="B79" s="1632"/>
      <c r="C79" s="1632">
        <f>SUM(C76:C78)</f>
        <v>629.5</v>
      </c>
      <c r="D79" s="1632">
        <f>SUM(D76:D78)</f>
        <v>2.75</v>
      </c>
      <c r="E79" s="1632"/>
      <c r="F79" s="1632"/>
      <c r="G79" s="1632"/>
      <c r="H79" s="1632">
        <f>SUM(H76:H78)</f>
        <v>2.75</v>
      </c>
      <c r="I79" s="1632"/>
      <c r="J79" s="1632">
        <f>SUM(J76:J78)</f>
        <v>4</v>
      </c>
      <c r="K79" s="1632"/>
      <c r="L79" s="1632"/>
      <c r="M79" s="1632"/>
      <c r="N79" s="1632"/>
      <c r="O79" s="1632"/>
      <c r="P79" s="582"/>
    </row>
    <row r="80" spans="1:16">
      <c r="A80" s="840" t="s">
        <v>357</v>
      </c>
      <c r="B80" s="1632">
        <f>C79+D79+H79+J79</f>
        <v>639</v>
      </c>
      <c r="C80" s="1632"/>
      <c r="D80" s="1632"/>
      <c r="E80" s="1632"/>
      <c r="F80" s="1632"/>
      <c r="G80" s="1632"/>
      <c r="H80" s="1632"/>
      <c r="I80" s="1632"/>
      <c r="J80" s="1632"/>
      <c r="K80" s="1632"/>
      <c r="L80" s="1632"/>
      <c r="M80" s="1632"/>
      <c r="N80" s="1632"/>
      <c r="O80" s="1632"/>
      <c r="P80" s="582"/>
    </row>
    <row r="81" spans="1:16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2"/>
      <c r="P81" s="582"/>
    </row>
    <row r="82" spans="1:16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</row>
    <row r="83" spans="1:16">
      <c r="A83" s="1635" t="s">
        <v>582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</row>
    <row r="84" spans="1:16" ht="31.5">
      <c r="A84" s="1699" t="s">
        <v>562</v>
      </c>
      <c r="B84" s="1699" t="s">
        <v>583</v>
      </c>
      <c r="C84" s="1699"/>
      <c r="D84" s="1636" t="s">
        <v>584</v>
      </c>
      <c r="E84" s="1699" t="s">
        <v>585</v>
      </c>
      <c r="F84" s="1699"/>
      <c r="G84" s="1636" t="s">
        <v>584</v>
      </c>
      <c r="H84" s="1699" t="s">
        <v>544</v>
      </c>
      <c r="I84" s="1699"/>
      <c r="J84" s="1636" t="s">
        <v>584</v>
      </c>
      <c r="K84" s="1699" t="s">
        <v>198</v>
      </c>
      <c r="L84" s="1699"/>
      <c r="M84" s="1636" t="s">
        <v>584</v>
      </c>
      <c r="N84" s="582"/>
      <c r="O84" s="582"/>
      <c r="P84" s="582"/>
    </row>
    <row r="85" spans="1:16" ht="15.75">
      <c r="A85" s="1699"/>
      <c r="B85" s="1637" t="s">
        <v>586</v>
      </c>
      <c r="C85" s="1637" t="s">
        <v>587</v>
      </c>
      <c r="D85" s="1637" t="s">
        <v>116</v>
      </c>
      <c r="E85" s="1637" t="s">
        <v>586</v>
      </c>
      <c r="F85" s="1637" t="s">
        <v>587</v>
      </c>
      <c r="G85" s="1637" t="s">
        <v>116</v>
      </c>
      <c r="H85" s="1637" t="s">
        <v>586</v>
      </c>
      <c r="I85" s="1637" t="s">
        <v>587</v>
      </c>
      <c r="J85" s="1637" t="s">
        <v>116</v>
      </c>
      <c r="K85" s="1637" t="s">
        <v>588</v>
      </c>
      <c r="L85" s="1637" t="s">
        <v>587</v>
      </c>
      <c r="M85" s="1637" t="s">
        <v>116</v>
      </c>
      <c r="N85" s="582"/>
      <c r="O85" s="582"/>
      <c r="P85" s="582"/>
    </row>
    <row r="86" spans="1:16">
      <c r="A86" s="583" t="s">
        <v>563</v>
      </c>
      <c r="B86" s="1638">
        <v>4.9000000000000004</v>
      </c>
      <c r="C86" s="1638">
        <v>2.7</v>
      </c>
      <c r="D86" s="1629">
        <v>61132248</v>
      </c>
      <c r="E86" s="1638">
        <v>3</v>
      </c>
      <c r="F86" s="1638">
        <v>0.63</v>
      </c>
      <c r="G86" s="1629">
        <v>57685265.630000003</v>
      </c>
      <c r="H86" s="1638">
        <v>0.2</v>
      </c>
      <c r="I86" s="1638">
        <v>0.02</v>
      </c>
      <c r="J86" s="1629">
        <v>13341295.359999999</v>
      </c>
      <c r="K86" s="1638">
        <v>0.18</v>
      </c>
      <c r="L86" s="1638"/>
      <c r="M86" s="1638"/>
      <c r="N86" s="582"/>
      <c r="O86" s="582"/>
      <c r="P86" s="582"/>
    </row>
    <row r="87" spans="1:16">
      <c r="A87" s="583" t="s">
        <v>304</v>
      </c>
      <c r="B87" s="1638">
        <v>6</v>
      </c>
      <c r="C87" s="1638">
        <v>3.3</v>
      </c>
      <c r="D87" s="1629">
        <v>123912387.52</v>
      </c>
      <c r="E87" s="1638"/>
      <c r="F87" s="1638"/>
      <c r="G87" s="1638"/>
      <c r="H87" s="1638"/>
      <c r="I87" s="1638"/>
      <c r="J87" s="1638"/>
      <c r="K87" s="1638"/>
      <c r="L87" s="1638"/>
      <c r="M87" s="1638"/>
      <c r="N87" s="582"/>
      <c r="O87" s="582"/>
      <c r="P87" s="582"/>
    </row>
    <row r="88" spans="1:16">
      <c r="A88" s="583" t="s">
        <v>564</v>
      </c>
      <c r="B88" s="1638">
        <v>2.4700000000000002</v>
      </c>
      <c r="C88" s="1638">
        <v>1.36</v>
      </c>
      <c r="D88" s="1629">
        <v>16094818.08</v>
      </c>
      <c r="E88" s="1638">
        <v>3</v>
      </c>
      <c r="F88" s="1638">
        <v>0.63</v>
      </c>
      <c r="G88" s="1629">
        <v>18529875</v>
      </c>
      <c r="H88" s="1638"/>
      <c r="I88" s="1638"/>
      <c r="J88" s="1638"/>
      <c r="K88" s="1638"/>
      <c r="L88" s="1638"/>
      <c r="M88" s="1638"/>
      <c r="N88" s="582"/>
      <c r="O88" s="582"/>
      <c r="P88" s="582"/>
    </row>
    <row r="89" spans="1:16">
      <c r="A89" s="583" t="s">
        <v>299</v>
      </c>
      <c r="B89" s="1638">
        <v>5.89</v>
      </c>
      <c r="C89" s="1638">
        <v>4.12</v>
      </c>
      <c r="D89" s="1629">
        <v>844181.38</v>
      </c>
      <c r="E89" s="1638"/>
      <c r="F89" s="1638"/>
      <c r="G89" s="1638"/>
      <c r="H89" s="1638"/>
      <c r="I89" s="1638"/>
      <c r="J89" s="1638"/>
      <c r="K89" s="1638"/>
      <c r="L89" s="1638"/>
      <c r="M89" s="1638"/>
      <c r="N89" s="582"/>
      <c r="O89" s="582"/>
      <c r="P89" s="582"/>
    </row>
    <row r="90" spans="1:16">
      <c r="A90" s="583" t="s">
        <v>295</v>
      </c>
      <c r="B90" s="1638">
        <v>4.59</v>
      </c>
      <c r="C90" s="1638">
        <v>2.52</v>
      </c>
      <c r="D90" s="1629">
        <v>3948541.92</v>
      </c>
      <c r="E90" s="1638">
        <v>3</v>
      </c>
      <c r="F90" s="1638">
        <v>0.63</v>
      </c>
      <c r="G90" s="1629">
        <v>46554281.299999997</v>
      </c>
      <c r="H90" s="1638">
        <v>0.2</v>
      </c>
      <c r="I90" s="1638">
        <v>0.02</v>
      </c>
      <c r="J90" s="1629">
        <v>9536896.6400000006</v>
      </c>
      <c r="K90" s="1638"/>
      <c r="L90" s="1638"/>
      <c r="M90" s="1638"/>
      <c r="N90" s="582"/>
      <c r="O90" s="582"/>
      <c r="P90" s="582"/>
    </row>
    <row r="91" spans="1:16">
      <c r="A91" s="583" t="s">
        <v>494</v>
      </c>
      <c r="B91" s="1638"/>
      <c r="C91" s="1638"/>
      <c r="D91" s="1638"/>
      <c r="E91" s="1638">
        <v>3</v>
      </c>
      <c r="F91" s="1638">
        <v>1.5</v>
      </c>
      <c r="G91" s="1629">
        <v>60606630</v>
      </c>
      <c r="H91" s="1638"/>
      <c r="I91" s="1638"/>
      <c r="J91" s="1638"/>
      <c r="K91" s="1638"/>
      <c r="L91" s="1638"/>
      <c r="M91" s="1638"/>
      <c r="N91" s="582"/>
      <c r="O91" s="582"/>
      <c r="P91" s="582"/>
    </row>
    <row r="92" spans="1:16">
      <c r="A92" s="583" t="s">
        <v>492</v>
      </c>
      <c r="B92" s="1638">
        <v>4.0199999999999996</v>
      </c>
      <c r="C92" s="1638">
        <v>2.0099999999999998</v>
      </c>
      <c r="D92" s="1629">
        <v>11635758</v>
      </c>
      <c r="E92" s="1638">
        <v>2</v>
      </c>
      <c r="F92" s="1638">
        <v>0.4</v>
      </c>
      <c r="G92" s="1629">
        <v>28216320</v>
      </c>
      <c r="H92" s="1638"/>
      <c r="I92" s="1638"/>
      <c r="J92" s="1638"/>
      <c r="K92" s="1638"/>
      <c r="L92" s="1638"/>
      <c r="M92" s="1638"/>
      <c r="N92" s="582"/>
      <c r="O92" s="582"/>
      <c r="P92" s="582"/>
    </row>
    <row r="93" spans="1:16">
      <c r="A93" s="583" t="s">
        <v>343</v>
      </c>
      <c r="B93" s="1638">
        <v>1.93</v>
      </c>
      <c r="C93" s="1638">
        <v>1.25</v>
      </c>
      <c r="D93" s="1629">
        <v>69576.66</v>
      </c>
      <c r="E93" s="1638">
        <v>3</v>
      </c>
      <c r="F93" s="1638">
        <v>0.62</v>
      </c>
      <c r="G93" s="1629">
        <v>17868093.75</v>
      </c>
      <c r="H93" s="1638"/>
      <c r="I93" s="1638"/>
      <c r="J93" s="1638"/>
      <c r="K93" s="1638"/>
      <c r="L93" s="1638"/>
      <c r="M93" s="1638"/>
      <c r="N93" s="582"/>
      <c r="O93" s="582"/>
      <c r="P93" s="582"/>
    </row>
    <row r="94" spans="1:16">
      <c r="A94" s="583" t="s">
        <v>487</v>
      </c>
      <c r="B94" s="1638">
        <v>2.4700000000000002</v>
      </c>
      <c r="C94" s="1638">
        <v>1.61</v>
      </c>
      <c r="D94" s="1629">
        <v>638604.12</v>
      </c>
      <c r="E94" s="1638">
        <v>3</v>
      </c>
      <c r="F94" s="1638">
        <v>0.75</v>
      </c>
      <c r="G94" s="1629">
        <v>10180401.65</v>
      </c>
      <c r="H94" s="1638">
        <v>0.2</v>
      </c>
      <c r="I94" s="1638">
        <v>0.02</v>
      </c>
      <c r="J94" s="1629">
        <v>2446096</v>
      </c>
      <c r="K94" s="1638">
        <v>0.18</v>
      </c>
      <c r="L94" s="1638">
        <v>0.02</v>
      </c>
      <c r="M94" s="1629">
        <v>884173.48</v>
      </c>
      <c r="N94" s="582"/>
      <c r="O94" s="582"/>
      <c r="P94" s="582"/>
    </row>
    <row r="95" spans="1:16">
      <c r="A95" s="583" t="s">
        <v>485</v>
      </c>
      <c r="B95" s="1638">
        <v>3.95</v>
      </c>
      <c r="C95" s="1638">
        <v>2.17</v>
      </c>
      <c r="D95" s="1629">
        <v>23049864</v>
      </c>
      <c r="E95" s="1638">
        <v>3</v>
      </c>
      <c r="F95" s="1638">
        <v>0.75</v>
      </c>
      <c r="G95" s="1629">
        <v>17038661.25</v>
      </c>
      <c r="H95" s="1638">
        <v>0.2</v>
      </c>
      <c r="I95" s="1638">
        <v>0.02</v>
      </c>
      <c r="J95" s="1629">
        <v>46849932.799999997</v>
      </c>
      <c r="K95" s="1638">
        <v>0.18</v>
      </c>
      <c r="L95" s="1638">
        <v>0.02</v>
      </c>
      <c r="M95" s="1629">
        <v>1670649.65</v>
      </c>
      <c r="N95" s="582"/>
      <c r="O95" s="582"/>
      <c r="P95" s="582"/>
    </row>
    <row r="96" spans="1:16">
      <c r="A96" s="583" t="s">
        <v>504</v>
      </c>
      <c r="B96" s="1638"/>
      <c r="C96" s="1638"/>
      <c r="D96" s="1638"/>
      <c r="E96" s="1638">
        <v>3.5</v>
      </c>
      <c r="F96" s="1638">
        <v>0.88</v>
      </c>
      <c r="G96" s="1629">
        <v>3044193.75</v>
      </c>
      <c r="H96" s="1638">
        <v>0.2</v>
      </c>
      <c r="I96" s="1638">
        <v>0.02</v>
      </c>
      <c r="J96" s="1629">
        <v>34043900.799999997</v>
      </c>
      <c r="K96" s="1638">
        <v>0.18</v>
      </c>
      <c r="L96" s="1638">
        <v>0.02</v>
      </c>
      <c r="M96" s="1638"/>
      <c r="N96" s="582"/>
      <c r="O96" s="582"/>
      <c r="P96" s="582"/>
    </row>
    <row r="97" spans="1:16">
      <c r="A97" s="583" t="s">
        <v>493</v>
      </c>
      <c r="B97" s="1638"/>
      <c r="C97" s="1638"/>
      <c r="D97" s="1638"/>
      <c r="E97" s="1638">
        <v>3</v>
      </c>
      <c r="F97" s="1638">
        <v>0.5</v>
      </c>
      <c r="G97" s="1629">
        <v>16128000</v>
      </c>
      <c r="H97" s="1638"/>
      <c r="I97" s="1638"/>
      <c r="J97" s="1638"/>
      <c r="K97" s="1638"/>
      <c r="L97" s="1638"/>
      <c r="M97" s="1638"/>
      <c r="N97" s="582"/>
      <c r="O97" s="582"/>
      <c r="P97" s="582"/>
    </row>
    <row r="98" spans="1:16">
      <c r="A98" s="583" t="s">
        <v>565</v>
      </c>
      <c r="B98" s="1638">
        <v>3</v>
      </c>
      <c r="C98" s="1638">
        <v>1.95</v>
      </c>
      <c r="D98" s="1629">
        <v>98683.199999999997</v>
      </c>
      <c r="E98" s="1638">
        <v>3</v>
      </c>
      <c r="F98" s="1638">
        <v>0.5</v>
      </c>
      <c r="G98" s="1629">
        <v>8198400</v>
      </c>
      <c r="H98" s="1638"/>
      <c r="I98" s="1638"/>
      <c r="J98" s="1638"/>
      <c r="K98" s="1638">
        <v>0.18</v>
      </c>
      <c r="L98" s="1638">
        <v>0.02</v>
      </c>
      <c r="M98" s="1638"/>
      <c r="N98" s="582"/>
      <c r="O98" s="582"/>
      <c r="P98" s="582"/>
    </row>
    <row r="99" spans="1:16">
      <c r="A99" s="583" t="s">
        <v>330</v>
      </c>
      <c r="B99" s="1638">
        <v>2.54</v>
      </c>
      <c r="C99" s="1638">
        <v>1.4</v>
      </c>
      <c r="D99" s="1629">
        <v>70723.13</v>
      </c>
      <c r="E99" s="1638">
        <v>3.5</v>
      </c>
      <c r="F99" s="1638">
        <v>0.7</v>
      </c>
      <c r="G99" s="1629">
        <v>40588800</v>
      </c>
      <c r="H99" s="1638"/>
      <c r="I99" s="1638"/>
      <c r="J99" s="1638"/>
      <c r="K99" s="1638">
        <v>0.18</v>
      </c>
      <c r="L99" s="1638">
        <v>0.02</v>
      </c>
      <c r="M99" s="1629">
        <v>6625.59</v>
      </c>
      <c r="N99" s="582"/>
      <c r="O99" s="582"/>
      <c r="P99" s="582"/>
    </row>
    <row r="100" spans="1:16">
      <c r="A100" s="583" t="s">
        <v>566</v>
      </c>
      <c r="B100" s="1638">
        <v>3.47</v>
      </c>
      <c r="C100" s="1638">
        <v>1.91</v>
      </c>
      <c r="D100" s="1638">
        <v>20043.36</v>
      </c>
      <c r="E100" s="1638">
        <v>3</v>
      </c>
      <c r="F100" s="1638">
        <v>1.5</v>
      </c>
      <c r="G100" s="1629">
        <v>7321965</v>
      </c>
      <c r="H100" s="1638"/>
      <c r="I100" s="1638"/>
      <c r="J100" s="1638"/>
      <c r="K100" s="1638"/>
      <c r="L100" s="1638"/>
      <c r="M100" s="1638"/>
      <c r="N100" s="582"/>
      <c r="O100" s="582"/>
      <c r="P100" s="582"/>
    </row>
    <row r="101" spans="1:16">
      <c r="A101" s="583" t="s">
        <v>486</v>
      </c>
      <c r="B101" s="1638">
        <v>4.0199999999999996</v>
      </c>
      <c r="C101" s="1638">
        <v>2.91</v>
      </c>
      <c r="D101" s="1629">
        <v>226259.87</v>
      </c>
      <c r="E101" s="1638">
        <v>3</v>
      </c>
      <c r="F101" s="1638">
        <v>1.5</v>
      </c>
      <c r="G101" s="1629">
        <v>7415491.75</v>
      </c>
      <c r="H101" s="1638"/>
      <c r="I101" s="1638"/>
      <c r="J101" s="1638"/>
      <c r="K101" s="1638"/>
      <c r="L101" s="1638"/>
      <c r="M101" s="1638"/>
      <c r="N101" s="582"/>
      <c r="O101" s="582"/>
      <c r="P101" s="582"/>
    </row>
    <row r="102" spans="1:16">
      <c r="A102" s="583" t="s">
        <v>287</v>
      </c>
      <c r="B102" s="1638">
        <v>3.74</v>
      </c>
      <c r="C102" s="1638">
        <v>2.4300000000000002</v>
      </c>
      <c r="D102" s="1629">
        <v>9869336</v>
      </c>
      <c r="E102" s="1638"/>
      <c r="F102" s="1638"/>
      <c r="G102" s="1638"/>
      <c r="H102" s="1638"/>
      <c r="I102" s="1638"/>
      <c r="J102" s="1638"/>
      <c r="K102" s="1638"/>
      <c r="L102" s="1638"/>
      <c r="M102" s="1638"/>
      <c r="N102" s="582"/>
      <c r="O102" s="582"/>
      <c r="P102" s="582"/>
    </row>
    <row r="103" spans="1:16">
      <c r="A103" s="583" t="s">
        <v>567</v>
      </c>
      <c r="B103" s="1638">
        <v>4.28</v>
      </c>
      <c r="C103" s="1638">
        <v>2.78</v>
      </c>
      <c r="D103" s="1629">
        <v>446297.2</v>
      </c>
      <c r="E103" s="1638"/>
      <c r="F103" s="1638"/>
      <c r="G103" s="1638"/>
      <c r="H103" s="1638"/>
      <c r="I103" s="1638"/>
      <c r="J103" s="1638"/>
      <c r="K103" s="1638"/>
      <c r="L103" s="1638"/>
      <c r="M103" s="1638"/>
      <c r="N103" s="582"/>
      <c r="O103" s="582"/>
      <c r="P103" s="582"/>
    </row>
    <row r="104" spans="1:16">
      <c r="A104" s="583" t="s">
        <v>302</v>
      </c>
      <c r="B104" s="1638"/>
      <c r="C104" s="1638"/>
      <c r="D104" s="1638"/>
      <c r="E104" s="1638">
        <v>3</v>
      </c>
      <c r="F104" s="1638">
        <v>1.25</v>
      </c>
      <c r="G104" s="1629">
        <v>5478112.5</v>
      </c>
      <c r="H104" s="1638"/>
      <c r="I104" s="1638"/>
      <c r="J104" s="1638"/>
      <c r="K104" s="1638"/>
      <c r="L104" s="1638"/>
      <c r="M104" s="1638"/>
      <c r="N104" s="582"/>
      <c r="O104" s="582"/>
      <c r="P104" s="582"/>
    </row>
    <row r="105" spans="1:16">
      <c r="A105" s="583" t="s">
        <v>589</v>
      </c>
      <c r="B105" s="1638"/>
      <c r="C105" s="1638"/>
      <c r="D105" s="1638"/>
      <c r="E105" s="1638">
        <v>3</v>
      </c>
      <c r="F105" s="1638">
        <v>0.63</v>
      </c>
      <c r="G105" s="1629">
        <v>8117850</v>
      </c>
      <c r="H105" s="1638"/>
      <c r="I105" s="1638"/>
      <c r="J105" s="1638"/>
      <c r="K105" s="1638"/>
      <c r="L105" s="1638"/>
      <c r="M105" s="1638"/>
      <c r="N105" s="582"/>
      <c r="O105" s="582"/>
      <c r="P105" s="582"/>
    </row>
    <row r="106" spans="1:16">
      <c r="A106" s="1639" t="s">
        <v>25</v>
      </c>
      <c r="B106" s="1638">
        <f t="shared" ref="B106:M106" si="3">SUM(B86:B105)</f>
        <v>57.27</v>
      </c>
      <c r="C106" s="1638">
        <f t="shared" si="3"/>
        <v>34.419999999999995</v>
      </c>
      <c r="D106" s="1640">
        <f t="shared" si="3"/>
        <v>252057322.43999997</v>
      </c>
      <c r="E106" s="1638">
        <f t="shared" si="3"/>
        <v>48</v>
      </c>
      <c r="F106" s="1638">
        <f t="shared" si="3"/>
        <v>13.370000000000001</v>
      </c>
      <c r="G106" s="1634">
        <f t="shared" si="3"/>
        <v>352972341.58000004</v>
      </c>
      <c r="H106" s="1638">
        <f t="shared" si="3"/>
        <v>1</v>
      </c>
      <c r="I106" s="1638">
        <f t="shared" si="3"/>
        <v>0.1</v>
      </c>
      <c r="J106" s="1634">
        <f t="shared" si="3"/>
        <v>106218121.59999999</v>
      </c>
      <c r="K106" s="1638">
        <f t="shared" si="3"/>
        <v>1.0799999999999998</v>
      </c>
      <c r="L106" s="1638">
        <f t="shared" si="3"/>
        <v>0.1</v>
      </c>
      <c r="M106" s="1629">
        <f t="shared" si="3"/>
        <v>2561448.7199999997</v>
      </c>
      <c r="N106" s="582"/>
      <c r="O106" s="582"/>
      <c r="P106" s="582"/>
    </row>
    <row r="107" spans="1:16">
      <c r="A107" s="840" t="s">
        <v>357</v>
      </c>
      <c r="B107" s="1634">
        <f>B106+C106+D106+E106+F106+G106+H106+I106+J106+K106+L106+M106</f>
        <v>713809389.68000019</v>
      </c>
      <c r="C107" s="1641"/>
      <c r="D107" s="1641"/>
      <c r="E107" s="1641"/>
      <c r="F107" s="1641"/>
      <c r="G107" s="1641"/>
      <c r="H107" s="1641"/>
      <c r="I107" s="1641"/>
      <c r="J107" s="1641"/>
      <c r="K107" s="1641"/>
      <c r="L107" s="1641"/>
      <c r="M107" s="1641"/>
      <c r="N107" s="582"/>
      <c r="O107" s="582"/>
      <c r="P107" s="582"/>
    </row>
    <row r="108" spans="1:16">
      <c r="A108" s="582"/>
      <c r="B108" s="582"/>
      <c r="C108" s="582"/>
      <c r="D108" s="582"/>
      <c r="E108" s="582"/>
      <c r="F108" s="582"/>
      <c r="G108" s="582"/>
      <c r="H108" s="582"/>
      <c r="I108" s="582"/>
      <c r="J108" s="582"/>
      <c r="K108" s="582"/>
      <c r="L108" s="582"/>
      <c r="M108" s="582"/>
      <c r="N108" s="582"/>
      <c r="O108" s="582"/>
      <c r="P108" s="582"/>
    </row>
    <row r="109" spans="1:16">
      <c r="A109" s="1635" t="s">
        <v>590</v>
      </c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82"/>
      <c r="P109" s="582"/>
    </row>
    <row r="110" spans="1:16" ht="47.25">
      <c r="A110" s="1699" t="s">
        <v>562</v>
      </c>
      <c r="B110" s="1699" t="s">
        <v>583</v>
      </c>
      <c r="C110" s="1699"/>
      <c r="D110" s="1636" t="s">
        <v>584</v>
      </c>
      <c r="E110" s="1699" t="s">
        <v>585</v>
      </c>
      <c r="F110" s="1699"/>
      <c r="G110" s="1636" t="s">
        <v>584</v>
      </c>
      <c r="H110" s="1699" t="s">
        <v>544</v>
      </c>
      <c r="I110" s="1699"/>
      <c r="J110" s="1636" t="s">
        <v>584</v>
      </c>
      <c r="K110" s="1699" t="s">
        <v>591</v>
      </c>
      <c r="L110" s="1699"/>
      <c r="M110" s="1636" t="s">
        <v>584</v>
      </c>
      <c r="N110" s="1699" t="s">
        <v>198</v>
      </c>
      <c r="O110" s="1699"/>
      <c r="P110" s="1636" t="s">
        <v>584</v>
      </c>
    </row>
    <row r="111" spans="1:16" ht="15.75">
      <c r="A111" s="1699"/>
      <c r="B111" s="1642" t="s">
        <v>586</v>
      </c>
      <c r="C111" s="1642" t="s">
        <v>587</v>
      </c>
      <c r="D111" s="1642" t="s">
        <v>116</v>
      </c>
      <c r="E111" s="1642" t="s">
        <v>586</v>
      </c>
      <c r="F111" s="1642" t="s">
        <v>587</v>
      </c>
      <c r="G111" s="1642" t="s">
        <v>116</v>
      </c>
      <c r="H111" s="1642" t="s">
        <v>586</v>
      </c>
      <c r="I111" s="1642" t="s">
        <v>587</v>
      </c>
      <c r="J111" s="1642" t="s">
        <v>116</v>
      </c>
      <c r="K111" s="1642" t="s">
        <v>588</v>
      </c>
      <c r="L111" s="1642" t="s">
        <v>587</v>
      </c>
      <c r="M111" s="1642" t="s">
        <v>116</v>
      </c>
      <c r="N111" s="1642" t="s">
        <v>588</v>
      </c>
      <c r="O111" s="1642" t="s">
        <v>587</v>
      </c>
      <c r="P111" s="1642" t="s">
        <v>116</v>
      </c>
    </row>
    <row r="112" spans="1:16">
      <c r="A112" s="583" t="s">
        <v>342</v>
      </c>
      <c r="B112" s="1629">
        <v>4.5</v>
      </c>
      <c r="C112" s="1629">
        <v>2.25</v>
      </c>
      <c r="D112" s="1629">
        <v>31877.5</v>
      </c>
      <c r="E112" s="1629">
        <v>5</v>
      </c>
      <c r="F112" s="1629">
        <v>1.6</v>
      </c>
      <c r="G112" s="1629">
        <v>4385363.5</v>
      </c>
      <c r="H112" s="1629"/>
      <c r="I112" s="1629"/>
      <c r="J112" s="1629"/>
      <c r="K112" s="1643">
        <v>49.4</v>
      </c>
      <c r="L112" s="1643">
        <v>54.1</v>
      </c>
      <c r="M112" s="1629"/>
      <c r="N112" s="1629"/>
      <c r="O112" s="1629"/>
      <c r="P112" s="1629"/>
    </row>
    <row r="113" spans="1:16">
      <c r="A113" s="583" t="s">
        <v>569</v>
      </c>
      <c r="B113" s="1629">
        <v>4.5</v>
      </c>
      <c r="C113" s="1629">
        <v>0</v>
      </c>
      <c r="D113" s="1629">
        <v>38250</v>
      </c>
      <c r="E113" s="1629">
        <v>5</v>
      </c>
      <c r="F113" s="1629">
        <v>0</v>
      </c>
      <c r="G113" s="1629">
        <v>240825</v>
      </c>
      <c r="H113" s="1629"/>
      <c r="I113" s="1629"/>
      <c r="J113" s="1629"/>
      <c r="K113" s="1629"/>
      <c r="L113" s="1629"/>
      <c r="M113" s="1629"/>
      <c r="N113" s="1629"/>
      <c r="O113" s="1629"/>
      <c r="P113" s="1629"/>
    </row>
    <row r="114" spans="1:16">
      <c r="A114" s="583" t="s">
        <v>570</v>
      </c>
      <c r="B114" s="1629">
        <v>4.5</v>
      </c>
      <c r="C114" s="1629">
        <v>0.09</v>
      </c>
      <c r="D114" s="1629">
        <v>205020</v>
      </c>
      <c r="E114" s="1629"/>
      <c r="F114" s="1629"/>
      <c r="G114" s="1629"/>
      <c r="H114" s="1629"/>
      <c r="I114" s="1629"/>
      <c r="J114" s="1629"/>
      <c r="K114" s="1629"/>
      <c r="L114" s="1629"/>
      <c r="M114" s="1629"/>
      <c r="N114" s="1629"/>
      <c r="O114" s="1629"/>
      <c r="P114" s="1629"/>
    </row>
    <row r="115" spans="1:16">
      <c r="A115" s="583" t="s">
        <v>571</v>
      </c>
      <c r="B115" s="1629">
        <v>3.5</v>
      </c>
      <c r="C115" s="1629">
        <v>0</v>
      </c>
      <c r="D115" s="1629">
        <v>80500</v>
      </c>
      <c r="E115" s="1629"/>
      <c r="F115" s="1629"/>
      <c r="G115" s="1629"/>
      <c r="H115" s="1629"/>
      <c r="I115" s="1629"/>
      <c r="J115" s="1629"/>
      <c r="K115" s="1629">
        <v>2</v>
      </c>
      <c r="L115" s="1629"/>
      <c r="M115" s="1629"/>
      <c r="N115" s="1629"/>
      <c r="O115" s="1629"/>
      <c r="P115" s="1629"/>
    </row>
    <row r="116" spans="1:16">
      <c r="A116" s="583" t="s">
        <v>572</v>
      </c>
      <c r="B116" s="1629">
        <v>3</v>
      </c>
      <c r="C116" s="1629">
        <v>2.1</v>
      </c>
      <c r="D116" s="1629">
        <v>0</v>
      </c>
      <c r="E116" s="1629">
        <v>5</v>
      </c>
      <c r="F116" s="1629"/>
      <c r="G116" s="1629">
        <v>482381.25</v>
      </c>
      <c r="H116" s="1629"/>
      <c r="I116" s="1629"/>
      <c r="J116" s="1629"/>
      <c r="K116" s="1629">
        <v>2</v>
      </c>
      <c r="L116" s="1629"/>
      <c r="M116" s="1629"/>
      <c r="N116" s="1629"/>
      <c r="O116" s="1629"/>
      <c r="P116" s="1629"/>
    </row>
    <row r="117" spans="1:16">
      <c r="A117" s="583" t="s">
        <v>573</v>
      </c>
      <c r="B117" s="1629">
        <v>4.5</v>
      </c>
      <c r="C117" s="1629">
        <v>0.45</v>
      </c>
      <c r="D117" s="1629">
        <v>1418400</v>
      </c>
      <c r="E117" s="1629"/>
      <c r="F117" s="1629"/>
      <c r="G117" s="1629"/>
      <c r="H117" s="1629"/>
      <c r="I117" s="1629"/>
      <c r="J117" s="1629"/>
      <c r="K117" s="1629">
        <v>14.33</v>
      </c>
      <c r="L117" s="1629"/>
      <c r="M117" s="1629"/>
      <c r="N117" s="1629"/>
      <c r="O117" s="1629"/>
      <c r="P117" s="1629"/>
    </row>
    <row r="118" spans="1:16">
      <c r="A118" s="583" t="s">
        <v>335</v>
      </c>
      <c r="B118" s="1629"/>
      <c r="C118" s="1629"/>
      <c r="D118" s="1629"/>
      <c r="E118" s="1629">
        <v>4.5</v>
      </c>
      <c r="F118" s="1629">
        <v>0.45</v>
      </c>
      <c r="G118" s="1629">
        <v>3323784.38</v>
      </c>
      <c r="H118" s="1629"/>
      <c r="I118" s="1629"/>
      <c r="J118" s="1629"/>
      <c r="K118" s="1629">
        <v>13.5</v>
      </c>
      <c r="L118" s="1629"/>
      <c r="M118" s="1629"/>
      <c r="N118" s="1629"/>
      <c r="O118" s="1629"/>
      <c r="P118" s="1629"/>
    </row>
    <row r="119" spans="1:16">
      <c r="A119" s="583" t="s">
        <v>592</v>
      </c>
      <c r="B119" s="1629">
        <v>4.75</v>
      </c>
      <c r="C119" s="1629">
        <v>3.13</v>
      </c>
      <c r="D119" s="1629">
        <v>745117.52</v>
      </c>
      <c r="E119" s="1629">
        <v>6.5</v>
      </c>
      <c r="F119" s="1629">
        <v>1.75</v>
      </c>
      <c r="G119" s="1629">
        <v>66478721.5</v>
      </c>
      <c r="H119" s="1629"/>
      <c r="I119" s="1629"/>
      <c r="J119" s="1629"/>
      <c r="K119" s="1629"/>
      <c r="L119" s="1629"/>
      <c r="M119" s="1629"/>
      <c r="N119" s="1629"/>
      <c r="O119" s="1629"/>
      <c r="P119" s="1629"/>
    </row>
    <row r="120" spans="1:16">
      <c r="A120" s="583" t="s">
        <v>339</v>
      </c>
      <c r="B120" s="1629"/>
      <c r="C120" s="1629"/>
      <c r="D120" s="1629"/>
      <c r="E120" s="1629">
        <v>4</v>
      </c>
      <c r="F120" s="1629">
        <v>1.42</v>
      </c>
      <c r="G120" s="1629">
        <v>100033</v>
      </c>
      <c r="H120" s="1629">
        <v>2</v>
      </c>
      <c r="I120" s="1629">
        <v>1.8</v>
      </c>
      <c r="J120" s="1629"/>
      <c r="K120" s="1629"/>
      <c r="L120" s="1629"/>
      <c r="M120" s="1629"/>
      <c r="N120" s="1629"/>
      <c r="O120" s="1629"/>
      <c r="P120" s="1629"/>
    </row>
    <row r="121" spans="1:16">
      <c r="A121" s="583" t="s">
        <v>338</v>
      </c>
      <c r="B121" s="1629"/>
      <c r="C121" s="1629"/>
      <c r="D121" s="1629"/>
      <c r="E121" s="1629">
        <v>5.2</v>
      </c>
      <c r="F121" s="1629">
        <v>2.6</v>
      </c>
      <c r="G121" s="1629">
        <v>881.08</v>
      </c>
      <c r="H121" s="1629"/>
      <c r="I121" s="1629"/>
      <c r="J121" s="1629"/>
      <c r="K121" s="1629"/>
      <c r="L121" s="1629"/>
      <c r="M121" s="1629"/>
      <c r="N121" s="1629"/>
      <c r="O121" s="1629"/>
      <c r="P121" s="1629"/>
    </row>
    <row r="122" spans="1:16">
      <c r="A122" s="583" t="s">
        <v>484</v>
      </c>
      <c r="B122" s="1629"/>
      <c r="C122" s="1629"/>
      <c r="D122" s="1629"/>
      <c r="E122" s="1629">
        <v>4</v>
      </c>
      <c r="F122" s="1629"/>
      <c r="G122" s="1629">
        <v>78000</v>
      </c>
      <c r="H122" s="1629"/>
      <c r="I122" s="1629"/>
      <c r="J122" s="1629"/>
      <c r="K122" s="1629"/>
      <c r="L122" s="1629"/>
      <c r="M122" s="1629"/>
      <c r="N122" s="1629"/>
      <c r="O122" s="1629"/>
      <c r="P122" s="1629"/>
    </row>
    <row r="123" spans="1:16">
      <c r="A123" s="583" t="s">
        <v>483</v>
      </c>
      <c r="B123" s="1629">
        <v>4.5</v>
      </c>
      <c r="C123" s="1629">
        <v>3.15</v>
      </c>
      <c r="D123" s="1629">
        <v>1067175</v>
      </c>
      <c r="E123" s="1629">
        <v>4.2</v>
      </c>
      <c r="F123" s="1629">
        <v>1</v>
      </c>
      <c r="G123" s="1629">
        <v>5622048</v>
      </c>
      <c r="H123" s="1629"/>
      <c r="I123" s="1629"/>
      <c r="J123" s="1629"/>
      <c r="K123" s="1629">
        <v>5.25</v>
      </c>
      <c r="L123" s="1629">
        <v>3.5</v>
      </c>
      <c r="M123" s="1629"/>
      <c r="N123" s="1629"/>
      <c r="O123" s="1629"/>
      <c r="P123" s="1629"/>
    </row>
    <row r="124" spans="1:16">
      <c r="A124" s="583" t="s">
        <v>340</v>
      </c>
      <c r="B124" s="1629">
        <v>4</v>
      </c>
      <c r="C124" s="1629">
        <v>3</v>
      </c>
      <c r="D124" s="1629">
        <v>2950277.15</v>
      </c>
      <c r="E124" s="1629">
        <v>4</v>
      </c>
      <c r="F124" s="1629">
        <v>1.25</v>
      </c>
      <c r="G124" s="1629">
        <v>30694188.120000001</v>
      </c>
      <c r="H124" s="1629">
        <v>1</v>
      </c>
      <c r="I124" s="1629">
        <v>0.9</v>
      </c>
      <c r="J124" s="1629">
        <v>37</v>
      </c>
      <c r="K124" s="1643">
        <v>11.76</v>
      </c>
      <c r="L124" s="1643">
        <v>136.9</v>
      </c>
      <c r="M124" s="1629"/>
      <c r="N124" s="1629">
        <v>13.3</v>
      </c>
      <c r="O124" s="1629">
        <v>13.1</v>
      </c>
      <c r="P124" s="1629"/>
    </row>
    <row r="125" spans="1:16">
      <c r="A125" s="583" t="s">
        <v>337</v>
      </c>
      <c r="B125" s="1629">
        <v>4.5</v>
      </c>
      <c r="C125" s="1629">
        <v>0.9</v>
      </c>
      <c r="D125" s="1629">
        <v>137340.44</v>
      </c>
      <c r="E125" s="1629">
        <v>6</v>
      </c>
      <c r="F125" s="1629">
        <v>3.5</v>
      </c>
      <c r="G125" s="1629">
        <v>6657345</v>
      </c>
      <c r="H125" s="1629"/>
      <c r="I125" s="1629"/>
      <c r="J125" s="1629"/>
      <c r="K125" s="1629"/>
      <c r="L125" s="1629"/>
      <c r="M125" s="1629"/>
      <c r="N125" s="1629"/>
      <c r="O125" s="1629"/>
      <c r="P125" s="1629"/>
    </row>
    <row r="126" spans="1:16">
      <c r="A126" s="583" t="s">
        <v>478</v>
      </c>
      <c r="B126" s="1629">
        <v>4.5</v>
      </c>
      <c r="C126" s="1629">
        <v>3.26</v>
      </c>
      <c r="D126" s="1629">
        <v>666009</v>
      </c>
      <c r="E126" s="1629">
        <v>4.2</v>
      </c>
      <c r="F126" s="1629">
        <v>2.1</v>
      </c>
      <c r="G126" s="1629">
        <v>3513987</v>
      </c>
      <c r="H126" s="1629"/>
      <c r="I126" s="1629"/>
      <c r="J126" s="1629"/>
      <c r="K126" s="1629">
        <v>2</v>
      </c>
      <c r="L126" s="1629"/>
      <c r="M126" s="1629"/>
      <c r="N126" s="1629">
        <v>2</v>
      </c>
      <c r="O126" s="1629"/>
      <c r="P126" s="1629"/>
    </row>
    <row r="127" spans="1:16">
      <c r="A127" s="840" t="s">
        <v>25</v>
      </c>
      <c r="B127" s="1629">
        <f t="shared" ref="B127:L127" si="4">SUM(B112:B126)</f>
        <v>46.75</v>
      </c>
      <c r="C127" s="1629">
        <f t="shared" si="4"/>
        <v>18.329999999999998</v>
      </c>
      <c r="D127" s="1629">
        <f t="shared" si="4"/>
        <v>7339966.6100000003</v>
      </c>
      <c r="E127" s="1629">
        <f t="shared" si="4"/>
        <v>57.600000000000009</v>
      </c>
      <c r="F127" s="1629">
        <f t="shared" si="4"/>
        <v>15.67</v>
      </c>
      <c r="G127" s="1629">
        <f t="shared" si="4"/>
        <v>121577557.83</v>
      </c>
      <c r="H127" s="1629">
        <f t="shared" si="4"/>
        <v>3</v>
      </c>
      <c r="I127" s="1629">
        <f t="shared" si="4"/>
        <v>2.7</v>
      </c>
      <c r="J127" s="1629">
        <f t="shared" si="4"/>
        <v>37</v>
      </c>
      <c r="K127" s="1629">
        <f t="shared" si="4"/>
        <v>100.24000000000001</v>
      </c>
      <c r="L127" s="1629">
        <f t="shared" si="4"/>
        <v>194.5</v>
      </c>
      <c r="M127" s="1629"/>
      <c r="N127" s="1644">
        <f>SUM(N112:N126)</f>
        <v>15.3</v>
      </c>
      <c r="O127" s="1644">
        <f>SUM(O112:O126)</f>
        <v>13.1</v>
      </c>
      <c r="P127" s="1644"/>
    </row>
    <row r="128" spans="1:16">
      <c r="A128" s="840" t="s">
        <v>357</v>
      </c>
      <c r="B128" s="1629">
        <f>D127+G127+J127+P127</f>
        <v>128917561.44</v>
      </c>
      <c r="C128" s="1629"/>
      <c r="D128" s="1629"/>
      <c r="E128" s="1629"/>
      <c r="F128" s="1629"/>
      <c r="G128" s="1629"/>
      <c r="H128" s="1629"/>
      <c r="I128" s="1629"/>
      <c r="J128" s="1629"/>
      <c r="K128" s="1629"/>
      <c r="L128" s="1629"/>
      <c r="M128" s="1629"/>
      <c r="N128" s="1629"/>
      <c r="O128" s="1629"/>
      <c r="P128" s="1629"/>
    </row>
    <row r="129" spans="1:16">
      <c r="A129" s="582"/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</row>
    <row r="130" spans="1:16">
      <c r="A130" s="582"/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</row>
    <row r="131" spans="1:16">
      <c r="A131" s="1635" t="s">
        <v>593</v>
      </c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2"/>
      <c r="P131" s="582"/>
    </row>
    <row r="132" spans="1:16" ht="47.25">
      <c r="A132" s="1699" t="s">
        <v>562</v>
      </c>
      <c r="B132" s="1699" t="s">
        <v>583</v>
      </c>
      <c r="C132" s="1699"/>
      <c r="D132" s="1636" t="s">
        <v>584</v>
      </c>
      <c r="E132" s="1699" t="s">
        <v>585</v>
      </c>
      <c r="F132" s="1699"/>
      <c r="G132" s="1636" t="s">
        <v>584</v>
      </c>
      <c r="H132" s="1699" t="s">
        <v>544</v>
      </c>
      <c r="I132" s="1699"/>
      <c r="J132" s="1636" t="s">
        <v>584</v>
      </c>
      <c r="K132" s="1699" t="s">
        <v>591</v>
      </c>
      <c r="L132" s="1699"/>
      <c r="M132" s="1636" t="s">
        <v>584</v>
      </c>
      <c r="N132" s="1699" t="s">
        <v>198</v>
      </c>
      <c r="O132" s="1699"/>
      <c r="P132" s="1636" t="s">
        <v>584</v>
      </c>
    </row>
    <row r="133" spans="1:16" ht="15.75">
      <c r="A133" s="1699"/>
      <c r="B133" s="1642" t="s">
        <v>586</v>
      </c>
      <c r="C133" s="1642" t="s">
        <v>587</v>
      </c>
      <c r="D133" s="1642" t="s">
        <v>116</v>
      </c>
      <c r="E133" s="1642" t="s">
        <v>586</v>
      </c>
      <c r="F133" s="1642" t="s">
        <v>587</v>
      </c>
      <c r="G133" s="1642" t="s">
        <v>116</v>
      </c>
      <c r="H133" s="1642" t="s">
        <v>586</v>
      </c>
      <c r="I133" s="1642" t="s">
        <v>587</v>
      </c>
      <c r="J133" s="1642" t="s">
        <v>116</v>
      </c>
      <c r="K133" s="1642" t="s">
        <v>588</v>
      </c>
      <c r="L133" s="1642" t="s">
        <v>587</v>
      </c>
      <c r="M133" s="1642" t="s">
        <v>116</v>
      </c>
      <c r="N133" s="1642" t="s">
        <v>588</v>
      </c>
      <c r="O133" s="1642" t="s">
        <v>587</v>
      </c>
      <c r="P133" s="1642" t="s">
        <v>116</v>
      </c>
    </row>
    <row r="134" spans="1:16">
      <c r="A134" s="583" t="s">
        <v>498</v>
      </c>
      <c r="B134" s="1629"/>
      <c r="C134" s="1629"/>
      <c r="D134" s="1629"/>
      <c r="E134" s="1629">
        <v>3.25</v>
      </c>
      <c r="F134" s="1629">
        <v>2.35</v>
      </c>
      <c r="G134" s="1629">
        <v>9254844</v>
      </c>
      <c r="H134" s="1629"/>
      <c r="I134" s="1629"/>
      <c r="J134" s="1629"/>
      <c r="K134" s="1629"/>
      <c r="L134" s="1629"/>
      <c r="M134" s="1629"/>
      <c r="N134" s="1629"/>
      <c r="O134" s="1629"/>
      <c r="P134" s="1629"/>
    </row>
    <row r="135" spans="1:16">
      <c r="A135" s="583" t="s">
        <v>575</v>
      </c>
      <c r="B135" s="1629"/>
      <c r="C135" s="1629"/>
      <c r="D135" s="1629"/>
      <c r="E135" s="1629">
        <v>4</v>
      </c>
      <c r="F135" s="1629">
        <v>2</v>
      </c>
      <c r="G135" s="1629">
        <v>255600</v>
      </c>
      <c r="H135" s="1629"/>
      <c r="I135" s="1629"/>
      <c r="J135" s="1629"/>
      <c r="K135" s="1629"/>
      <c r="L135" s="1629"/>
      <c r="M135" s="1629"/>
      <c r="N135" s="1629"/>
      <c r="O135" s="1629"/>
      <c r="P135" s="1629">
        <v>9678600</v>
      </c>
    </row>
    <row r="136" spans="1:16">
      <c r="A136" s="583" t="s">
        <v>576</v>
      </c>
      <c r="B136" s="1629"/>
      <c r="C136" s="1629"/>
      <c r="D136" s="1629"/>
      <c r="E136" s="1629">
        <v>3</v>
      </c>
      <c r="F136" s="1629">
        <v>2.1</v>
      </c>
      <c r="G136" s="1629">
        <v>379200</v>
      </c>
      <c r="H136" s="1629"/>
      <c r="I136" s="1629"/>
      <c r="J136" s="1629"/>
      <c r="K136" s="1629"/>
      <c r="L136" s="1629"/>
      <c r="M136" s="1629"/>
      <c r="N136" s="1629"/>
      <c r="O136" s="1629"/>
      <c r="P136" s="1629"/>
    </row>
    <row r="137" spans="1:16">
      <c r="A137" s="583" t="s">
        <v>594</v>
      </c>
      <c r="B137" s="1629"/>
      <c r="C137" s="1629"/>
      <c r="D137" s="1629"/>
      <c r="E137" s="1629">
        <v>2</v>
      </c>
      <c r="F137" s="1629">
        <v>0</v>
      </c>
      <c r="G137" s="1629">
        <v>632</v>
      </c>
      <c r="H137" s="1629"/>
      <c r="I137" s="1629"/>
      <c r="J137" s="1629"/>
      <c r="K137" s="1629">
        <v>5</v>
      </c>
      <c r="L137" s="1629"/>
      <c r="M137" s="1629">
        <v>1030</v>
      </c>
      <c r="N137" s="1629">
        <v>10</v>
      </c>
      <c r="O137" s="1629"/>
      <c r="P137" s="1629">
        <v>211450</v>
      </c>
    </row>
    <row r="138" spans="1:16">
      <c r="A138" s="583" t="s">
        <v>346</v>
      </c>
      <c r="B138" s="1629"/>
      <c r="C138" s="1629"/>
      <c r="D138" s="1629"/>
      <c r="E138" s="1629">
        <v>2</v>
      </c>
      <c r="F138" s="1629">
        <v>0</v>
      </c>
      <c r="G138" s="1629">
        <v>3886000</v>
      </c>
      <c r="H138" s="1629"/>
      <c r="I138" s="1629"/>
      <c r="J138" s="1629"/>
      <c r="K138" s="1629"/>
      <c r="L138" s="1629">
        <v>5</v>
      </c>
      <c r="M138" s="1629"/>
      <c r="N138" s="1629">
        <v>19</v>
      </c>
      <c r="O138" s="1629"/>
      <c r="P138" s="1629"/>
    </row>
    <row r="139" spans="1:16">
      <c r="A139" s="583" t="s">
        <v>595</v>
      </c>
      <c r="B139" s="1629"/>
      <c r="C139" s="1629"/>
      <c r="D139" s="1629"/>
      <c r="E139" s="1629"/>
      <c r="F139" s="1629"/>
      <c r="G139" s="1629"/>
      <c r="H139" s="1629"/>
      <c r="I139" s="1629"/>
      <c r="J139" s="1629"/>
      <c r="K139" s="1629">
        <v>7.3</v>
      </c>
      <c r="L139" s="1629">
        <v>4.3899999999999997</v>
      </c>
      <c r="M139" s="1629">
        <v>399764</v>
      </c>
      <c r="N139" s="1629"/>
      <c r="O139" s="1629"/>
      <c r="P139" s="1629"/>
    </row>
    <row r="140" spans="1:16">
      <c r="A140" s="583" t="s">
        <v>349</v>
      </c>
      <c r="B140" s="1629"/>
      <c r="C140" s="1629"/>
      <c r="D140" s="1629"/>
      <c r="E140" s="1629"/>
      <c r="F140" s="1629"/>
      <c r="G140" s="1629"/>
      <c r="H140" s="1629"/>
      <c r="I140" s="1629"/>
      <c r="J140" s="1629"/>
      <c r="K140" s="1629"/>
      <c r="L140" s="1629"/>
      <c r="M140" s="1629"/>
      <c r="N140" s="1629">
        <v>10</v>
      </c>
      <c r="O140" s="1629"/>
      <c r="P140" s="1629">
        <v>81655</v>
      </c>
    </row>
    <row r="141" spans="1:16">
      <c r="A141" s="583" t="s">
        <v>579</v>
      </c>
      <c r="B141" s="1629"/>
      <c r="C141" s="1629"/>
      <c r="D141" s="1629"/>
      <c r="E141" s="1629"/>
      <c r="F141" s="1629"/>
      <c r="G141" s="1629"/>
      <c r="H141" s="1629"/>
      <c r="I141" s="1629"/>
      <c r="J141" s="1629"/>
      <c r="K141" s="1629"/>
      <c r="L141" s="1629"/>
      <c r="M141" s="1629"/>
      <c r="N141" s="1629"/>
      <c r="O141" s="1629"/>
      <c r="P141" s="1629"/>
    </row>
    <row r="142" spans="1:16">
      <c r="A142" s="840" t="s">
        <v>25</v>
      </c>
      <c r="B142" s="1629"/>
      <c r="C142" s="1629"/>
      <c r="D142" s="1629"/>
      <c r="E142" s="1629">
        <f>SUM(E134:E141)</f>
        <v>14.25</v>
      </c>
      <c r="F142" s="1629">
        <f>SUM(F134:F141)</f>
        <v>6.4499999999999993</v>
      </c>
      <c r="G142" s="1629">
        <f>SUM(G134:G141)</f>
        <v>13776276</v>
      </c>
      <c r="H142" s="1629"/>
      <c r="I142" s="1629"/>
      <c r="J142" s="1629"/>
      <c r="K142" s="1629">
        <f>SUM(K134:K141)</f>
        <v>12.3</v>
      </c>
      <c r="L142" s="1629">
        <f>SUM(L134:L141)</f>
        <v>9.39</v>
      </c>
      <c r="M142" s="1629">
        <f>SUM(M134:M141)</f>
        <v>400794</v>
      </c>
      <c r="N142" s="1629">
        <f>SUM(N134:N141)</f>
        <v>39</v>
      </c>
      <c r="O142" s="1629"/>
      <c r="P142" s="1629">
        <f>SUM(P134:P141)</f>
        <v>9971705</v>
      </c>
    </row>
    <row r="143" spans="1:16">
      <c r="A143" s="840" t="s">
        <v>357</v>
      </c>
      <c r="B143" s="1629">
        <f>G142++M142+P142</f>
        <v>24148775</v>
      </c>
      <c r="C143" s="1629"/>
      <c r="D143" s="1629"/>
      <c r="E143" s="1629"/>
      <c r="F143" s="1629"/>
      <c r="G143" s="1629"/>
      <c r="H143" s="1629"/>
      <c r="I143" s="1629"/>
      <c r="J143" s="1629"/>
      <c r="K143" s="1629"/>
      <c r="L143" s="1629"/>
      <c r="M143" s="1629"/>
      <c r="N143" s="1629"/>
      <c r="O143" s="1629"/>
      <c r="P143" s="1629"/>
    </row>
    <row r="144" spans="1:16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</row>
    <row r="145" spans="1:16">
      <c r="A145" s="1635" t="s">
        <v>596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</row>
    <row r="146" spans="1:16" ht="47.25">
      <c r="A146" s="1699" t="s">
        <v>562</v>
      </c>
      <c r="B146" s="1699" t="s">
        <v>583</v>
      </c>
      <c r="C146" s="1699"/>
      <c r="D146" s="1636" t="s">
        <v>584</v>
      </c>
      <c r="E146" s="1699" t="s">
        <v>585</v>
      </c>
      <c r="F146" s="1699"/>
      <c r="G146" s="1636" t="s">
        <v>584</v>
      </c>
      <c r="H146" s="1699" t="s">
        <v>597</v>
      </c>
      <c r="I146" s="1699"/>
      <c r="J146" s="1636" t="s">
        <v>584</v>
      </c>
      <c r="K146" s="1699" t="s">
        <v>591</v>
      </c>
      <c r="L146" s="1699"/>
      <c r="M146" s="1636" t="s">
        <v>584</v>
      </c>
      <c r="N146" s="1699" t="s">
        <v>556</v>
      </c>
      <c r="O146" s="1699"/>
      <c r="P146" s="1636" t="s">
        <v>584</v>
      </c>
    </row>
    <row r="147" spans="1:16" ht="15.75">
      <c r="A147" s="1699"/>
      <c r="B147" s="1642" t="s">
        <v>586</v>
      </c>
      <c r="C147" s="1642" t="s">
        <v>587</v>
      </c>
      <c r="D147" s="1642" t="s">
        <v>116</v>
      </c>
      <c r="E147" s="1642" t="s">
        <v>586</v>
      </c>
      <c r="F147" s="1642" t="s">
        <v>587</v>
      </c>
      <c r="G147" s="1642" t="s">
        <v>116</v>
      </c>
      <c r="H147" s="1642" t="s">
        <v>586</v>
      </c>
      <c r="I147" s="1642" t="s">
        <v>587</v>
      </c>
      <c r="J147" s="1642" t="s">
        <v>116</v>
      </c>
      <c r="K147" s="1642" t="s">
        <v>588</v>
      </c>
      <c r="L147" s="1642" t="s">
        <v>587</v>
      </c>
      <c r="M147" s="1642" t="s">
        <v>116</v>
      </c>
      <c r="N147" s="1642" t="s">
        <v>588</v>
      </c>
      <c r="O147" s="1642" t="s">
        <v>587</v>
      </c>
      <c r="P147" s="1642" t="s">
        <v>116</v>
      </c>
    </row>
    <row r="148" spans="1:16">
      <c r="A148" s="583" t="s">
        <v>330</v>
      </c>
      <c r="B148" s="1629"/>
      <c r="C148" s="1629"/>
      <c r="D148" s="1629"/>
      <c r="E148" s="1629">
        <v>5370</v>
      </c>
      <c r="F148" s="1629"/>
      <c r="G148" s="1629">
        <v>47363400</v>
      </c>
      <c r="H148" s="1629"/>
      <c r="I148" s="1629"/>
      <c r="J148" s="1629"/>
      <c r="K148" s="1629">
        <v>1000</v>
      </c>
      <c r="L148" s="1629"/>
      <c r="M148" s="1629">
        <v>110000</v>
      </c>
      <c r="N148" s="1629">
        <v>1000</v>
      </c>
      <c r="O148" s="1629"/>
      <c r="P148" s="1629">
        <v>58300</v>
      </c>
    </row>
    <row r="149" spans="1:16">
      <c r="A149" s="583" t="s">
        <v>581</v>
      </c>
      <c r="B149" s="1629"/>
      <c r="C149" s="1629"/>
      <c r="D149" s="1629"/>
      <c r="E149" s="1629"/>
      <c r="F149" s="1629"/>
      <c r="G149" s="1629"/>
      <c r="H149" s="1629">
        <v>20000</v>
      </c>
      <c r="I149" s="1629">
        <v>12000</v>
      </c>
      <c r="J149" s="1629">
        <v>54400</v>
      </c>
      <c r="K149" s="1629"/>
      <c r="L149" s="1629"/>
      <c r="M149" s="1629"/>
      <c r="N149" s="1629"/>
      <c r="O149" s="1629"/>
      <c r="P149" s="1629"/>
    </row>
    <row r="150" spans="1:16">
      <c r="A150" s="840" t="s">
        <v>25</v>
      </c>
      <c r="B150" s="1629"/>
      <c r="C150" s="1629"/>
      <c r="D150" s="1629"/>
      <c r="E150" s="1629">
        <f>SUM(E148:E149)</f>
        <v>5370</v>
      </c>
      <c r="F150" s="1629"/>
      <c r="G150" s="1629">
        <f>SUM(G148:G149)</f>
        <v>47363400</v>
      </c>
      <c r="H150" s="1629">
        <f>SUM(H148:H149)</f>
        <v>20000</v>
      </c>
      <c r="I150" s="1629">
        <f>SUM(I148:I149)</f>
        <v>12000</v>
      </c>
      <c r="J150" s="1629">
        <f>SUM(J148:J149)</f>
        <v>54400</v>
      </c>
      <c r="K150" s="1629">
        <f>SUM(K148:K149)</f>
        <v>1000</v>
      </c>
      <c r="L150" s="1629"/>
      <c r="M150" s="1629">
        <f>SUM(M148:M149)</f>
        <v>110000</v>
      </c>
      <c r="N150" s="1629">
        <f>SUM(N148:N149)</f>
        <v>1000</v>
      </c>
      <c r="O150" s="1629"/>
      <c r="P150" s="1629">
        <f>SUM(P148:P149)</f>
        <v>58300</v>
      </c>
    </row>
    <row r="151" spans="1:16">
      <c r="A151" s="840" t="s">
        <v>357</v>
      </c>
      <c r="B151" s="1629">
        <f>G150+J150+M150+P150</f>
        <v>47586100</v>
      </c>
      <c r="C151" s="1629"/>
      <c r="D151" s="1629"/>
      <c r="E151" s="1629"/>
      <c r="F151" s="1629"/>
      <c r="G151" s="1629"/>
      <c r="H151" s="1629"/>
      <c r="I151" s="1629"/>
      <c r="J151" s="1629"/>
      <c r="K151" s="1629"/>
      <c r="L151" s="1629"/>
      <c r="M151" s="1629"/>
      <c r="N151" s="1629"/>
      <c r="O151" s="1629"/>
      <c r="P151" s="1629"/>
    </row>
    <row r="152" spans="1:16">
      <c r="A152" s="582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</row>
    <row r="153" spans="1:16">
      <c r="A153" s="1635" t="s">
        <v>598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</row>
    <row r="154" spans="1:16" ht="28.5">
      <c r="A154" s="1645" t="s">
        <v>562</v>
      </c>
      <c r="B154" s="1646" t="s">
        <v>599</v>
      </c>
      <c r="C154" s="1646" t="s">
        <v>584</v>
      </c>
      <c r="D154" s="1645" t="s">
        <v>600</v>
      </c>
      <c r="E154" s="1646" t="s">
        <v>584</v>
      </c>
      <c r="F154" s="1645" t="s">
        <v>601</v>
      </c>
      <c r="G154" s="1646" t="s">
        <v>584</v>
      </c>
      <c r="H154" s="1645" t="s">
        <v>602</v>
      </c>
      <c r="I154" s="1646" t="s">
        <v>584</v>
      </c>
      <c r="J154" s="1645" t="s">
        <v>603</v>
      </c>
      <c r="K154" s="1646" t="s">
        <v>584</v>
      </c>
      <c r="L154" s="1645" t="s">
        <v>604</v>
      </c>
      <c r="M154" s="1646" t="s">
        <v>584</v>
      </c>
      <c r="N154" s="582"/>
      <c r="O154" s="582"/>
      <c r="P154" s="582"/>
    </row>
    <row r="155" spans="1:16">
      <c r="A155" s="583" t="s">
        <v>563</v>
      </c>
      <c r="B155" s="1629">
        <v>927</v>
      </c>
      <c r="C155" s="1629">
        <v>18540000</v>
      </c>
      <c r="D155" s="1629">
        <v>435</v>
      </c>
      <c r="E155" s="1629"/>
      <c r="F155" s="1629">
        <v>0</v>
      </c>
      <c r="G155" s="1629"/>
      <c r="H155" s="1629">
        <v>710</v>
      </c>
      <c r="I155" s="1629">
        <v>17750000</v>
      </c>
      <c r="J155" s="1629">
        <v>126</v>
      </c>
      <c r="K155" s="1629">
        <v>2268000</v>
      </c>
      <c r="L155" s="1629">
        <v>4365</v>
      </c>
      <c r="M155" s="1629"/>
      <c r="N155" s="582"/>
      <c r="O155" s="582"/>
      <c r="P155" s="582"/>
    </row>
    <row r="156" spans="1:16">
      <c r="A156" s="583" t="s">
        <v>564</v>
      </c>
      <c r="B156" s="1629">
        <v>44</v>
      </c>
      <c r="C156" s="1629">
        <v>880000</v>
      </c>
      <c r="D156" s="1629">
        <v>144</v>
      </c>
      <c r="E156" s="1629"/>
      <c r="F156" s="1629">
        <v>0</v>
      </c>
      <c r="G156" s="1629"/>
      <c r="H156" s="1629">
        <v>40</v>
      </c>
      <c r="I156" s="1629">
        <v>1000000</v>
      </c>
      <c r="J156" s="1629">
        <v>17</v>
      </c>
      <c r="K156" s="1629">
        <v>306000</v>
      </c>
      <c r="L156" s="1629">
        <v>0</v>
      </c>
      <c r="M156" s="1629"/>
      <c r="N156" s="582"/>
      <c r="O156" s="582"/>
      <c r="P156" s="582"/>
    </row>
    <row r="157" spans="1:16">
      <c r="A157" s="583" t="s">
        <v>295</v>
      </c>
      <c r="B157" s="1629">
        <v>35</v>
      </c>
      <c r="C157" s="1629">
        <v>700000</v>
      </c>
      <c r="D157" s="1629">
        <v>12</v>
      </c>
      <c r="E157" s="1629"/>
      <c r="F157" s="1629">
        <v>1</v>
      </c>
      <c r="G157" s="1629"/>
      <c r="H157" s="1629">
        <v>16</v>
      </c>
      <c r="I157" s="1629">
        <v>400000</v>
      </c>
      <c r="J157" s="1629">
        <v>13</v>
      </c>
      <c r="K157" s="1629">
        <v>234000</v>
      </c>
      <c r="L157" s="1629">
        <v>577</v>
      </c>
      <c r="M157" s="1629"/>
      <c r="N157" s="582"/>
      <c r="O157" s="582"/>
      <c r="P157" s="582"/>
    </row>
    <row r="158" spans="1:16">
      <c r="A158" s="583" t="s">
        <v>485</v>
      </c>
      <c r="B158" s="1629">
        <v>15</v>
      </c>
      <c r="C158" s="1629">
        <v>300000</v>
      </c>
      <c r="D158" s="1629">
        <v>0</v>
      </c>
      <c r="E158" s="1629"/>
      <c r="F158" s="1629">
        <v>6</v>
      </c>
      <c r="G158" s="1629"/>
      <c r="H158" s="1629">
        <v>1</v>
      </c>
      <c r="I158" s="1629">
        <v>25000</v>
      </c>
      <c r="J158" s="1629">
        <v>39</v>
      </c>
      <c r="K158" s="1629">
        <v>702000</v>
      </c>
      <c r="L158" s="1629">
        <v>942</v>
      </c>
      <c r="M158" s="1629"/>
      <c r="N158" s="582"/>
      <c r="O158" s="582"/>
      <c r="P158" s="582"/>
    </row>
    <row r="159" spans="1:16">
      <c r="A159" s="583" t="s">
        <v>486</v>
      </c>
      <c r="B159" s="1629">
        <v>12</v>
      </c>
      <c r="C159" s="1629">
        <v>240000</v>
      </c>
      <c r="D159" s="1629">
        <v>53</v>
      </c>
      <c r="E159" s="1629"/>
      <c r="F159" s="1629">
        <v>36</v>
      </c>
      <c r="G159" s="1629"/>
      <c r="H159" s="1629">
        <v>10</v>
      </c>
      <c r="I159" s="1629">
        <v>250000</v>
      </c>
      <c r="J159" s="1629">
        <v>0</v>
      </c>
      <c r="K159" s="1629"/>
      <c r="L159" s="1629">
        <v>595</v>
      </c>
      <c r="M159" s="1629"/>
      <c r="N159" s="582"/>
      <c r="O159" s="582"/>
      <c r="P159" s="582"/>
    </row>
    <row r="160" spans="1:16">
      <c r="A160" s="583" t="s">
        <v>304</v>
      </c>
      <c r="B160" s="1629">
        <v>11</v>
      </c>
      <c r="C160" s="1629">
        <v>220000</v>
      </c>
      <c r="D160" s="1629">
        <v>0</v>
      </c>
      <c r="E160" s="1629"/>
      <c r="F160" s="1629">
        <v>20</v>
      </c>
      <c r="G160" s="1629"/>
      <c r="H160" s="1629">
        <v>5</v>
      </c>
      <c r="I160" s="1629">
        <v>125000</v>
      </c>
      <c r="J160" s="1629">
        <v>0</v>
      </c>
      <c r="K160" s="1629"/>
      <c r="L160" s="1629">
        <v>1000</v>
      </c>
      <c r="M160" s="1629"/>
      <c r="N160" s="582"/>
      <c r="O160" s="582"/>
      <c r="P160" s="582"/>
    </row>
    <row r="161" spans="1:16">
      <c r="A161" s="583" t="s">
        <v>299</v>
      </c>
      <c r="B161" s="1629">
        <v>7</v>
      </c>
      <c r="C161" s="1629">
        <v>140000</v>
      </c>
      <c r="D161" s="1629">
        <v>6</v>
      </c>
      <c r="E161" s="1629"/>
      <c r="F161" s="1629">
        <v>23</v>
      </c>
      <c r="G161" s="1629"/>
      <c r="H161" s="1629">
        <v>6</v>
      </c>
      <c r="I161" s="1629">
        <v>150000</v>
      </c>
      <c r="J161" s="1629">
        <v>2</v>
      </c>
      <c r="K161" s="1629">
        <v>36000</v>
      </c>
      <c r="L161" s="1629">
        <v>182</v>
      </c>
      <c r="M161" s="1629"/>
      <c r="N161" s="582"/>
      <c r="O161" s="582"/>
      <c r="P161" s="582"/>
    </row>
    <row r="162" spans="1:16">
      <c r="A162" s="583" t="s">
        <v>565</v>
      </c>
      <c r="B162" s="1629">
        <v>2</v>
      </c>
      <c r="C162" s="1629">
        <v>40000</v>
      </c>
      <c r="D162" s="1629">
        <v>12</v>
      </c>
      <c r="E162" s="1629"/>
      <c r="F162" s="1629">
        <v>0</v>
      </c>
      <c r="G162" s="1629"/>
      <c r="H162" s="1629">
        <v>3</v>
      </c>
      <c r="I162" s="1629">
        <v>75000</v>
      </c>
      <c r="J162" s="1629">
        <v>6</v>
      </c>
      <c r="K162" s="1629">
        <v>108000</v>
      </c>
      <c r="L162" s="1629">
        <v>0</v>
      </c>
      <c r="M162" s="1629"/>
      <c r="N162" s="582"/>
      <c r="O162" s="582"/>
      <c r="P162" s="582"/>
    </row>
    <row r="163" spans="1:16">
      <c r="A163" s="583" t="s">
        <v>330</v>
      </c>
      <c r="B163" s="1629">
        <v>4</v>
      </c>
      <c r="C163" s="1629">
        <v>80000</v>
      </c>
      <c r="D163" s="1629">
        <v>0</v>
      </c>
      <c r="E163" s="1629"/>
      <c r="F163" s="1629">
        <v>0</v>
      </c>
      <c r="G163" s="1629"/>
      <c r="H163" s="1629">
        <v>1</v>
      </c>
      <c r="I163" s="1629">
        <v>25000</v>
      </c>
      <c r="J163" s="1629">
        <v>3</v>
      </c>
      <c r="K163" s="1629">
        <v>54000</v>
      </c>
      <c r="L163" s="1629">
        <v>190</v>
      </c>
      <c r="M163" s="1629"/>
      <c r="N163" s="582"/>
      <c r="O163" s="582"/>
      <c r="P163" s="582"/>
    </row>
    <row r="164" spans="1:16">
      <c r="A164" s="583" t="s">
        <v>605</v>
      </c>
      <c r="B164" s="1629">
        <v>0</v>
      </c>
      <c r="C164" s="1629"/>
      <c r="D164" s="1629">
        <v>3</v>
      </c>
      <c r="E164" s="1629"/>
      <c r="F164" s="1629">
        <v>6</v>
      </c>
      <c r="G164" s="1629"/>
      <c r="H164" s="1629">
        <v>3</v>
      </c>
      <c r="I164" s="1629">
        <v>75000</v>
      </c>
      <c r="J164" s="1629">
        <v>0</v>
      </c>
      <c r="K164" s="1629"/>
      <c r="L164" s="1629">
        <v>100</v>
      </c>
      <c r="M164" s="1629"/>
      <c r="N164" s="582"/>
      <c r="O164" s="582"/>
      <c r="P164" s="582"/>
    </row>
    <row r="165" spans="1:16">
      <c r="A165" s="583" t="s">
        <v>487</v>
      </c>
      <c r="B165" s="1629">
        <v>0</v>
      </c>
      <c r="C165" s="1629"/>
      <c r="D165" s="1629">
        <v>1</v>
      </c>
      <c r="E165" s="1629"/>
      <c r="F165" s="1629">
        <v>8</v>
      </c>
      <c r="G165" s="1629"/>
      <c r="H165" s="1629">
        <v>1</v>
      </c>
      <c r="I165" s="1629">
        <v>25000</v>
      </c>
      <c r="J165" s="1629">
        <v>1</v>
      </c>
      <c r="K165" s="1629">
        <v>18000</v>
      </c>
      <c r="L165" s="1629">
        <v>0</v>
      </c>
      <c r="M165" s="1629"/>
      <c r="N165" s="582"/>
      <c r="O165" s="582"/>
      <c r="P165" s="582"/>
    </row>
    <row r="166" spans="1:16">
      <c r="A166" s="583" t="s">
        <v>606</v>
      </c>
      <c r="B166" s="1629">
        <v>0</v>
      </c>
      <c r="C166" s="1629"/>
      <c r="D166" s="1629">
        <v>1</v>
      </c>
      <c r="E166" s="1629"/>
      <c r="F166" s="1629">
        <v>0</v>
      </c>
      <c r="G166" s="1629"/>
      <c r="H166" s="1629">
        <v>0</v>
      </c>
      <c r="I166" s="1629"/>
      <c r="J166" s="1629">
        <v>0</v>
      </c>
      <c r="K166" s="1629"/>
      <c r="L166" s="1629">
        <v>66</v>
      </c>
      <c r="M166" s="1629"/>
      <c r="N166" s="582"/>
      <c r="O166" s="582"/>
      <c r="P166" s="582"/>
    </row>
    <row r="167" spans="1:16">
      <c r="A167" s="840" t="s">
        <v>25</v>
      </c>
      <c r="B167" s="1629">
        <f>SUM(B155:B166)</f>
        <v>1057</v>
      </c>
      <c r="C167" s="1629">
        <f>SUM(C155:C166)</f>
        <v>21140000</v>
      </c>
      <c r="D167" s="1629">
        <f>SUM(D155:D166)</f>
        <v>667</v>
      </c>
      <c r="E167" s="1629"/>
      <c r="F167" s="1629">
        <f>SUM(F155:F166)</f>
        <v>100</v>
      </c>
      <c r="G167" s="1629"/>
      <c r="H167" s="1629">
        <f>SUM(H155:H166)</f>
        <v>796</v>
      </c>
      <c r="I167" s="1629">
        <f>SUM(I155:I166)</f>
        <v>19900000</v>
      </c>
      <c r="J167" s="1629">
        <f>SUM(J155:J166)</f>
        <v>207</v>
      </c>
      <c r="K167" s="1629">
        <f>SUM(K155:K166)</f>
        <v>3726000</v>
      </c>
      <c r="L167" s="1629">
        <f>SUM(L155:L166)</f>
        <v>8017</v>
      </c>
      <c r="M167" s="1629"/>
      <c r="N167" s="582"/>
      <c r="O167" s="582"/>
      <c r="P167" s="582"/>
    </row>
    <row r="168" spans="1:16">
      <c r="A168" s="840" t="s">
        <v>357</v>
      </c>
      <c r="B168" s="1629">
        <f>C167+I167+K167</f>
        <v>44766000</v>
      </c>
      <c r="C168" s="1629"/>
      <c r="D168" s="1629"/>
      <c r="E168" s="1629"/>
      <c r="F168" s="1629"/>
      <c r="G168" s="1629"/>
      <c r="H168" s="1629"/>
      <c r="I168" s="1629"/>
      <c r="J168" s="1629"/>
      <c r="K168" s="1629"/>
      <c r="L168" s="1629"/>
      <c r="M168" s="1629"/>
      <c r="N168" s="582"/>
      <c r="O168" s="582"/>
      <c r="P168" s="582"/>
    </row>
    <row r="169" spans="1:16">
      <c r="A169" s="582"/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</row>
    <row r="170" spans="1:16">
      <c r="A170" s="582"/>
      <c r="B170" s="582"/>
      <c r="C170" s="582"/>
      <c r="D170" s="582"/>
      <c r="E170" s="582"/>
      <c r="F170" s="582"/>
      <c r="G170" s="582"/>
      <c r="H170" s="582"/>
      <c r="I170" s="582"/>
      <c r="J170" s="582"/>
      <c r="K170" s="582"/>
      <c r="L170" s="582"/>
      <c r="M170" s="582"/>
      <c r="N170" s="582"/>
      <c r="O170" s="582"/>
      <c r="P170" s="582"/>
    </row>
    <row r="171" spans="1:16">
      <c r="A171" s="1635" t="s">
        <v>607</v>
      </c>
      <c r="B171" s="582"/>
      <c r="C171" s="582"/>
      <c r="D171" s="582"/>
      <c r="E171" s="582"/>
      <c r="F171" s="582"/>
      <c r="G171" s="582"/>
      <c r="H171" s="582"/>
      <c r="I171" s="582"/>
      <c r="J171" s="582"/>
      <c r="K171" s="582"/>
      <c r="L171" s="582"/>
      <c r="M171" s="582"/>
      <c r="N171" s="582"/>
      <c r="O171" s="582"/>
      <c r="P171" s="582"/>
    </row>
    <row r="172" spans="1:16" ht="28.5">
      <c r="A172" s="1645" t="s">
        <v>562</v>
      </c>
      <c r="B172" s="1645" t="s">
        <v>293</v>
      </c>
      <c r="C172" s="1646" t="s">
        <v>584</v>
      </c>
      <c r="D172" s="1645" t="s">
        <v>292</v>
      </c>
      <c r="E172" s="1646" t="s">
        <v>584</v>
      </c>
      <c r="F172" s="1645" t="s">
        <v>301</v>
      </c>
      <c r="G172" s="1646" t="s">
        <v>584</v>
      </c>
      <c r="H172" s="1645" t="s">
        <v>608</v>
      </c>
      <c r="I172" s="1646" t="s">
        <v>584</v>
      </c>
      <c r="J172" s="1645" t="s">
        <v>317</v>
      </c>
      <c r="K172" s="1646" t="s">
        <v>584</v>
      </c>
      <c r="L172" s="1645" t="s">
        <v>288</v>
      </c>
      <c r="M172" s="1646" t="s">
        <v>584</v>
      </c>
      <c r="N172" s="582"/>
      <c r="O172" s="582"/>
      <c r="P172" s="582"/>
    </row>
    <row r="173" spans="1:16">
      <c r="A173" s="583" t="s">
        <v>330</v>
      </c>
      <c r="B173" s="1629">
        <v>10</v>
      </c>
      <c r="C173" s="1629">
        <v>185000</v>
      </c>
      <c r="D173" s="1629"/>
      <c r="E173" s="1629"/>
      <c r="F173" s="1629"/>
      <c r="G173" s="1629"/>
      <c r="H173" s="1629"/>
      <c r="I173" s="1629"/>
      <c r="J173" s="1629"/>
      <c r="K173" s="1629"/>
      <c r="L173" s="1629">
        <v>20</v>
      </c>
      <c r="M173" s="1629">
        <v>9000</v>
      </c>
      <c r="N173" s="582"/>
      <c r="O173" s="582"/>
      <c r="P173" s="582"/>
    </row>
    <row r="174" spans="1:16">
      <c r="A174" s="840" t="s">
        <v>25</v>
      </c>
      <c r="B174" s="1629">
        <f>SUM(B173)</f>
        <v>10</v>
      </c>
      <c r="C174" s="1629">
        <f>SUM(C173)</f>
        <v>185000</v>
      </c>
      <c r="D174" s="1629"/>
      <c r="E174" s="1629"/>
      <c r="F174" s="1629"/>
      <c r="G174" s="1629"/>
      <c r="H174" s="1629"/>
      <c r="I174" s="1629"/>
      <c r="J174" s="1629"/>
      <c r="K174" s="1629"/>
      <c r="L174" s="1629">
        <f>SUM(L173)</f>
        <v>20</v>
      </c>
      <c r="M174" s="1629">
        <f>SUM(M173)</f>
        <v>9000</v>
      </c>
      <c r="N174" s="582"/>
      <c r="O174" s="582"/>
      <c r="P174" s="582"/>
    </row>
    <row r="175" spans="1:16">
      <c r="A175" s="840" t="s">
        <v>357</v>
      </c>
      <c r="B175" s="1629">
        <f>C174+M174</f>
        <v>194000</v>
      </c>
      <c r="C175" s="1629"/>
      <c r="D175" s="1629"/>
      <c r="E175" s="1629"/>
      <c r="F175" s="1629"/>
      <c r="G175" s="1629"/>
      <c r="H175" s="1629"/>
      <c r="I175" s="1629"/>
      <c r="J175" s="1629"/>
      <c r="K175" s="1629"/>
      <c r="L175" s="1629"/>
      <c r="M175" s="1629"/>
      <c r="N175" s="582"/>
      <c r="O175" s="582"/>
      <c r="P175" s="582"/>
    </row>
    <row r="176" spans="1:16">
      <c r="A176" s="582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2"/>
      <c r="P176" s="582"/>
    </row>
    <row r="177" spans="1:16">
      <c r="A177" s="1635" t="s">
        <v>609</v>
      </c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2"/>
      <c r="P177" s="582"/>
    </row>
    <row r="178" spans="1:16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</row>
    <row r="179" spans="1:16">
      <c r="A179" s="1635" t="s">
        <v>610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</row>
    <row r="180" spans="1:16">
      <c r="A180" s="1695" t="s">
        <v>562</v>
      </c>
      <c r="B180" s="1695" t="s">
        <v>313</v>
      </c>
      <c r="C180" s="1695"/>
      <c r="D180" s="1695" t="s">
        <v>314</v>
      </c>
      <c r="E180" s="1695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</row>
    <row r="181" spans="1:16">
      <c r="A181" s="1695"/>
      <c r="B181" s="1695" t="s">
        <v>611</v>
      </c>
      <c r="C181" s="1695"/>
      <c r="D181" s="1695" t="s">
        <v>612</v>
      </c>
      <c r="E181" s="1695"/>
      <c r="F181" s="582"/>
      <c r="G181" s="582"/>
      <c r="H181" s="582"/>
      <c r="I181" s="582"/>
      <c r="J181" s="582"/>
      <c r="K181" s="582"/>
      <c r="L181" s="582"/>
      <c r="M181" s="582"/>
      <c r="N181" s="582"/>
      <c r="O181" s="582"/>
      <c r="P181" s="582"/>
    </row>
    <row r="182" spans="1:16">
      <c r="A182" s="1695"/>
      <c r="B182" s="1647" t="s">
        <v>613</v>
      </c>
      <c r="C182" s="583" t="s">
        <v>614</v>
      </c>
      <c r="D182" s="583" t="s">
        <v>613</v>
      </c>
      <c r="E182" s="583" t="s">
        <v>614</v>
      </c>
      <c r="F182" s="582"/>
      <c r="G182" s="582"/>
      <c r="H182" s="582"/>
      <c r="I182" s="582"/>
      <c r="J182" s="582"/>
      <c r="K182" s="582"/>
      <c r="L182" s="582"/>
      <c r="M182" s="582"/>
      <c r="N182" s="582"/>
      <c r="O182" s="582"/>
      <c r="P182" s="582"/>
    </row>
    <row r="183" spans="1:16">
      <c r="A183" s="583" t="s">
        <v>487</v>
      </c>
      <c r="B183" s="1629"/>
      <c r="C183" s="1629"/>
      <c r="D183" s="1629">
        <v>300</v>
      </c>
      <c r="E183" s="1629">
        <v>295500</v>
      </c>
      <c r="F183" s="582"/>
      <c r="G183" s="582"/>
      <c r="H183" s="582"/>
      <c r="I183" s="582"/>
      <c r="J183" s="582"/>
      <c r="K183" s="582"/>
      <c r="L183" s="582"/>
      <c r="M183" s="582"/>
      <c r="N183" s="582"/>
      <c r="O183" s="582"/>
      <c r="P183" s="582"/>
    </row>
    <row r="184" spans="1:16">
      <c r="A184" s="583" t="s">
        <v>492</v>
      </c>
      <c r="B184" s="1629">
        <v>315</v>
      </c>
      <c r="C184" s="1629">
        <v>428400</v>
      </c>
      <c r="D184" s="1629">
        <v>1002</v>
      </c>
      <c r="E184" s="1629">
        <v>986970</v>
      </c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</row>
    <row r="185" spans="1:16">
      <c r="A185" s="583" t="s">
        <v>494</v>
      </c>
      <c r="B185" s="1629"/>
      <c r="C185" s="1629"/>
      <c r="D185" s="1629">
        <v>1000</v>
      </c>
      <c r="E185" s="1629">
        <v>985000</v>
      </c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</row>
    <row r="186" spans="1:16">
      <c r="A186" s="583" t="s">
        <v>566</v>
      </c>
      <c r="B186" s="1629">
        <v>1</v>
      </c>
      <c r="C186" s="1629">
        <v>1360</v>
      </c>
      <c r="D186" s="1629">
        <v>120</v>
      </c>
      <c r="E186" s="1629">
        <v>118200</v>
      </c>
      <c r="F186" s="582"/>
      <c r="G186" s="582"/>
      <c r="H186" s="582"/>
      <c r="I186" s="582"/>
      <c r="J186" s="582"/>
      <c r="K186" s="582"/>
      <c r="L186" s="582"/>
      <c r="M186" s="582"/>
      <c r="N186" s="582"/>
      <c r="O186" s="582"/>
      <c r="P186" s="582"/>
    </row>
    <row r="187" spans="1:16">
      <c r="A187" s="583" t="s">
        <v>486</v>
      </c>
      <c r="B187" s="1629">
        <v>11</v>
      </c>
      <c r="C187" s="1629">
        <v>14960</v>
      </c>
      <c r="D187" s="1629">
        <v>120</v>
      </c>
      <c r="E187" s="1629">
        <v>118200</v>
      </c>
      <c r="F187" s="582"/>
      <c r="G187" s="582"/>
      <c r="H187" s="582"/>
      <c r="I187" s="582"/>
      <c r="J187" s="582"/>
      <c r="K187" s="582"/>
      <c r="L187" s="582"/>
      <c r="M187" s="582"/>
      <c r="N187" s="582"/>
      <c r="O187" s="582"/>
      <c r="P187" s="582"/>
    </row>
    <row r="188" spans="1:16">
      <c r="A188" s="583" t="s">
        <v>504</v>
      </c>
      <c r="B188" s="1629">
        <v>0</v>
      </c>
      <c r="C188" s="1629"/>
      <c r="D188" s="1629">
        <v>100</v>
      </c>
      <c r="E188" s="1629">
        <v>98500</v>
      </c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</row>
    <row r="189" spans="1:16">
      <c r="A189" s="583" t="s">
        <v>330</v>
      </c>
      <c r="B189" s="1629">
        <v>2</v>
      </c>
      <c r="C189" s="1629">
        <v>2720</v>
      </c>
      <c r="D189" s="1629">
        <v>1000</v>
      </c>
      <c r="E189" s="1629">
        <v>985000</v>
      </c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</row>
    <row r="190" spans="1:16">
      <c r="A190" s="583" t="s">
        <v>485</v>
      </c>
      <c r="B190" s="1629">
        <v>10</v>
      </c>
      <c r="C190" s="1629">
        <v>13600</v>
      </c>
      <c r="D190" s="1629">
        <v>600</v>
      </c>
      <c r="E190" s="1629">
        <v>591000</v>
      </c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</row>
    <row r="191" spans="1:16">
      <c r="A191" s="583" t="s">
        <v>589</v>
      </c>
      <c r="B191" s="1629"/>
      <c r="C191" s="1629"/>
      <c r="D191" s="1629"/>
      <c r="E191" s="1629">
        <v>246250</v>
      </c>
      <c r="F191" s="582"/>
      <c r="G191" s="582"/>
      <c r="H191" s="582"/>
      <c r="I191" s="582"/>
      <c r="J191" s="582"/>
      <c r="K191" s="582"/>
      <c r="L191" s="582"/>
      <c r="M191" s="582"/>
      <c r="N191" s="582"/>
      <c r="O191" s="582"/>
      <c r="P191" s="582"/>
    </row>
    <row r="192" spans="1:16">
      <c r="A192" s="583" t="s">
        <v>343</v>
      </c>
      <c r="B192" s="1629"/>
      <c r="C192" s="1629"/>
      <c r="D192" s="1629"/>
      <c r="E192" s="1629">
        <v>591000</v>
      </c>
      <c r="F192" s="582"/>
      <c r="G192" s="582"/>
      <c r="H192" s="582"/>
      <c r="I192" s="582"/>
      <c r="J192" s="582"/>
      <c r="K192" s="582"/>
      <c r="L192" s="582"/>
      <c r="M192" s="582"/>
      <c r="N192" s="582"/>
      <c r="O192" s="582"/>
      <c r="P192" s="582"/>
    </row>
    <row r="193" spans="1:16">
      <c r="A193" s="583" t="s">
        <v>563</v>
      </c>
      <c r="B193" s="1629">
        <v>3050</v>
      </c>
      <c r="C193" s="1629">
        <v>4148000</v>
      </c>
      <c r="D193" s="1629">
        <v>2000</v>
      </c>
      <c r="E193" s="1629">
        <v>1970000</v>
      </c>
      <c r="F193" s="582"/>
      <c r="G193" s="582"/>
      <c r="H193" s="582"/>
      <c r="I193" s="582"/>
      <c r="J193" s="582"/>
      <c r="K193" s="582"/>
      <c r="L193" s="582"/>
      <c r="M193" s="582"/>
      <c r="N193" s="582"/>
      <c r="O193" s="582"/>
      <c r="P193" s="582"/>
    </row>
    <row r="194" spans="1:16">
      <c r="A194" s="583" t="s">
        <v>304</v>
      </c>
      <c r="B194" s="1629">
        <v>2916</v>
      </c>
      <c r="C194" s="1629">
        <v>3965760</v>
      </c>
      <c r="D194" s="1629">
        <v>320</v>
      </c>
      <c r="E194" s="1629">
        <v>315200</v>
      </c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</row>
    <row r="195" spans="1:16">
      <c r="A195" s="583" t="s">
        <v>299</v>
      </c>
      <c r="B195" s="1629">
        <v>464</v>
      </c>
      <c r="C195" s="1629">
        <v>631040</v>
      </c>
      <c r="D195" s="1629"/>
      <c r="E195" s="1629"/>
      <c r="F195" s="582"/>
      <c r="G195" s="582"/>
      <c r="H195" s="582"/>
      <c r="I195" s="582"/>
      <c r="J195" s="582"/>
      <c r="K195" s="582"/>
      <c r="L195" s="582"/>
      <c r="M195" s="582"/>
      <c r="N195" s="582"/>
      <c r="O195" s="582"/>
      <c r="P195" s="582"/>
    </row>
    <row r="196" spans="1:16">
      <c r="A196" s="583" t="s">
        <v>564</v>
      </c>
      <c r="B196" s="1629">
        <v>803</v>
      </c>
      <c r="C196" s="1629">
        <v>1092080</v>
      </c>
      <c r="D196" s="1629">
        <v>600</v>
      </c>
      <c r="E196" s="1629">
        <v>591000</v>
      </c>
      <c r="F196" s="582"/>
      <c r="G196" s="582"/>
      <c r="H196" s="582"/>
      <c r="I196" s="582"/>
      <c r="J196" s="582"/>
      <c r="K196" s="582"/>
      <c r="L196" s="582"/>
      <c r="M196" s="582"/>
      <c r="N196" s="582"/>
      <c r="O196" s="582"/>
      <c r="P196" s="582"/>
    </row>
    <row r="197" spans="1:16">
      <c r="A197" s="583" t="s">
        <v>493</v>
      </c>
      <c r="B197" s="1629"/>
      <c r="C197" s="1629"/>
      <c r="D197" s="1629">
        <v>600</v>
      </c>
      <c r="E197" s="1629">
        <v>591000</v>
      </c>
      <c r="F197" s="582"/>
      <c r="G197" s="582"/>
      <c r="H197" s="582"/>
      <c r="I197" s="582"/>
      <c r="J197" s="582"/>
      <c r="K197" s="582"/>
      <c r="L197" s="582"/>
      <c r="M197" s="582"/>
      <c r="N197" s="582"/>
      <c r="O197" s="582"/>
      <c r="P197" s="582"/>
    </row>
    <row r="198" spans="1:16">
      <c r="A198" s="583" t="s">
        <v>565</v>
      </c>
      <c r="B198" s="1629">
        <v>48</v>
      </c>
      <c r="C198" s="1629">
        <v>65280</v>
      </c>
      <c r="D198" s="1629">
        <v>300</v>
      </c>
      <c r="E198" s="1629">
        <v>295500</v>
      </c>
      <c r="F198" s="582"/>
      <c r="G198" s="582"/>
      <c r="H198" s="582"/>
      <c r="I198" s="582"/>
      <c r="J198" s="582"/>
      <c r="K198" s="582"/>
      <c r="L198" s="582"/>
      <c r="M198" s="582"/>
      <c r="N198" s="582"/>
      <c r="O198" s="582"/>
      <c r="P198" s="582"/>
    </row>
    <row r="199" spans="1:16">
      <c r="A199" s="583" t="s">
        <v>302</v>
      </c>
      <c r="B199" s="1629"/>
      <c r="C199" s="1629"/>
      <c r="D199" s="1629">
        <v>100</v>
      </c>
      <c r="E199" s="1629">
        <v>98500</v>
      </c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</row>
    <row r="200" spans="1:16">
      <c r="A200" s="583" t="s">
        <v>295</v>
      </c>
      <c r="B200" s="1629">
        <v>164</v>
      </c>
      <c r="C200" s="1629">
        <v>223040</v>
      </c>
      <c r="D200" s="1629">
        <v>1002</v>
      </c>
      <c r="E200" s="1629">
        <v>986970</v>
      </c>
      <c r="F200" s="582"/>
      <c r="G200" s="582"/>
      <c r="H200" s="582"/>
      <c r="I200" s="582"/>
      <c r="J200" s="582"/>
      <c r="K200" s="582"/>
      <c r="L200" s="582"/>
      <c r="M200" s="582"/>
      <c r="N200" s="582"/>
      <c r="O200" s="582"/>
      <c r="P200" s="582"/>
    </row>
    <row r="201" spans="1:16">
      <c r="A201" s="583" t="s">
        <v>567</v>
      </c>
      <c r="B201" s="1629">
        <v>30</v>
      </c>
      <c r="C201" s="1629">
        <v>40800</v>
      </c>
      <c r="D201" s="1629"/>
      <c r="E201" s="1629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</row>
    <row r="202" spans="1:16">
      <c r="A202" s="583" t="s">
        <v>287</v>
      </c>
      <c r="B202" s="1629">
        <v>68</v>
      </c>
      <c r="C202" s="1629">
        <v>92480</v>
      </c>
      <c r="D202" s="1629"/>
      <c r="E202" s="1629"/>
      <c r="F202" s="582"/>
      <c r="G202" s="582"/>
      <c r="H202" s="582"/>
      <c r="I202" s="582"/>
      <c r="J202" s="582"/>
      <c r="K202" s="582"/>
      <c r="L202" s="582"/>
      <c r="M202" s="582"/>
      <c r="N202" s="582"/>
      <c r="O202" s="582"/>
      <c r="P202" s="582"/>
    </row>
    <row r="203" spans="1:16">
      <c r="A203" s="840" t="s">
        <v>25</v>
      </c>
      <c r="B203" s="1629">
        <f>SUM(B183:B202)</f>
        <v>7882</v>
      </c>
      <c r="C203" s="1629">
        <f>SUM(C183:C202)</f>
        <v>10719520</v>
      </c>
      <c r="D203" s="1629">
        <f>SUM(D183:D202)</f>
        <v>9164</v>
      </c>
      <c r="E203" s="1629">
        <f>SUM(E183:E202)</f>
        <v>9863790</v>
      </c>
      <c r="F203" s="582"/>
      <c r="G203" s="582"/>
      <c r="H203" s="582"/>
      <c r="I203" s="582"/>
      <c r="J203" s="582"/>
      <c r="K203" s="582"/>
      <c r="L203" s="582"/>
      <c r="M203" s="582"/>
      <c r="N203" s="582"/>
      <c r="O203" s="582"/>
      <c r="P203" s="582"/>
    </row>
    <row r="204" spans="1:16">
      <c r="A204" s="840" t="s">
        <v>357</v>
      </c>
      <c r="B204" s="1692">
        <f>C203+E203</f>
        <v>20583310</v>
      </c>
      <c r="C204" s="1693"/>
      <c r="D204" s="1693"/>
      <c r="E204" s="1694"/>
      <c r="F204" s="582"/>
      <c r="G204" s="582"/>
      <c r="H204" s="582"/>
      <c r="I204" s="582"/>
      <c r="J204" s="582"/>
      <c r="K204" s="582"/>
      <c r="L204" s="582"/>
      <c r="M204" s="582"/>
      <c r="N204" s="582"/>
      <c r="O204" s="582"/>
      <c r="P204" s="582"/>
    </row>
    <row r="205" spans="1:16">
      <c r="A205" s="582"/>
      <c r="B205" s="582"/>
      <c r="C205" s="582"/>
      <c r="D205" s="582"/>
      <c r="E205" s="582"/>
      <c r="F205" s="582"/>
      <c r="G205" s="582"/>
      <c r="H205" s="582"/>
      <c r="I205" s="582"/>
      <c r="J205" s="582"/>
      <c r="K205" s="582"/>
      <c r="L205" s="582"/>
      <c r="M205" s="582"/>
      <c r="N205" s="582"/>
      <c r="O205" s="582"/>
      <c r="P205" s="582"/>
    </row>
    <row r="206" spans="1:16">
      <c r="A206" s="582"/>
      <c r="B206" s="582"/>
      <c r="C206" s="582"/>
      <c r="D206" s="582"/>
      <c r="E206" s="582"/>
      <c r="F206" s="582"/>
      <c r="G206" s="582"/>
      <c r="H206" s="582"/>
      <c r="I206" s="582"/>
      <c r="J206" s="582"/>
      <c r="K206" s="582"/>
      <c r="L206" s="582"/>
      <c r="M206" s="582"/>
      <c r="N206" s="582"/>
      <c r="O206" s="582"/>
      <c r="P206" s="582"/>
    </row>
    <row r="207" spans="1:16">
      <c r="A207" s="1635" t="s">
        <v>615</v>
      </c>
      <c r="B207" s="582"/>
      <c r="C207" s="582"/>
      <c r="D207" s="582"/>
      <c r="E207" s="582"/>
      <c r="F207" s="582"/>
      <c r="G207" s="582"/>
      <c r="H207" s="582"/>
      <c r="I207" s="582"/>
      <c r="J207" s="582"/>
      <c r="K207" s="582"/>
      <c r="L207" s="582"/>
      <c r="M207" s="582"/>
      <c r="N207" s="582"/>
      <c r="O207" s="582"/>
      <c r="P207" s="582"/>
    </row>
    <row r="208" spans="1:16">
      <c r="A208" s="1695" t="s">
        <v>562</v>
      </c>
      <c r="B208" s="1696" t="s">
        <v>313</v>
      </c>
      <c r="C208" s="1697"/>
      <c r="D208" s="1697"/>
      <c r="E208" s="1698"/>
      <c r="F208" s="1695" t="s">
        <v>314</v>
      </c>
      <c r="G208" s="1695"/>
      <c r="H208" s="582"/>
      <c r="I208" s="582"/>
      <c r="J208" s="582"/>
      <c r="K208" s="582"/>
      <c r="L208" s="582"/>
      <c r="M208" s="582"/>
      <c r="N208" s="582"/>
      <c r="O208" s="582"/>
      <c r="P208" s="582"/>
    </row>
    <row r="209" spans="1:16">
      <c r="A209" s="1695"/>
      <c r="B209" s="1695" t="s">
        <v>611</v>
      </c>
      <c r="C209" s="1695"/>
      <c r="D209" s="1695" t="s">
        <v>616</v>
      </c>
      <c r="E209" s="1695"/>
      <c r="F209" s="1695" t="s">
        <v>612</v>
      </c>
      <c r="G209" s="1695"/>
      <c r="H209" s="582"/>
      <c r="I209" s="582"/>
      <c r="J209" s="582"/>
      <c r="K209" s="582"/>
      <c r="L209" s="582"/>
      <c r="M209" s="582"/>
      <c r="N209" s="582"/>
      <c r="O209" s="582"/>
      <c r="P209" s="582"/>
    </row>
    <row r="210" spans="1:16">
      <c r="A210" s="1695"/>
      <c r="B210" s="1647" t="s">
        <v>613</v>
      </c>
      <c r="C210" s="583" t="s">
        <v>614</v>
      </c>
      <c r="D210" s="583" t="s">
        <v>613</v>
      </c>
      <c r="E210" s="583" t="s">
        <v>614</v>
      </c>
      <c r="F210" s="583" t="s">
        <v>613</v>
      </c>
      <c r="G210" s="583" t="s">
        <v>614</v>
      </c>
      <c r="H210" s="582"/>
      <c r="I210" s="582"/>
      <c r="J210" s="582"/>
      <c r="K210" s="582"/>
      <c r="L210" s="582"/>
      <c r="M210" s="582"/>
      <c r="N210" s="582"/>
      <c r="O210" s="582"/>
      <c r="P210" s="582"/>
    </row>
    <row r="211" spans="1:16">
      <c r="A211" s="583" t="s">
        <v>342</v>
      </c>
      <c r="B211" s="1629">
        <v>2</v>
      </c>
      <c r="C211" s="1629">
        <v>2720</v>
      </c>
      <c r="D211" s="1629">
        <v>91</v>
      </c>
      <c r="E211" s="1629">
        <v>105560</v>
      </c>
      <c r="F211" s="1629">
        <v>60</v>
      </c>
      <c r="G211" s="1629">
        <v>59100</v>
      </c>
      <c r="H211" s="582"/>
      <c r="I211" s="582"/>
      <c r="J211" s="582"/>
      <c r="K211" s="582"/>
      <c r="L211" s="582"/>
      <c r="M211" s="582"/>
      <c r="N211" s="582"/>
      <c r="O211" s="582"/>
      <c r="P211" s="582"/>
    </row>
    <row r="212" spans="1:16">
      <c r="A212" s="583" t="s">
        <v>569</v>
      </c>
      <c r="B212" s="1629"/>
      <c r="C212" s="1629"/>
      <c r="D212" s="1629">
        <v>5</v>
      </c>
      <c r="E212" s="1629">
        <v>5800</v>
      </c>
      <c r="F212" s="1629"/>
      <c r="G212" s="1629"/>
      <c r="H212" s="582"/>
      <c r="I212" s="582"/>
      <c r="J212" s="582"/>
      <c r="K212" s="582"/>
      <c r="L212" s="582"/>
      <c r="M212" s="582"/>
      <c r="N212" s="582"/>
      <c r="O212" s="582"/>
      <c r="P212" s="582"/>
    </row>
    <row r="213" spans="1:16">
      <c r="A213" s="583" t="s">
        <v>572</v>
      </c>
      <c r="B213" s="1629"/>
      <c r="C213" s="1629"/>
      <c r="D213" s="1629">
        <v>15</v>
      </c>
      <c r="E213" s="1629">
        <v>17400</v>
      </c>
      <c r="F213" s="1629"/>
      <c r="G213" s="1629"/>
      <c r="H213" s="582"/>
      <c r="I213" s="582"/>
      <c r="J213" s="582"/>
      <c r="K213" s="582"/>
      <c r="L213" s="582"/>
      <c r="M213" s="582"/>
      <c r="N213" s="582"/>
      <c r="O213" s="582"/>
      <c r="P213" s="582"/>
    </row>
    <row r="214" spans="1:16">
      <c r="A214" s="583" t="s">
        <v>335</v>
      </c>
      <c r="B214" s="1629"/>
      <c r="C214" s="1629"/>
      <c r="D214" s="1629">
        <v>65</v>
      </c>
      <c r="E214" s="1629">
        <v>75400</v>
      </c>
      <c r="F214" s="1629"/>
      <c r="G214" s="1629"/>
      <c r="H214" s="582"/>
      <c r="I214" s="582"/>
      <c r="J214" s="582"/>
      <c r="K214" s="582"/>
      <c r="L214" s="582"/>
      <c r="M214" s="582"/>
      <c r="N214" s="582"/>
      <c r="O214" s="582"/>
      <c r="P214" s="582"/>
    </row>
    <row r="215" spans="1:16">
      <c r="A215" s="583" t="s">
        <v>592</v>
      </c>
      <c r="B215" s="1629"/>
      <c r="C215" s="1629"/>
      <c r="D215" s="1629">
        <v>1129</v>
      </c>
      <c r="E215" s="1629">
        <v>1309640</v>
      </c>
      <c r="F215" s="1629">
        <v>160</v>
      </c>
      <c r="G215" s="1629">
        <v>157600</v>
      </c>
      <c r="H215" s="582"/>
      <c r="I215" s="582"/>
      <c r="J215" s="582"/>
      <c r="K215" s="582"/>
      <c r="L215" s="582"/>
      <c r="M215" s="582"/>
      <c r="N215" s="582"/>
      <c r="O215" s="582"/>
      <c r="P215" s="582"/>
    </row>
    <row r="216" spans="1:16">
      <c r="A216" s="583" t="s">
        <v>339</v>
      </c>
      <c r="B216" s="1629"/>
      <c r="C216" s="1629"/>
      <c r="D216" s="1629">
        <v>18</v>
      </c>
      <c r="E216" s="1629">
        <v>20880</v>
      </c>
      <c r="F216" s="1629"/>
      <c r="G216" s="1629"/>
      <c r="H216" s="582"/>
      <c r="I216" s="582"/>
      <c r="J216" s="582"/>
      <c r="K216" s="582"/>
      <c r="L216" s="582"/>
      <c r="M216" s="582"/>
      <c r="N216" s="582"/>
      <c r="O216" s="582"/>
      <c r="P216" s="582"/>
    </row>
    <row r="217" spans="1:16">
      <c r="A217" s="583" t="s">
        <v>338</v>
      </c>
      <c r="B217" s="1629"/>
      <c r="C217" s="1629"/>
      <c r="D217" s="1629">
        <v>3</v>
      </c>
      <c r="E217" s="1629">
        <v>3480</v>
      </c>
      <c r="F217" s="1629"/>
      <c r="G217" s="1629"/>
      <c r="H217" s="582"/>
      <c r="I217" s="582"/>
      <c r="J217" s="582"/>
      <c r="K217" s="582"/>
      <c r="L217" s="582"/>
      <c r="M217" s="582"/>
      <c r="N217" s="582"/>
      <c r="O217" s="582"/>
      <c r="P217" s="582"/>
    </row>
    <row r="218" spans="1:16">
      <c r="A218" s="583" t="s">
        <v>483</v>
      </c>
      <c r="B218" s="1629"/>
      <c r="C218" s="1629"/>
      <c r="D218" s="1629">
        <v>123</v>
      </c>
      <c r="E218" s="1629">
        <v>142680</v>
      </c>
      <c r="F218" s="1629"/>
      <c r="G218" s="1629"/>
      <c r="H218" s="582"/>
      <c r="I218" s="582"/>
      <c r="J218" s="582"/>
      <c r="K218" s="582"/>
      <c r="L218" s="582"/>
      <c r="M218" s="582"/>
      <c r="N218" s="582"/>
      <c r="O218" s="582"/>
      <c r="P218" s="582"/>
    </row>
    <row r="219" spans="1:16">
      <c r="A219" s="583" t="s">
        <v>340</v>
      </c>
      <c r="B219" s="1629"/>
      <c r="C219" s="1629"/>
      <c r="D219" s="1629">
        <v>1150</v>
      </c>
      <c r="E219" s="1629">
        <v>1334000</v>
      </c>
      <c r="F219" s="1629">
        <v>194</v>
      </c>
      <c r="G219" s="1629">
        <v>191090</v>
      </c>
      <c r="H219" s="582"/>
      <c r="I219" s="582"/>
      <c r="J219" s="582"/>
      <c r="K219" s="582"/>
      <c r="L219" s="582"/>
      <c r="M219" s="582"/>
      <c r="N219" s="582"/>
      <c r="O219" s="582"/>
      <c r="P219" s="582"/>
    </row>
    <row r="220" spans="1:16">
      <c r="A220" s="583" t="s">
        <v>337</v>
      </c>
      <c r="B220" s="1629">
        <v>7</v>
      </c>
      <c r="C220" s="1629">
        <v>9520</v>
      </c>
      <c r="D220" s="1629">
        <v>106</v>
      </c>
      <c r="E220" s="1629">
        <v>122960</v>
      </c>
      <c r="F220" s="1629"/>
      <c r="G220" s="1629"/>
      <c r="H220" s="582"/>
      <c r="I220" s="582"/>
      <c r="J220" s="582"/>
      <c r="K220" s="582"/>
      <c r="L220" s="582"/>
      <c r="M220" s="582"/>
      <c r="N220" s="582"/>
      <c r="O220" s="582"/>
      <c r="P220" s="582"/>
    </row>
    <row r="221" spans="1:16">
      <c r="A221" s="583" t="s">
        <v>478</v>
      </c>
      <c r="B221" s="1629">
        <v>282</v>
      </c>
      <c r="C221" s="1629">
        <v>383520</v>
      </c>
      <c r="D221" s="1629">
        <v>96</v>
      </c>
      <c r="E221" s="1629">
        <v>111360</v>
      </c>
      <c r="F221" s="1629"/>
      <c r="G221" s="1629"/>
      <c r="H221" s="582"/>
      <c r="I221" s="582"/>
      <c r="J221" s="582"/>
      <c r="K221" s="582"/>
      <c r="L221" s="582"/>
      <c r="M221" s="582"/>
      <c r="N221" s="582"/>
      <c r="O221" s="582"/>
      <c r="P221" s="582"/>
    </row>
    <row r="222" spans="1:16">
      <c r="A222" s="840" t="s">
        <v>25</v>
      </c>
      <c r="B222" s="1629">
        <f t="shared" ref="B222:G222" si="5">SUM(B211:B221)</f>
        <v>291</v>
      </c>
      <c r="C222" s="1629">
        <f t="shared" si="5"/>
        <v>395760</v>
      </c>
      <c r="D222" s="1629">
        <f t="shared" si="5"/>
        <v>2801</v>
      </c>
      <c r="E222" s="1629">
        <f t="shared" si="5"/>
        <v>3249160</v>
      </c>
      <c r="F222" s="1629">
        <f t="shared" si="5"/>
        <v>414</v>
      </c>
      <c r="G222" s="1629">
        <f t="shared" si="5"/>
        <v>407790</v>
      </c>
      <c r="H222" s="582"/>
      <c r="I222" s="582"/>
      <c r="J222" s="582"/>
      <c r="K222" s="582"/>
      <c r="L222" s="582"/>
      <c r="M222" s="582"/>
      <c r="N222" s="582"/>
      <c r="O222" s="582"/>
      <c r="P222" s="582"/>
    </row>
    <row r="223" spans="1:16">
      <c r="A223" s="840" t="s">
        <v>357</v>
      </c>
      <c r="B223" s="1629">
        <f>C222+E222+G222</f>
        <v>4052710</v>
      </c>
      <c r="C223" s="1629"/>
      <c r="D223" s="1629"/>
      <c r="E223" s="1629"/>
      <c r="F223" s="1629"/>
      <c r="G223" s="1629"/>
      <c r="H223" s="582"/>
      <c r="I223" s="582"/>
      <c r="J223" s="582"/>
      <c r="K223" s="582"/>
      <c r="L223" s="582"/>
      <c r="M223" s="582"/>
      <c r="N223" s="582"/>
      <c r="O223" s="582"/>
      <c r="P223" s="582"/>
    </row>
    <row r="224" spans="1:16">
      <c r="A224" s="582"/>
      <c r="B224" s="582"/>
      <c r="C224" s="582"/>
      <c r="D224" s="582"/>
      <c r="E224" s="582"/>
      <c r="F224" s="582"/>
      <c r="G224" s="582"/>
      <c r="H224" s="582"/>
      <c r="I224" s="582"/>
      <c r="J224" s="582"/>
      <c r="K224" s="582"/>
      <c r="L224" s="582"/>
      <c r="M224" s="582"/>
      <c r="N224" s="582"/>
      <c r="O224" s="582"/>
      <c r="P224" s="582"/>
    </row>
    <row r="225" spans="1:16">
      <c r="A225" s="1635" t="s">
        <v>617</v>
      </c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2"/>
      <c r="P225" s="582"/>
    </row>
    <row r="226" spans="1:16">
      <c r="A226" s="1674" t="s">
        <v>618</v>
      </c>
      <c r="B226" s="1675"/>
      <c r="C226" s="1675"/>
      <c r="D226" s="1675"/>
      <c r="E226" s="1675"/>
      <c r="F226" s="1676"/>
      <c r="G226" s="582"/>
      <c r="H226" s="582"/>
      <c r="I226" s="582"/>
      <c r="J226" s="582"/>
      <c r="K226" s="582"/>
      <c r="L226" s="582"/>
      <c r="M226" s="582"/>
      <c r="N226" s="582"/>
      <c r="O226" s="582"/>
      <c r="P226" s="582"/>
    </row>
    <row r="227" spans="1:16" ht="26.25">
      <c r="A227" s="1648" t="s">
        <v>619</v>
      </c>
      <c r="B227" s="583"/>
      <c r="C227" s="583"/>
      <c r="D227" s="841" t="s">
        <v>620</v>
      </c>
      <c r="E227" s="842" t="s">
        <v>614</v>
      </c>
      <c r="F227" s="1649" t="s">
        <v>621</v>
      </c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</row>
    <row r="228" spans="1:16" ht="26.25">
      <c r="A228" s="1650" t="s">
        <v>622</v>
      </c>
      <c r="B228" s="1650"/>
      <c r="C228" s="1650"/>
      <c r="D228" s="1629">
        <v>76923</v>
      </c>
      <c r="E228" s="1629">
        <v>9999990</v>
      </c>
      <c r="F228" s="1649" t="s">
        <v>623</v>
      </c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</row>
    <row r="229" spans="1:16" ht="26.25">
      <c r="A229" s="1685" t="s">
        <v>622</v>
      </c>
      <c r="B229" s="1686"/>
      <c r="C229" s="1687"/>
      <c r="D229" s="1629">
        <v>7248</v>
      </c>
      <c r="E229" s="1629">
        <v>942240</v>
      </c>
      <c r="F229" s="1649" t="s">
        <v>623</v>
      </c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</row>
    <row r="230" spans="1:16">
      <c r="A230" s="1688" t="s">
        <v>47</v>
      </c>
      <c r="B230" s="1688"/>
      <c r="C230" s="1688"/>
      <c r="D230" s="1689">
        <f>SUM(E228:E229)</f>
        <v>10942230</v>
      </c>
      <c r="E230" s="1690"/>
      <c r="F230" s="1691"/>
      <c r="G230" s="582"/>
      <c r="H230" s="582"/>
      <c r="I230" s="582"/>
      <c r="J230" s="582"/>
      <c r="K230" s="582"/>
      <c r="L230" s="582"/>
      <c r="M230" s="582"/>
      <c r="N230" s="582"/>
      <c r="O230" s="582"/>
      <c r="P230" s="582"/>
    </row>
    <row r="231" spans="1:16">
      <c r="A231" s="1674" t="s">
        <v>316</v>
      </c>
      <c r="B231" s="1675"/>
      <c r="C231" s="1675"/>
      <c r="D231" s="1675"/>
      <c r="E231" s="1675"/>
      <c r="F231" s="1676"/>
      <c r="G231" s="582"/>
      <c r="H231" s="582"/>
      <c r="I231" s="582"/>
      <c r="J231" s="582"/>
      <c r="K231" s="582"/>
      <c r="L231" s="582"/>
      <c r="M231" s="582"/>
      <c r="N231" s="582"/>
      <c r="O231" s="582"/>
      <c r="P231" s="582"/>
    </row>
    <row r="232" spans="1:16" ht="26.25">
      <c r="A232" s="1680" t="s">
        <v>624</v>
      </c>
      <c r="B232" s="1680"/>
      <c r="C232" s="1680"/>
      <c r="D232" s="841" t="s">
        <v>625</v>
      </c>
      <c r="E232" s="842" t="s">
        <v>614</v>
      </c>
      <c r="F232" s="1649" t="s">
        <v>621</v>
      </c>
      <c r="G232" s="582"/>
      <c r="H232" s="582"/>
      <c r="I232" s="582"/>
      <c r="J232" s="582"/>
      <c r="K232" s="582"/>
      <c r="L232" s="582"/>
      <c r="M232" s="582"/>
      <c r="N232" s="582"/>
      <c r="O232" s="582"/>
      <c r="P232" s="582"/>
    </row>
    <row r="233" spans="1:16">
      <c r="A233" s="1681" t="s">
        <v>626</v>
      </c>
      <c r="B233" s="1681"/>
      <c r="C233" s="1681"/>
      <c r="D233" s="1629">
        <v>1870</v>
      </c>
      <c r="E233" s="1629">
        <v>40195000</v>
      </c>
      <c r="F233" s="1682" t="s">
        <v>627</v>
      </c>
      <c r="G233" s="582"/>
      <c r="H233" s="582"/>
      <c r="I233" s="582"/>
      <c r="J233" s="582"/>
      <c r="K233" s="582"/>
      <c r="L233" s="582"/>
      <c r="M233" s="582"/>
      <c r="N233" s="582"/>
      <c r="O233" s="582"/>
      <c r="P233" s="582"/>
    </row>
    <row r="234" spans="1:16">
      <c r="A234" s="1681" t="s">
        <v>628</v>
      </c>
      <c r="B234" s="1681"/>
      <c r="C234" s="1681"/>
      <c r="D234" s="1629">
        <v>873</v>
      </c>
      <c r="E234" s="1629">
        <v>9804000</v>
      </c>
      <c r="F234" s="1683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</row>
    <row r="235" spans="1:16">
      <c r="A235" s="1681" t="s">
        <v>629</v>
      </c>
      <c r="B235" s="1681"/>
      <c r="C235" s="1681"/>
      <c r="D235" s="1629">
        <v>7951</v>
      </c>
      <c r="E235" s="1629">
        <v>9353000</v>
      </c>
      <c r="F235" s="1684"/>
      <c r="G235" s="582"/>
      <c r="H235" s="582"/>
      <c r="I235" s="582"/>
      <c r="J235" s="582"/>
      <c r="K235" s="582"/>
      <c r="L235" s="582"/>
      <c r="M235" s="582"/>
      <c r="N235" s="582"/>
      <c r="O235" s="582"/>
      <c r="P235" s="582"/>
    </row>
    <row r="236" spans="1:16">
      <c r="A236" s="1674" t="s">
        <v>47</v>
      </c>
      <c r="B236" s="1675"/>
      <c r="C236" s="1676"/>
      <c r="D236" s="1677">
        <f>SUM(E233:E235)</f>
        <v>59352000</v>
      </c>
      <c r="E236" s="1678"/>
      <c r="F236" s="1679"/>
      <c r="G236" s="582"/>
      <c r="H236" s="582"/>
      <c r="I236" s="582"/>
      <c r="J236" s="582"/>
      <c r="K236" s="582"/>
      <c r="L236" s="582"/>
      <c r="M236" s="582"/>
      <c r="N236" s="582"/>
      <c r="O236" s="582"/>
      <c r="P236" s="582"/>
    </row>
    <row r="237" spans="1:16">
      <c r="A237" s="1674" t="s">
        <v>357</v>
      </c>
      <c r="B237" s="1675"/>
      <c r="C237" s="1676"/>
      <c r="D237" s="1677">
        <f>D236+D230</f>
        <v>70294230</v>
      </c>
      <c r="E237" s="1678"/>
      <c r="F237" s="1679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</row>
    <row r="238" spans="1:16">
      <c r="A238" s="582"/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</row>
    <row r="239" spans="1:16">
      <c r="A239" s="582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582"/>
      <c r="P239" s="582"/>
    </row>
  </sheetData>
  <mergeCells count="59">
    <mergeCell ref="A3:A4"/>
    <mergeCell ref="B3:O3"/>
    <mergeCell ref="A74:A75"/>
    <mergeCell ref="B74:O74"/>
    <mergeCell ref="A84:A85"/>
    <mergeCell ref="B84:C84"/>
    <mergeCell ref="E84:F84"/>
    <mergeCell ref="H84:I84"/>
    <mergeCell ref="K84:L84"/>
    <mergeCell ref="A13:A14"/>
    <mergeCell ref="B13:O13"/>
    <mergeCell ref="A39:A40"/>
    <mergeCell ref="B39:O39"/>
    <mergeCell ref="A60:A61"/>
    <mergeCell ref="B60:O60"/>
    <mergeCell ref="H110:I110"/>
    <mergeCell ref="K110:L110"/>
    <mergeCell ref="N110:O110"/>
    <mergeCell ref="A132:A133"/>
    <mergeCell ref="B132:C132"/>
    <mergeCell ref="E132:F132"/>
    <mergeCell ref="H132:I132"/>
    <mergeCell ref="K132:L132"/>
    <mergeCell ref="N132:O132"/>
    <mergeCell ref="A110:A111"/>
    <mergeCell ref="B110:C110"/>
    <mergeCell ref="E110:F110"/>
    <mergeCell ref="N146:O146"/>
    <mergeCell ref="A180:A182"/>
    <mergeCell ref="B180:C180"/>
    <mergeCell ref="D180:E180"/>
    <mergeCell ref="B181:C181"/>
    <mergeCell ref="D181:E181"/>
    <mergeCell ref="A146:A147"/>
    <mergeCell ref="B146:C146"/>
    <mergeCell ref="E146:F146"/>
    <mergeCell ref="H146:I146"/>
    <mergeCell ref="K146:L146"/>
    <mergeCell ref="B204:E204"/>
    <mergeCell ref="A208:A210"/>
    <mergeCell ref="B208:E208"/>
    <mergeCell ref="F208:G208"/>
    <mergeCell ref="B209:C209"/>
    <mergeCell ref="D209:E209"/>
    <mergeCell ref="F209:G209"/>
    <mergeCell ref="A226:F226"/>
    <mergeCell ref="A229:C229"/>
    <mergeCell ref="A230:C230"/>
    <mergeCell ref="D230:F230"/>
    <mergeCell ref="A231:F231"/>
    <mergeCell ref="A236:C236"/>
    <mergeCell ref="D236:F236"/>
    <mergeCell ref="A237:C237"/>
    <mergeCell ref="D237:F237"/>
    <mergeCell ref="A232:C232"/>
    <mergeCell ref="A233:C233"/>
    <mergeCell ref="F233:F235"/>
    <mergeCell ref="A234:C234"/>
    <mergeCell ref="A235:C2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T98"/>
  <sheetViews>
    <sheetView topLeftCell="A4" workbookViewId="0">
      <selection activeCell="C16" sqref="C16"/>
    </sheetView>
  </sheetViews>
  <sheetFormatPr defaultRowHeight="15"/>
  <cols>
    <col min="1" max="1" width="17.28515625" customWidth="1"/>
    <col min="2" max="2" width="10.85546875" customWidth="1"/>
    <col min="3" max="3" width="16.28515625" customWidth="1"/>
    <col min="4" max="4" width="17.140625" customWidth="1"/>
    <col min="5" max="5" width="14.140625" customWidth="1"/>
    <col min="6" max="6" width="17.7109375" customWidth="1"/>
    <col min="7" max="7" width="16.28515625" customWidth="1"/>
    <col min="8" max="8" width="19" customWidth="1"/>
    <col min="9" max="9" width="19.85546875" customWidth="1"/>
    <col min="10" max="10" width="18.140625" customWidth="1"/>
    <col min="11" max="11" width="14.5703125" customWidth="1"/>
  </cols>
  <sheetData>
    <row r="3" spans="1:20" ht="20.25">
      <c r="A3" s="1197" t="s">
        <v>354</v>
      </c>
      <c r="B3" s="1198"/>
      <c r="C3" s="1198"/>
      <c r="D3" s="1198"/>
      <c r="E3" s="1198"/>
      <c r="F3" s="1198"/>
      <c r="G3" s="1198"/>
      <c r="H3" s="1198"/>
      <c r="I3" s="1198"/>
      <c r="J3" s="1198"/>
      <c r="K3" s="1197"/>
      <c r="L3" s="1198"/>
      <c r="M3" s="1199"/>
      <c r="N3" s="1199"/>
      <c r="O3" s="1199"/>
      <c r="P3" s="1199"/>
      <c r="Q3" s="1199"/>
      <c r="R3" s="1199"/>
      <c r="S3" s="1199"/>
      <c r="T3" s="1199"/>
    </row>
    <row r="4" spans="1:20" ht="20.25">
      <c r="A4" s="1197" t="s">
        <v>462</v>
      </c>
      <c r="B4" s="1200"/>
      <c r="C4" s="1200"/>
      <c r="D4" s="1200"/>
      <c r="E4" s="1200"/>
      <c r="F4" s="1200"/>
      <c r="G4" s="1200"/>
      <c r="H4" s="1200"/>
      <c r="I4" s="1200"/>
      <c r="J4" s="1200"/>
      <c r="K4" s="1197"/>
      <c r="L4" s="1200"/>
      <c r="M4" s="1201"/>
      <c r="N4" s="1201"/>
      <c r="O4" s="1201"/>
      <c r="P4" s="1201"/>
      <c r="Q4" s="1201"/>
      <c r="R4" s="1201"/>
      <c r="S4" s="1201"/>
      <c r="T4" s="1201"/>
    </row>
    <row r="5" spans="1:20" ht="15.75">
      <c r="A5" s="1202"/>
      <c r="B5" s="1200"/>
      <c r="C5" s="1200"/>
      <c r="D5" s="1200"/>
      <c r="E5" s="1200"/>
      <c r="F5" s="1200"/>
      <c r="G5" s="1200"/>
      <c r="H5" s="1200"/>
      <c r="I5" s="1200"/>
      <c r="J5" s="1200"/>
      <c r="K5" s="1202"/>
      <c r="L5" s="1200"/>
      <c r="M5" s="1201"/>
      <c r="N5" s="1201"/>
      <c r="O5" s="1201"/>
      <c r="P5" s="1201"/>
      <c r="Q5" s="1201"/>
      <c r="R5" s="1201"/>
      <c r="S5" s="1201"/>
      <c r="T5" s="1201"/>
    </row>
    <row r="6" spans="1:20" ht="15.75">
      <c r="A6" s="1203" t="s">
        <v>463</v>
      </c>
      <c r="B6" s="1200"/>
      <c r="C6" s="1200"/>
      <c r="D6" s="1200"/>
      <c r="E6" s="1200"/>
      <c r="F6" s="1200"/>
      <c r="G6" s="1200"/>
      <c r="H6" s="1200"/>
      <c r="I6" s="1200"/>
      <c r="J6" s="1200"/>
      <c r="K6" s="1202" t="s">
        <v>464</v>
      </c>
      <c r="L6" s="1200"/>
      <c r="M6" s="1201"/>
      <c r="N6" s="1201"/>
      <c r="O6" s="1201"/>
      <c r="P6" s="1201"/>
      <c r="Q6" s="1201"/>
      <c r="R6" s="1201"/>
      <c r="S6" s="1201"/>
      <c r="T6" s="1201"/>
    </row>
    <row r="7" spans="1:20">
      <c r="A7" s="1710" t="s">
        <v>465</v>
      </c>
      <c r="B7" s="1710"/>
      <c r="C7" s="1714" t="s">
        <v>327</v>
      </c>
      <c r="D7" s="1715"/>
      <c r="E7" s="1716" t="s">
        <v>326</v>
      </c>
      <c r="F7" s="1716"/>
      <c r="G7" s="1714" t="s">
        <v>228</v>
      </c>
      <c r="H7" s="1716"/>
      <c r="I7" s="1708" t="s">
        <v>466</v>
      </c>
      <c r="J7" s="1708" t="s">
        <v>467</v>
      </c>
      <c r="K7" s="1710" t="s">
        <v>465</v>
      </c>
      <c r="L7" s="1710"/>
      <c r="M7" s="1711" t="s">
        <v>327</v>
      </c>
      <c r="N7" s="1712"/>
      <c r="O7" s="1711" t="s">
        <v>326</v>
      </c>
      <c r="P7" s="1712"/>
      <c r="Q7" s="1711" t="s">
        <v>228</v>
      </c>
      <c r="R7" s="1713"/>
      <c r="S7" s="1702" t="s">
        <v>466</v>
      </c>
      <c r="T7" s="1702" t="s">
        <v>467</v>
      </c>
    </row>
    <row r="8" spans="1:20" ht="38.25">
      <c r="A8" s="1710"/>
      <c r="B8" s="1710"/>
      <c r="C8" s="1204" t="s">
        <v>468</v>
      </c>
      <c r="D8" s="1204" t="s">
        <v>469</v>
      </c>
      <c r="E8" s="1204" t="s">
        <v>468</v>
      </c>
      <c r="F8" s="1204" t="s">
        <v>469</v>
      </c>
      <c r="G8" s="1204" t="s">
        <v>468</v>
      </c>
      <c r="H8" s="1204" t="s">
        <v>469</v>
      </c>
      <c r="I8" s="1709"/>
      <c r="J8" s="1709"/>
      <c r="K8" s="1710"/>
      <c r="L8" s="1710"/>
      <c r="M8" s="1205" t="s">
        <v>468</v>
      </c>
      <c r="N8" s="1205" t="s">
        <v>469</v>
      </c>
      <c r="O8" s="1205" t="s">
        <v>468</v>
      </c>
      <c r="P8" s="1205" t="s">
        <v>469</v>
      </c>
      <c r="Q8" s="1205" t="s">
        <v>468</v>
      </c>
      <c r="R8" s="1206" t="s">
        <v>469</v>
      </c>
      <c r="S8" s="1703"/>
      <c r="T8" s="1703"/>
    </row>
    <row r="9" spans="1:20">
      <c r="A9" s="1704" t="s">
        <v>61</v>
      </c>
      <c r="B9" s="1705"/>
      <c r="C9" s="1207">
        <f t="shared" ref="C9:F9" si="0">SUM(C23+C17+C10)</f>
        <v>14783</v>
      </c>
      <c r="D9" s="1207">
        <f t="shared" si="0"/>
        <v>2346</v>
      </c>
      <c r="E9" s="1207">
        <f t="shared" si="0"/>
        <v>22008</v>
      </c>
      <c r="F9" s="1207">
        <f t="shared" si="0"/>
        <v>13889</v>
      </c>
      <c r="G9" s="1207"/>
      <c r="H9" s="1207">
        <f t="shared" ref="H9" si="1">SUM(H23+H17+H10)</f>
        <v>146.65</v>
      </c>
      <c r="I9" s="1208"/>
      <c r="J9" s="1209"/>
      <c r="K9" s="1704" t="s">
        <v>61</v>
      </c>
      <c r="L9" s="1705"/>
      <c r="M9" s="1210">
        <f t="shared" ref="M9:N9" si="2">SUM( M23+M17+M10)</f>
        <v>145.5</v>
      </c>
      <c r="N9" s="1210">
        <f t="shared" si="2"/>
        <v>39</v>
      </c>
      <c r="O9" s="1210"/>
      <c r="P9" s="1210">
        <f>SUM( P23+P17+P10)</f>
        <v>1499.65</v>
      </c>
      <c r="Q9" s="1210">
        <f t="shared" ref="Q9:R9" si="3">SUM( Q23+Q17+Q10)</f>
        <v>0</v>
      </c>
      <c r="R9" s="1210">
        <f t="shared" si="3"/>
        <v>0</v>
      </c>
      <c r="S9" s="1211"/>
      <c r="T9" s="1211"/>
    </row>
    <row r="10" spans="1:20">
      <c r="A10" s="1212" t="s">
        <v>470</v>
      </c>
      <c r="B10" s="1213"/>
      <c r="C10" s="1214">
        <f t="shared" ref="C10:D10" si="4">SUM(C11:C16)</f>
        <v>0</v>
      </c>
      <c r="D10" s="1214">
        <f t="shared" si="4"/>
        <v>32</v>
      </c>
      <c r="E10" s="1214">
        <f t="shared" ref="E10:F10" si="5">SUM(E11:E16)</f>
        <v>8097</v>
      </c>
      <c r="F10" s="1214">
        <f t="shared" si="5"/>
        <v>7317</v>
      </c>
      <c r="G10" s="1214"/>
      <c r="H10" s="1214">
        <f t="shared" ref="H10" si="6">SUM(H11:H16)</f>
        <v>27.23</v>
      </c>
      <c r="I10" s="1209"/>
      <c r="J10" s="1209"/>
      <c r="K10" s="1212" t="s">
        <v>470</v>
      </c>
      <c r="L10" s="1213"/>
      <c r="M10" s="1215">
        <f>SUM(M11:M14)</f>
        <v>139</v>
      </c>
      <c r="N10" s="1215">
        <f>SUM(N11:N14)</f>
        <v>35</v>
      </c>
      <c r="O10" s="1216"/>
      <c r="P10" s="1210">
        <v>1357.5</v>
      </c>
      <c r="Q10" s="1215">
        <f>SUM(Q11:Q14)</f>
        <v>0</v>
      </c>
      <c r="R10" s="1215">
        <f>SUM(R11:R14)</f>
        <v>0</v>
      </c>
      <c r="S10" s="1217"/>
      <c r="T10" s="1211"/>
    </row>
    <row r="11" spans="1:20">
      <c r="A11" s="1192" t="s">
        <v>471</v>
      </c>
      <c r="B11" s="1218" t="s">
        <v>336</v>
      </c>
      <c r="C11" s="1219" t="s">
        <v>472</v>
      </c>
      <c r="D11" s="1219">
        <v>32</v>
      </c>
      <c r="E11" s="1220">
        <v>3718</v>
      </c>
      <c r="F11" s="1220">
        <v>1700</v>
      </c>
      <c r="G11" s="1221"/>
      <c r="H11" s="1221">
        <v>10.73</v>
      </c>
      <c r="I11" s="1222"/>
      <c r="J11" s="1209"/>
      <c r="K11" s="1192" t="s">
        <v>471</v>
      </c>
      <c r="L11" s="1218" t="s">
        <v>336</v>
      </c>
      <c r="M11" s="1223">
        <v>99</v>
      </c>
      <c r="N11" s="1223">
        <v>20</v>
      </c>
      <c r="O11" s="1224"/>
      <c r="P11" s="1224"/>
      <c r="Q11" s="1225"/>
      <c r="R11" s="1225"/>
      <c r="S11" s="1222"/>
      <c r="T11" s="1211"/>
    </row>
    <row r="12" spans="1:20">
      <c r="A12" s="1192" t="s">
        <v>471</v>
      </c>
      <c r="B12" s="1218" t="s">
        <v>473</v>
      </c>
      <c r="C12" s="1226"/>
      <c r="D12" s="1226"/>
      <c r="E12" s="1220" t="s">
        <v>474</v>
      </c>
      <c r="F12" s="1220">
        <v>1580</v>
      </c>
      <c r="G12" s="1221"/>
      <c r="H12" s="1221">
        <v>1.5</v>
      </c>
      <c r="I12" s="1222"/>
      <c r="J12" s="1209"/>
      <c r="K12" s="1192"/>
      <c r="L12" s="1227" t="s">
        <v>335</v>
      </c>
      <c r="M12" s="1228">
        <v>38</v>
      </c>
      <c r="N12" s="1228">
        <v>13</v>
      </c>
      <c r="O12" s="1229"/>
      <c r="P12" s="1229"/>
      <c r="Q12" s="1230"/>
      <c r="R12" s="1230"/>
      <c r="S12" s="1222"/>
      <c r="T12" s="1211"/>
    </row>
    <row r="13" spans="1:20">
      <c r="A13" s="1192" t="s">
        <v>471</v>
      </c>
      <c r="B13" s="1227" t="s">
        <v>475</v>
      </c>
      <c r="C13" s="1231"/>
      <c r="D13" s="1231"/>
      <c r="E13" s="1232">
        <f>[1]CORN!$N$16</f>
        <v>1685</v>
      </c>
      <c r="F13" s="1232">
        <v>300</v>
      </c>
      <c r="G13" s="1231"/>
      <c r="H13" s="1231"/>
      <c r="I13" s="1222"/>
      <c r="J13" s="1209"/>
      <c r="K13" s="1192" t="s">
        <v>471</v>
      </c>
      <c r="L13" s="1218" t="s">
        <v>473</v>
      </c>
      <c r="M13" s="1233">
        <v>2</v>
      </c>
      <c r="N13" s="1233">
        <v>2</v>
      </c>
      <c r="O13" s="1224"/>
      <c r="P13" s="1224"/>
      <c r="Q13" s="1225"/>
      <c r="R13" s="1225"/>
      <c r="S13" s="1222"/>
      <c r="T13" s="1211"/>
    </row>
    <row r="14" spans="1:20">
      <c r="A14" s="1234" t="s">
        <v>471</v>
      </c>
      <c r="B14" s="1235" t="s">
        <v>337</v>
      </c>
      <c r="C14" s="1236"/>
      <c r="D14" s="1236"/>
      <c r="E14" s="1237">
        <f>[2]CORN!$N$17</f>
        <v>2694</v>
      </c>
      <c r="F14" s="1237">
        <v>3300</v>
      </c>
      <c r="G14" s="1238"/>
      <c r="H14" s="1238">
        <v>15</v>
      </c>
      <c r="I14" s="1239"/>
      <c r="J14" s="1209"/>
      <c r="K14" s="1240"/>
      <c r="L14" s="1241"/>
      <c r="M14" s="1242"/>
      <c r="N14" s="1242"/>
      <c r="O14" s="1243"/>
      <c r="P14" s="1243"/>
      <c r="Q14" s="1242"/>
      <c r="R14" s="1242"/>
      <c r="S14" s="1239"/>
      <c r="T14" s="1211"/>
    </row>
    <row r="15" spans="1:20">
      <c r="A15" s="1234" t="s">
        <v>471</v>
      </c>
      <c r="B15" s="1235" t="s">
        <v>339</v>
      </c>
      <c r="C15" s="1236"/>
      <c r="D15" s="1236"/>
      <c r="E15" s="1237"/>
      <c r="F15" s="1237">
        <v>437</v>
      </c>
      <c r="G15" s="1236"/>
      <c r="H15" s="1236"/>
      <c r="I15" s="1209"/>
      <c r="J15" s="1209"/>
      <c r="K15" s="1244"/>
      <c r="L15" s="1245"/>
      <c r="M15" s="1217"/>
      <c r="N15" s="1217"/>
      <c r="O15" s="1217"/>
      <c r="P15" s="1217"/>
      <c r="Q15" s="1217"/>
      <c r="R15" s="1217"/>
      <c r="S15" s="1217"/>
      <c r="T15" s="1211"/>
    </row>
    <row r="16" spans="1:20">
      <c r="A16" s="1240"/>
      <c r="B16" s="1241"/>
      <c r="C16" s="1246"/>
      <c r="D16" s="1246"/>
      <c r="E16" s="1247"/>
      <c r="F16" s="1247"/>
      <c r="G16" s="1246"/>
      <c r="H16" s="1246"/>
      <c r="I16" s="1248"/>
      <c r="J16" s="1209"/>
      <c r="K16" s="1249"/>
      <c r="L16" s="1250"/>
      <c r="M16" s="1251"/>
      <c r="N16" s="1251"/>
      <c r="O16" s="1252"/>
      <c r="P16" s="1252"/>
      <c r="Q16" s="1248"/>
      <c r="R16" s="1248"/>
      <c r="S16" s="1248"/>
      <c r="T16" s="1211"/>
    </row>
    <row r="17" spans="1:20">
      <c r="A17" s="1253" t="s">
        <v>476</v>
      </c>
      <c r="B17" s="1254"/>
      <c r="C17" s="1214">
        <f t="shared" ref="C17:F17" si="7">SUM(C18:C22)</f>
        <v>14783</v>
      </c>
      <c r="D17" s="1214">
        <f t="shared" si="7"/>
        <v>2225</v>
      </c>
      <c r="E17" s="1214">
        <f t="shared" si="7"/>
        <v>12008</v>
      </c>
      <c r="F17" s="1214">
        <f t="shared" si="7"/>
        <v>6410</v>
      </c>
      <c r="G17" s="1214"/>
      <c r="H17" s="1214">
        <f t="shared" ref="H17" si="8">SUM(H18:H22)</f>
        <v>119.42</v>
      </c>
      <c r="I17" s="1209"/>
      <c r="J17" s="1209"/>
      <c r="K17" s="1253" t="s">
        <v>476</v>
      </c>
      <c r="L17" s="1254"/>
      <c r="M17" s="1215">
        <f>SUM(M18:M19)</f>
        <v>6.5</v>
      </c>
      <c r="N17" s="1215">
        <f>SUM(N18:N19)</f>
        <v>4</v>
      </c>
      <c r="O17" s="1215"/>
      <c r="P17" s="1215">
        <f>SUM(P18:P19)</f>
        <v>142.15</v>
      </c>
      <c r="Q17" s="1215">
        <f>SUM(Q18:Q19)</f>
        <v>0</v>
      </c>
      <c r="R17" s="1215">
        <f>SUM(R18:R19)</f>
        <v>0</v>
      </c>
      <c r="S17" s="1217"/>
      <c r="T17" s="1211"/>
    </row>
    <row r="18" spans="1:20" ht="25.5">
      <c r="A18" s="1255" t="s">
        <v>477</v>
      </c>
      <c r="B18" s="1256" t="s">
        <v>342</v>
      </c>
      <c r="C18" s="1257">
        <v>669</v>
      </c>
      <c r="D18" s="1257">
        <v>148</v>
      </c>
      <c r="E18" s="1258">
        <f>[1]CORN!$N$19</f>
        <v>5247</v>
      </c>
      <c r="F18" s="1258">
        <v>300</v>
      </c>
      <c r="G18" s="1259"/>
      <c r="H18" s="1259">
        <v>15</v>
      </c>
      <c r="I18" s="1248"/>
      <c r="J18" s="1209"/>
      <c r="K18" s="1255" t="s">
        <v>477</v>
      </c>
      <c r="L18" s="1218" t="s">
        <v>341</v>
      </c>
      <c r="M18" s="1260">
        <v>6.5</v>
      </c>
      <c r="N18" s="1260">
        <v>4</v>
      </c>
      <c r="O18" s="1224"/>
      <c r="P18" s="1224"/>
      <c r="Q18" s="1233"/>
      <c r="R18" s="1233"/>
      <c r="S18" s="1248"/>
      <c r="T18" s="1211"/>
    </row>
    <row r="19" spans="1:20" ht="25.5">
      <c r="A19" s="1255" t="s">
        <v>477</v>
      </c>
      <c r="B19" s="1218" t="s">
        <v>341</v>
      </c>
      <c r="C19" s="1261">
        <v>398</v>
      </c>
      <c r="D19" s="1261">
        <v>25</v>
      </c>
      <c r="E19" s="1220">
        <f>[1]CORN!$N$20</f>
        <v>1716</v>
      </c>
      <c r="F19" s="1220">
        <v>2169</v>
      </c>
      <c r="G19" s="1226"/>
      <c r="H19" s="1226">
        <v>104.42</v>
      </c>
      <c r="I19" s="1248"/>
      <c r="J19" s="1209"/>
      <c r="K19" s="1255" t="s">
        <v>477</v>
      </c>
      <c r="L19" s="1218" t="s">
        <v>478</v>
      </c>
      <c r="M19" s="1260"/>
      <c r="N19" s="1260"/>
      <c r="O19" s="1224"/>
      <c r="P19" s="1224">
        <v>142.15</v>
      </c>
      <c r="Q19" s="1233"/>
      <c r="R19" s="1233"/>
      <c r="S19" s="1248"/>
      <c r="T19" s="1211"/>
    </row>
    <row r="20" spans="1:20" ht="25.5">
      <c r="A20" s="1255" t="s">
        <v>477</v>
      </c>
      <c r="B20" s="1256" t="s">
        <v>340</v>
      </c>
      <c r="C20" s="1257">
        <v>4519</v>
      </c>
      <c r="D20" s="1257">
        <v>1300</v>
      </c>
      <c r="E20" s="1258" t="s">
        <v>474</v>
      </c>
      <c r="F20" s="1258">
        <v>3340</v>
      </c>
      <c r="G20" s="1262"/>
      <c r="H20" s="1262"/>
      <c r="I20" s="1209"/>
      <c r="J20" s="1209"/>
      <c r="K20" s="1706"/>
      <c r="L20" s="1707"/>
      <c r="M20" s="1217"/>
      <c r="N20" s="1217"/>
      <c r="O20" s="1217"/>
      <c r="P20" s="1217"/>
      <c r="Q20" s="1217"/>
      <c r="R20" s="1217"/>
      <c r="S20" s="1217"/>
      <c r="T20" s="1211"/>
    </row>
    <row r="21" spans="1:20">
      <c r="A21" s="1255" t="s">
        <v>477</v>
      </c>
      <c r="B21" s="1218" t="s">
        <v>478</v>
      </c>
      <c r="C21" s="1261">
        <v>6337</v>
      </c>
      <c r="D21" s="1261">
        <v>363</v>
      </c>
      <c r="E21" s="1220">
        <f>[1]CORN!$N$24</f>
        <v>5045</v>
      </c>
      <c r="F21" s="1220">
        <v>583</v>
      </c>
      <c r="G21" s="1226"/>
      <c r="H21" s="1226"/>
      <c r="I21" s="1263"/>
      <c r="J21" s="1209"/>
      <c r="K21" s="1264"/>
      <c r="L21" s="1250"/>
      <c r="M21" s="1263"/>
      <c r="N21" s="1263"/>
      <c r="O21" s="1252"/>
      <c r="P21" s="1252"/>
      <c r="Q21" s="1263"/>
      <c r="R21" s="1263"/>
      <c r="S21" s="1263"/>
      <c r="T21" s="1211"/>
    </row>
    <row r="22" spans="1:20">
      <c r="A22" s="1255" t="s">
        <v>477</v>
      </c>
      <c r="B22" s="1256" t="s">
        <v>479</v>
      </c>
      <c r="C22" s="1265">
        <v>2860</v>
      </c>
      <c r="D22" s="1265">
        <v>389</v>
      </c>
      <c r="E22" s="1258"/>
      <c r="F22" s="1258">
        <v>18</v>
      </c>
      <c r="G22" s="1262"/>
      <c r="H22" s="1262"/>
      <c r="I22" s="1252"/>
      <c r="J22" s="1209"/>
      <c r="K22" s="1706"/>
      <c r="L22" s="1707"/>
      <c r="M22" s="1252"/>
      <c r="N22" s="1252"/>
      <c r="O22" s="1252"/>
      <c r="P22" s="1211"/>
      <c r="Q22" s="1252"/>
      <c r="R22" s="1252"/>
      <c r="S22" s="1252"/>
      <c r="T22" s="1211"/>
    </row>
    <row r="23" spans="1:20">
      <c r="A23" s="1253" t="s">
        <v>480</v>
      </c>
      <c r="B23" s="1254"/>
      <c r="C23" s="1214">
        <f t="shared" ref="C23:F23" si="9">SUM(C24:C29)</f>
        <v>0</v>
      </c>
      <c r="D23" s="1214">
        <f t="shared" si="9"/>
        <v>89</v>
      </c>
      <c r="E23" s="1214">
        <f t="shared" si="9"/>
        <v>1903</v>
      </c>
      <c r="F23" s="1214">
        <f t="shared" si="9"/>
        <v>162</v>
      </c>
      <c r="G23" s="1214"/>
      <c r="H23" s="1214">
        <f t="shared" ref="H23" si="10">SUM(H24:H29)</f>
        <v>0</v>
      </c>
      <c r="I23" s="1209"/>
      <c r="J23" s="1209"/>
      <c r="K23" s="1253" t="s">
        <v>480</v>
      </c>
      <c r="L23" s="1254"/>
      <c r="M23" s="1215">
        <f>SUM(M24:M24)</f>
        <v>0</v>
      </c>
      <c r="N23" s="1215">
        <f>SUM(N24:N24)</f>
        <v>0</v>
      </c>
      <c r="O23" s="1215"/>
      <c r="P23" s="1215">
        <f>SUM(P24:P24)</f>
        <v>0</v>
      </c>
      <c r="Q23" s="1215">
        <f>SUM(Q24:Q24)</f>
        <v>0</v>
      </c>
      <c r="R23" s="1215">
        <f>SUM(R24:R24)</f>
        <v>0</v>
      </c>
      <c r="S23" s="1217"/>
      <c r="T23" s="1211"/>
    </row>
    <row r="24" spans="1:20">
      <c r="A24" s="1234" t="s">
        <v>481</v>
      </c>
      <c r="B24" s="1235" t="s">
        <v>482</v>
      </c>
      <c r="C24" s="1236"/>
      <c r="D24" s="1236"/>
      <c r="E24" s="1237">
        <f>[1]CORN!$N$26</f>
        <v>1903</v>
      </c>
      <c r="F24" s="1237">
        <v>42</v>
      </c>
      <c r="G24" s="1236"/>
      <c r="H24" s="1236"/>
      <c r="I24" s="1266"/>
      <c r="J24" s="1209"/>
      <c r="K24" s="1234"/>
      <c r="L24" s="1235"/>
      <c r="M24" s="1267"/>
      <c r="N24" s="1267"/>
      <c r="O24" s="1268"/>
      <c r="P24" s="1268"/>
      <c r="Q24" s="1267"/>
      <c r="R24" s="1267"/>
      <c r="S24" s="1266"/>
      <c r="T24" s="1211"/>
    </row>
    <row r="25" spans="1:20">
      <c r="A25" s="1234" t="s">
        <v>481</v>
      </c>
      <c r="B25" s="1235" t="s">
        <v>483</v>
      </c>
      <c r="C25" s="1236"/>
      <c r="D25" s="1236">
        <v>64</v>
      </c>
      <c r="E25" s="1237"/>
      <c r="F25" s="1237">
        <v>105</v>
      </c>
      <c r="G25" s="1236"/>
      <c r="H25" s="1236"/>
      <c r="I25" s="1252"/>
      <c r="J25" s="1209"/>
      <c r="K25" s="1717"/>
      <c r="L25" s="1718"/>
      <c r="M25" s="1252"/>
      <c r="N25" s="1252"/>
      <c r="O25" s="1252"/>
      <c r="P25" s="1252"/>
      <c r="Q25" s="1252"/>
      <c r="R25" s="1252"/>
      <c r="S25" s="1252"/>
      <c r="T25" s="1211"/>
    </row>
    <row r="26" spans="1:20">
      <c r="A26" s="1234" t="s">
        <v>481</v>
      </c>
      <c r="B26" s="1235" t="s">
        <v>484</v>
      </c>
      <c r="C26" s="1236"/>
      <c r="D26" s="1236">
        <v>25</v>
      </c>
      <c r="E26" s="1237"/>
      <c r="F26" s="1237">
        <v>15</v>
      </c>
      <c r="G26" s="1236"/>
      <c r="H26" s="1236"/>
      <c r="I26" s="1248"/>
      <c r="J26" s="1209"/>
      <c r="K26" s="1249"/>
      <c r="L26" s="1250"/>
      <c r="M26" s="1248"/>
      <c r="N26" s="1248"/>
      <c r="O26" s="1252"/>
      <c r="P26" s="1252"/>
      <c r="Q26" s="1248"/>
      <c r="R26" s="1248"/>
      <c r="S26" s="1248"/>
      <c r="T26" s="1211"/>
    </row>
    <row r="27" spans="1:20">
      <c r="A27" s="1240"/>
      <c r="B27" s="1241"/>
      <c r="C27" s="1246"/>
      <c r="D27" s="1246"/>
      <c r="E27" s="1247"/>
      <c r="F27" s="1247"/>
      <c r="G27" s="1246"/>
      <c r="H27" s="1246"/>
      <c r="I27" s="1248"/>
      <c r="J27" s="1209"/>
      <c r="K27" s="1249"/>
      <c r="L27" s="1250"/>
      <c r="M27" s="1248"/>
      <c r="N27" s="1248"/>
      <c r="O27" s="1252"/>
      <c r="P27" s="1252"/>
      <c r="Q27" s="1248"/>
      <c r="R27" s="1248"/>
      <c r="S27" s="1248"/>
      <c r="T27" s="1211"/>
    </row>
    <row r="28" spans="1:20">
      <c r="A28" s="1240"/>
      <c r="B28" s="1241"/>
      <c r="C28" s="1246"/>
      <c r="D28" s="1246"/>
      <c r="E28" s="1247"/>
      <c r="F28" s="1247"/>
      <c r="G28" s="1246"/>
      <c r="H28" s="1246"/>
      <c r="I28" s="1209"/>
      <c r="J28" s="1209"/>
      <c r="K28" s="1244"/>
      <c r="L28" s="1245"/>
      <c r="M28" s="1217"/>
      <c r="N28" s="1217"/>
      <c r="O28" s="1217"/>
      <c r="P28" s="1217"/>
      <c r="Q28" s="1217"/>
      <c r="R28" s="1217"/>
      <c r="S28" s="1217"/>
      <c r="T28" s="1211"/>
    </row>
    <row r="29" spans="1:20">
      <c r="A29" s="1269"/>
      <c r="B29" s="1227"/>
      <c r="C29" s="1231"/>
      <c r="D29" s="1231"/>
      <c r="E29" s="1232"/>
      <c r="F29" s="1232"/>
      <c r="G29" s="1231"/>
      <c r="H29" s="1231"/>
      <c r="I29" s="1248"/>
      <c r="J29" s="1209"/>
      <c r="K29" s="1249"/>
      <c r="L29" s="1250"/>
      <c r="M29" s="1248"/>
      <c r="N29" s="1248"/>
      <c r="O29" s="1252"/>
      <c r="P29" s="1252"/>
      <c r="Q29" s="1248"/>
      <c r="R29" s="1248"/>
      <c r="S29" s="1248"/>
      <c r="T29" s="1211"/>
    </row>
    <row r="30" spans="1:20">
      <c r="A30" s="1704" t="s">
        <v>352</v>
      </c>
      <c r="B30" s="1705"/>
      <c r="C30" s="1270"/>
      <c r="D30" s="1270"/>
      <c r="E30" s="1271"/>
      <c r="F30" s="1271"/>
      <c r="G30" s="1270"/>
      <c r="H30" s="1270">
        <v>4.55</v>
      </c>
      <c r="I30" s="1209"/>
      <c r="J30" s="1209"/>
      <c r="K30" s="1704" t="s">
        <v>352</v>
      </c>
      <c r="L30" s="1705"/>
      <c r="M30" s="1272">
        <f>SUM(M31:M31)</f>
        <v>0</v>
      </c>
      <c r="N30" s="1272">
        <f>SUM(N31:N31)</f>
        <v>0</v>
      </c>
      <c r="O30" s="1272"/>
      <c r="P30" s="1272">
        <f>SUM(P31:P31)</f>
        <v>0</v>
      </c>
      <c r="Q30" s="1272">
        <f>SUM(Q31:Q31)</f>
        <v>0</v>
      </c>
      <c r="R30" s="1272">
        <f>SUM(R31:R31)</f>
        <v>0</v>
      </c>
      <c r="S30" s="1217"/>
      <c r="T30" s="1211"/>
    </row>
    <row r="31" spans="1:20">
      <c r="A31" s="1192"/>
      <c r="B31" s="1227"/>
      <c r="C31" s="1231"/>
      <c r="D31" s="1231"/>
      <c r="E31" s="1232"/>
      <c r="F31" s="1232"/>
      <c r="G31" s="1231"/>
      <c r="H31" s="1231"/>
      <c r="I31" s="1263"/>
      <c r="J31" s="1209"/>
      <c r="K31" s="1264"/>
      <c r="L31" s="1250"/>
      <c r="M31" s="1263"/>
      <c r="N31" s="1263"/>
      <c r="O31" s="1252"/>
      <c r="P31" s="1252"/>
      <c r="Q31" s="1263"/>
      <c r="R31" s="1263"/>
      <c r="S31" s="1263"/>
      <c r="T31" s="1211"/>
    </row>
    <row r="32" spans="1:20">
      <c r="A32" s="1704" t="s">
        <v>60</v>
      </c>
      <c r="B32" s="1705"/>
      <c r="C32" s="1207">
        <f t="shared" ref="C32:D32" si="11">SUM(C41+C39+C33)</f>
        <v>950.25</v>
      </c>
      <c r="D32" s="1207">
        <f t="shared" si="11"/>
        <v>52</v>
      </c>
      <c r="E32" s="1207">
        <f t="shared" ref="E32:F32" si="12">SUM(E41+E39+E33)</f>
        <v>6803.25</v>
      </c>
      <c r="F32" s="1207">
        <f t="shared" si="12"/>
        <v>2160.12</v>
      </c>
      <c r="G32" s="1207"/>
      <c r="H32" s="1207">
        <f t="shared" ref="H32" si="13">SUM(H41+H39+H33)</f>
        <v>0.25</v>
      </c>
      <c r="I32" s="1252"/>
      <c r="J32" s="1209"/>
      <c r="K32" s="1704" t="s">
        <v>60</v>
      </c>
      <c r="L32" s="1705"/>
      <c r="M32" s="1210">
        <f>SUM(M41+M39+M33)</f>
        <v>1552.5</v>
      </c>
      <c r="N32" s="1210">
        <f t="shared" ref="N32:S32" si="14">SUM(N41+N39+N33)</f>
        <v>172.5</v>
      </c>
      <c r="O32" s="1210">
        <f t="shared" si="14"/>
        <v>0</v>
      </c>
      <c r="P32" s="1210">
        <f t="shared" si="14"/>
        <v>520.5</v>
      </c>
      <c r="Q32" s="1210">
        <f t="shared" si="14"/>
        <v>0</v>
      </c>
      <c r="R32" s="1210">
        <f t="shared" si="14"/>
        <v>2026</v>
      </c>
      <c r="S32" s="1211">
        <f t="shared" si="14"/>
        <v>0</v>
      </c>
      <c r="T32" s="1211"/>
    </row>
    <row r="33" spans="1:20">
      <c r="A33" s="1253" t="s">
        <v>470</v>
      </c>
      <c r="B33" s="1254"/>
      <c r="C33" s="1214">
        <f t="shared" ref="C33:D33" si="15">SUM(C34:C37)</f>
        <v>26.6</v>
      </c>
      <c r="D33" s="1214">
        <f t="shared" si="15"/>
        <v>0</v>
      </c>
      <c r="E33" s="1214">
        <f t="shared" ref="E33:F33" si="16">SUM(E34:E37)</f>
        <v>1100</v>
      </c>
      <c r="F33" s="1214">
        <f t="shared" si="16"/>
        <v>229</v>
      </c>
      <c r="G33" s="1214"/>
      <c r="H33" s="1214">
        <f t="shared" ref="H33" si="17">SUM(H34:H37)</f>
        <v>0</v>
      </c>
      <c r="I33" s="1209"/>
      <c r="J33" s="1209"/>
      <c r="K33" s="1253" t="s">
        <v>470</v>
      </c>
      <c r="L33" s="1254"/>
      <c r="M33" s="1215">
        <f>SUM(M34:M34)</f>
        <v>0</v>
      </c>
      <c r="N33" s="1215">
        <f>SUM(N34:N34)</f>
        <v>0</v>
      </c>
      <c r="O33" s="1215"/>
      <c r="P33" s="1215">
        <v>458.5</v>
      </c>
      <c r="Q33" s="1215">
        <f>SUM(Q34:Q34)</f>
        <v>0</v>
      </c>
      <c r="R33" s="1215">
        <f>SUM(R34:R34)</f>
        <v>0</v>
      </c>
      <c r="S33" s="1217"/>
      <c r="T33" s="1211"/>
    </row>
    <row r="34" spans="1:20">
      <c r="A34" s="1192" t="s">
        <v>471</v>
      </c>
      <c r="B34" s="1227" t="s">
        <v>485</v>
      </c>
      <c r="C34" s="1273">
        <v>24.6</v>
      </c>
      <c r="D34" s="1273"/>
      <c r="E34" s="1232">
        <f>[2]CORN!$N$101</f>
        <v>990</v>
      </c>
      <c r="F34" s="1232">
        <v>43</v>
      </c>
      <c r="G34" s="1231"/>
      <c r="H34" s="1231"/>
      <c r="I34" s="1248"/>
      <c r="J34" s="1209"/>
      <c r="K34" s="1192"/>
      <c r="L34" s="1227"/>
      <c r="M34" s="1274"/>
      <c r="N34" s="1274"/>
      <c r="O34" s="1229"/>
      <c r="P34" s="1229"/>
      <c r="Q34" s="1274"/>
      <c r="R34" s="1274"/>
      <c r="S34" s="1248"/>
      <c r="T34" s="1211"/>
    </row>
    <row r="35" spans="1:20" ht="15.75">
      <c r="A35" s="1192" t="s">
        <v>471</v>
      </c>
      <c r="B35" s="1227" t="s">
        <v>486</v>
      </c>
      <c r="C35" s="1273">
        <v>2</v>
      </c>
      <c r="D35" s="1273"/>
      <c r="E35" s="1232">
        <f>[1]CORN!$N$100</f>
        <v>110</v>
      </c>
      <c r="F35" s="1232">
        <v>10</v>
      </c>
      <c r="G35" s="1231"/>
      <c r="H35" s="1231"/>
      <c r="I35" s="1275"/>
      <c r="J35" s="1209"/>
      <c r="K35" s="1276"/>
      <c r="L35" s="1277"/>
      <c r="M35" s="1278"/>
      <c r="N35" s="1278"/>
      <c r="O35" s="1278"/>
      <c r="P35" s="1278"/>
      <c r="Q35" s="1275"/>
      <c r="R35" s="1275"/>
      <c r="S35" s="1275"/>
      <c r="T35" s="1211"/>
    </row>
    <row r="36" spans="1:20">
      <c r="A36" s="1192" t="s">
        <v>471</v>
      </c>
      <c r="B36" s="1227" t="s">
        <v>487</v>
      </c>
      <c r="C36" s="1231"/>
      <c r="D36" s="1231"/>
      <c r="E36" s="1232"/>
      <c r="F36" s="1232">
        <v>176</v>
      </c>
      <c r="G36" s="1231"/>
      <c r="H36" s="1231"/>
      <c r="I36" s="1279"/>
      <c r="J36" s="1209"/>
      <c r="K36" s="1276"/>
      <c r="L36" s="1277"/>
      <c r="M36" s="1279"/>
      <c r="N36" s="1279"/>
      <c r="O36" s="1278"/>
      <c r="P36" s="1278"/>
      <c r="Q36" s="1279"/>
      <c r="R36" s="1279"/>
      <c r="S36" s="1279"/>
      <c r="T36" s="1211"/>
    </row>
    <row r="37" spans="1:20">
      <c r="A37" s="1192"/>
      <c r="B37" s="1227"/>
      <c r="C37" s="1231"/>
      <c r="D37" s="1231"/>
      <c r="E37" s="1232"/>
      <c r="F37" s="1232"/>
      <c r="G37" s="1231"/>
      <c r="H37" s="1231"/>
      <c r="I37" s="1209"/>
      <c r="J37" s="1209"/>
      <c r="K37" s="1244"/>
      <c r="L37" s="1245"/>
      <c r="M37" s="1217"/>
      <c r="N37" s="1217"/>
      <c r="O37" s="1217"/>
      <c r="P37" s="1217"/>
      <c r="Q37" s="1217"/>
      <c r="R37" s="1217"/>
      <c r="S37" s="1217"/>
      <c r="T37" s="1211"/>
    </row>
    <row r="38" spans="1:20">
      <c r="A38" s="1721" t="s">
        <v>488</v>
      </c>
      <c r="B38" s="1722"/>
      <c r="C38" s="1280"/>
      <c r="D38" s="1280"/>
      <c r="E38" s="1280"/>
      <c r="F38" s="1280"/>
      <c r="G38" s="1280"/>
      <c r="H38" s="1280"/>
      <c r="I38" s="1252"/>
      <c r="J38" s="1209"/>
      <c r="K38" s="1721" t="s">
        <v>488</v>
      </c>
      <c r="L38" s="1722"/>
      <c r="M38" s="1281"/>
      <c r="N38" s="1281"/>
      <c r="O38" s="1281"/>
      <c r="P38" s="1281"/>
      <c r="Q38" s="1281"/>
      <c r="R38" s="1281"/>
      <c r="S38" s="1252"/>
      <c r="T38" s="1211"/>
    </row>
    <row r="39" spans="1:20">
      <c r="A39" s="1192" t="s">
        <v>489</v>
      </c>
      <c r="B39" s="1218" t="s">
        <v>490</v>
      </c>
      <c r="C39" s="1226"/>
      <c r="D39" s="1226"/>
      <c r="E39" s="1220">
        <f>[1]CORN!$N$97</f>
        <v>1658.25</v>
      </c>
      <c r="F39" s="1220">
        <v>59</v>
      </c>
      <c r="G39" s="1226"/>
      <c r="H39" s="1226"/>
      <c r="I39" s="1248"/>
      <c r="J39" s="1209"/>
      <c r="K39" s="1192" t="s">
        <v>489</v>
      </c>
      <c r="L39" s="1218" t="s">
        <v>490</v>
      </c>
      <c r="M39" s="1233"/>
      <c r="N39" s="1233"/>
      <c r="O39" s="1224"/>
      <c r="P39" s="1224">
        <v>62</v>
      </c>
      <c r="Q39" s="1233"/>
      <c r="R39" s="1233">
        <v>2026</v>
      </c>
      <c r="S39" s="1248"/>
      <c r="T39" s="1211"/>
    </row>
    <row r="40" spans="1:20" ht="15.75">
      <c r="A40" s="1192"/>
      <c r="B40" s="1282"/>
      <c r="C40" s="1283"/>
      <c r="D40" s="1283"/>
      <c r="E40" s="1284"/>
      <c r="F40" s="1284"/>
      <c r="G40" s="1283"/>
      <c r="H40" s="1283"/>
      <c r="I40" s="1275"/>
      <c r="J40" s="1209"/>
      <c r="K40" s="1276"/>
      <c r="L40" s="1277"/>
      <c r="M40" s="1279"/>
      <c r="N40" s="1279"/>
      <c r="O40" s="1278"/>
      <c r="P40" s="1278"/>
      <c r="Q40" s="1275"/>
      <c r="R40" s="1275"/>
      <c r="S40" s="1275"/>
      <c r="T40" s="1211"/>
    </row>
    <row r="41" spans="1:20">
      <c r="A41" s="1253" t="s">
        <v>476</v>
      </c>
      <c r="B41" s="1254"/>
      <c r="C41" s="1214">
        <f t="shared" ref="C41:F41" si="18">SUM(C42:C51)</f>
        <v>923.65</v>
      </c>
      <c r="D41" s="1214">
        <f t="shared" si="18"/>
        <v>52</v>
      </c>
      <c r="E41" s="1214">
        <f t="shared" si="18"/>
        <v>4045</v>
      </c>
      <c r="F41" s="1214">
        <f t="shared" si="18"/>
        <v>1872.12</v>
      </c>
      <c r="G41" s="1214"/>
      <c r="H41" s="1214">
        <f t="shared" ref="H41" si="19">SUM(H42:H51)</f>
        <v>0.25</v>
      </c>
      <c r="I41" s="1209"/>
      <c r="J41" s="1209"/>
      <c r="K41" s="1253" t="s">
        <v>476</v>
      </c>
      <c r="L41" s="1254"/>
      <c r="M41" s="1215">
        <f t="shared" ref="M41:R41" si="20">SUM(M42:M51)</f>
        <v>1552.5</v>
      </c>
      <c r="N41" s="1215">
        <f t="shared" si="20"/>
        <v>172.5</v>
      </c>
      <c r="O41" s="1215">
        <f t="shared" si="20"/>
        <v>0</v>
      </c>
      <c r="P41" s="1215">
        <f t="shared" si="20"/>
        <v>0</v>
      </c>
      <c r="Q41" s="1215">
        <f t="shared" si="20"/>
        <v>0</v>
      </c>
      <c r="R41" s="1215">
        <f t="shared" si="20"/>
        <v>0</v>
      </c>
      <c r="S41" s="1217"/>
      <c r="T41" s="1211"/>
    </row>
    <row r="42" spans="1:20">
      <c r="A42" s="1255" t="s">
        <v>477</v>
      </c>
      <c r="B42" s="1256" t="s">
        <v>287</v>
      </c>
      <c r="C42" s="1262"/>
      <c r="D42" s="1262"/>
      <c r="E42" s="1258">
        <f>[2]CORN!$N$116</f>
        <v>990</v>
      </c>
      <c r="F42" s="1258">
        <v>22</v>
      </c>
      <c r="G42" s="1262"/>
      <c r="H42" s="1262"/>
      <c r="I42" s="1248"/>
      <c r="J42" s="1209"/>
      <c r="K42" s="1255" t="s">
        <v>477</v>
      </c>
      <c r="L42" s="1256" t="s">
        <v>343</v>
      </c>
      <c r="M42" s="1285">
        <v>1.5</v>
      </c>
      <c r="N42" s="1285">
        <v>0.5</v>
      </c>
      <c r="O42" s="1286"/>
      <c r="P42" s="1286"/>
      <c r="Q42" s="1285"/>
      <c r="R42" s="1285"/>
      <c r="S42" s="1248"/>
      <c r="T42" s="1211"/>
    </row>
    <row r="43" spans="1:20">
      <c r="A43" s="1255" t="s">
        <v>477</v>
      </c>
      <c r="B43" s="1256" t="s">
        <v>295</v>
      </c>
      <c r="C43" s="1265" t="s">
        <v>491</v>
      </c>
      <c r="D43" s="1265">
        <v>5</v>
      </c>
      <c r="E43" s="1258" t="s">
        <v>474</v>
      </c>
      <c r="F43" s="1258">
        <v>1050</v>
      </c>
      <c r="G43" s="1262"/>
      <c r="H43" s="1262"/>
      <c r="I43" s="1248"/>
      <c r="J43" s="1209"/>
      <c r="K43" s="1255" t="s">
        <v>477</v>
      </c>
      <c r="L43" s="1256" t="s">
        <v>344</v>
      </c>
      <c r="M43" s="1285">
        <v>4</v>
      </c>
      <c r="N43" s="1285">
        <v>2</v>
      </c>
      <c r="O43" s="1286"/>
      <c r="P43" s="1286"/>
      <c r="Q43" s="1285"/>
      <c r="R43" s="1285"/>
      <c r="S43" s="1248"/>
      <c r="T43" s="1211"/>
    </row>
    <row r="44" spans="1:20" ht="25.5">
      <c r="A44" s="1255" t="s">
        <v>477</v>
      </c>
      <c r="B44" s="1256" t="s">
        <v>343</v>
      </c>
      <c r="C44" s="1262"/>
      <c r="D44" s="1262"/>
      <c r="E44" s="1258">
        <f>[2]CORN!$N$108</f>
        <v>545</v>
      </c>
      <c r="F44" s="1258">
        <v>200</v>
      </c>
      <c r="G44" s="1262"/>
      <c r="H44" s="1262"/>
      <c r="I44" s="1248"/>
      <c r="J44" s="1209"/>
      <c r="K44" s="1192" t="s">
        <v>477</v>
      </c>
      <c r="L44" s="1227" t="s">
        <v>299</v>
      </c>
      <c r="M44" s="1287">
        <v>17</v>
      </c>
      <c r="N44" s="1288">
        <v>17</v>
      </c>
      <c r="O44" s="1229"/>
      <c r="P44" s="1229"/>
      <c r="Q44" s="1274"/>
      <c r="R44" s="1274"/>
      <c r="S44" s="1248"/>
      <c r="T44" s="1211"/>
    </row>
    <row r="45" spans="1:20">
      <c r="A45" s="1255" t="s">
        <v>477</v>
      </c>
      <c r="B45" s="1256" t="s">
        <v>492</v>
      </c>
      <c r="C45" s="1262"/>
      <c r="D45" s="1262"/>
      <c r="E45" s="1258">
        <f>[2]CORN!$N$103</f>
        <v>445</v>
      </c>
      <c r="F45" s="1258">
        <v>120</v>
      </c>
      <c r="G45" s="1262"/>
      <c r="H45" s="1262"/>
      <c r="I45" s="1248"/>
      <c r="J45" s="1209"/>
      <c r="K45" s="1192" t="s">
        <v>477</v>
      </c>
      <c r="L45" s="1227" t="s">
        <v>127</v>
      </c>
      <c r="M45" s="1287">
        <v>1530</v>
      </c>
      <c r="N45" s="1287">
        <v>153</v>
      </c>
      <c r="O45" s="1229"/>
      <c r="P45" s="1229"/>
      <c r="Q45" s="1274"/>
      <c r="R45" s="1274"/>
      <c r="S45" s="1248"/>
      <c r="T45" s="1211"/>
    </row>
    <row r="46" spans="1:20">
      <c r="A46" s="1255" t="s">
        <v>477</v>
      </c>
      <c r="B46" s="1256" t="s">
        <v>330</v>
      </c>
      <c r="C46" s="1262"/>
      <c r="D46" s="1262"/>
      <c r="E46" s="1258">
        <f>[2]CORN!$N$117</f>
        <v>520</v>
      </c>
      <c r="F46" s="1258">
        <v>150</v>
      </c>
      <c r="G46" s="1262"/>
      <c r="H46" s="1262"/>
      <c r="I46" s="1248"/>
      <c r="J46" s="1209"/>
      <c r="K46" s="1255"/>
      <c r="L46" s="1256"/>
      <c r="M46" s="1285"/>
      <c r="N46" s="1285"/>
      <c r="O46" s="1286"/>
      <c r="P46" s="1286"/>
      <c r="Q46" s="1285"/>
      <c r="R46" s="1285"/>
      <c r="S46" s="1248"/>
      <c r="T46" s="1211"/>
    </row>
    <row r="47" spans="1:20">
      <c r="A47" s="1255" t="s">
        <v>477</v>
      </c>
      <c r="B47" s="1256" t="s">
        <v>344</v>
      </c>
      <c r="C47" s="1262"/>
      <c r="D47" s="1262"/>
      <c r="E47" s="1258">
        <f>[2]CORN!$N$112</f>
        <v>405</v>
      </c>
      <c r="F47" s="1258">
        <v>75</v>
      </c>
      <c r="G47" s="1262"/>
      <c r="H47" s="1262"/>
      <c r="I47" s="1248"/>
      <c r="J47" s="1209"/>
      <c r="K47" s="1192"/>
      <c r="L47" s="1227"/>
      <c r="M47" s="1287"/>
      <c r="N47" s="1288"/>
      <c r="O47" s="1229"/>
      <c r="P47" s="1229"/>
      <c r="Q47" s="1274"/>
      <c r="R47" s="1274"/>
      <c r="S47" s="1248"/>
      <c r="T47" s="1211"/>
    </row>
    <row r="48" spans="1:20" ht="25.5">
      <c r="A48" s="1255" t="s">
        <v>477</v>
      </c>
      <c r="B48" s="1256" t="s">
        <v>493</v>
      </c>
      <c r="C48" s="1262"/>
      <c r="D48" s="1262"/>
      <c r="E48" s="1258">
        <f>[2]CORN!$N$111</f>
        <v>760</v>
      </c>
      <c r="F48" s="1258">
        <v>130</v>
      </c>
      <c r="G48" s="1262"/>
      <c r="H48" s="1262"/>
      <c r="I48" s="1248"/>
      <c r="J48" s="1209"/>
      <c r="K48" s="1192"/>
      <c r="L48" s="1227"/>
      <c r="M48" s="1287"/>
      <c r="N48" s="1287"/>
      <c r="O48" s="1229"/>
      <c r="P48" s="1229"/>
      <c r="Q48" s="1274"/>
      <c r="R48" s="1274"/>
      <c r="S48" s="1248"/>
      <c r="T48" s="1211"/>
    </row>
    <row r="49" spans="1:20">
      <c r="A49" s="1255" t="s">
        <v>477</v>
      </c>
      <c r="B49" s="1256" t="s">
        <v>494</v>
      </c>
      <c r="C49" s="1262"/>
      <c r="D49" s="1262"/>
      <c r="E49" s="1258">
        <f>[1]CORN!$N$105</f>
        <v>380</v>
      </c>
      <c r="F49" s="1258">
        <v>111.12</v>
      </c>
      <c r="G49" s="1289"/>
      <c r="H49" s="1289">
        <v>0.25</v>
      </c>
      <c r="I49" s="1209"/>
      <c r="J49" s="1209"/>
      <c r="K49" s="1244"/>
      <c r="L49" s="1245"/>
      <c r="M49" s="1217"/>
      <c r="N49" s="1217"/>
      <c r="O49" s="1217"/>
      <c r="P49" s="1217"/>
      <c r="Q49" s="1217"/>
      <c r="R49" s="1217"/>
      <c r="S49" s="1217"/>
      <c r="T49" s="1211"/>
    </row>
    <row r="50" spans="1:20">
      <c r="A50" s="1192" t="s">
        <v>477</v>
      </c>
      <c r="B50" s="1227" t="s">
        <v>299</v>
      </c>
      <c r="C50" s="1265">
        <v>923.65</v>
      </c>
      <c r="D50" s="1265">
        <v>20</v>
      </c>
      <c r="E50" s="1232"/>
      <c r="F50" s="1232">
        <v>14</v>
      </c>
      <c r="G50" s="1231"/>
      <c r="H50" s="1231"/>
      <c r="I50" s="1290"/>
      <c r="J50" s="1209"/>
      <c r="K50" s="1276"/>
      <c r="L50" s="1277"/>
      <c r="M50" s="1291"/>
      <c r="N50" s="1291"/>
      <c r="O50" s="1278"/>
      <c r="P50" s="1278"/>
      <c r="Q50" s="1290"/>
      <c r="R50" s="1290"/>
      <c r="S50" s="1290"/>
      <c r="T50" s="1211"/>
    </row>
    <row r="51" spans="1:20">
      <c r="A51" s="1192" t="s">
        <v>477</v>
      </c>
      <c r="B51" s="1227" t="s">
        <v>127</v>
      </c>
      <c r="C51" s="1265" t="s">
        <v>491</v>
      </c>
      <c r="D51" s="1265">
        <v>27</v>
      </c>
      <c r="E51" s="1232"/>
      <c r="F51" s="1232"/>
      <c r="G51" s="1231"/>
      <c r="H51" s="1231"/>
      <c r="I51" s="1279"/>
      <c r="J51" s="1209"/>
      <c r="K51" s="1276"/>
      <c r="L51" s="1277"/>
      <c r="M51" s="1279"/>
      <c r="N51" s="1279"/>
      <c r="O51" s="1278"/>
      <c r="P51" s="1278"/>
      <c r="Q51" s="1279"/>
      <c r="R51" s="1279"/>
      <c r="S51" s="1279"/>
      <c r="T51" s="1211"/>
    </row>
    <row r="52" spans="1:20">
      <c r="A52" s="1704" t="s">
        <v>345</v>
      </c>
      <c r="B52" s="1705"/>
      <c r="C52" s="1207">
        <f t="shared" ref="C52:F52" si="21">SUM(C59+C53)</f>
        <v>1664.06</v>
      </c>
      <c r="D52" s="1207">
        <f t="shared" si="21"/>
        <v>132</v>
      </c>
      <c r="E52" s="1207">
        <f t="shared" si="21"/>
        <v>1340</v>
      </c>
      <c r="F52" s="1207">
        <f t="shared" si="21"/>
        <v>330.25</v>
      </c>
      <c r="G52" s="1207"/>
      <c r="H52" s="1207">
        <f t="shared" ref="H52" si="22">SUM(H59+H53)</f>
        <v>18</v>
      </c>
      <c r="I52" s="1252"/>
      <c r="J52" s="1209"/>
      <c r="K52" s="1704" t="s">
        <v>345</v>
      </c>
      <c r="L52" s="1705"/>
      <c r="M52" s="1210">
        <f>SUM(M59+M53)</f>
        <v>969.8</v>
      </c>
      <c r="N52" s="1210">
        <f t="shared" ref="N52:S52" si="23">SUM(N59+N53)</f>
        <v>485.85</v>
      </c>
      <c r="O52" s="1210">
        <f t="shared" si="23"/>
        <v>0</v>
      </c>
      <c r="P52" s="1210">
        <f t="shared" si="23"/>
        <v>998.5</v>
      </c>
      <c r="Q52" s="1210">
        <f t="shared" si="23"/>
        <v>0</v>
      </c>
      <c r="R52" s="1210">
        <f t="shared" si="23"/>
        <v>1084.1099999999999</v>
      </c>
      <c r="S52" s="1211">
        <f t="shared" si="23"/>
        <v>0</v>
      </c>
      <c r="T52" s="1211"/>
    </row>
    <row r="53" spans="1:20">
      <c r="A53" s="1253" t="s">
        <v>470</v>
      </c>
      <c r="B53" s="1254"/>
      <c r="C53" s="1214">
        <f t="shared" ref="C53:D53" si="24">SUM(C54:C58)</f>
        <v>813.16</v>
      </c>
      <c r="D53" s="1214">
        <f t="shared" si="24"/>
        <v>38</v>
      </c>
      <c r="E53" s="1214">
        <f t="shared" ref="E53:F53" si="25">SUM(E54:E58)</f>
        <v>107</v>
      </c>
      <c r="F53" s="1214">
        <f t="shared" si="25"/>
        <v>59.25</v>
      </c>
      <c r="G53" s="1214"/>
      <c r="H53" s="1214">
        <f t="shared" ref="H53" si="26">SUM(H54:H58)</f>
        <v>12</v>
      </c>
      <c r="I53" s="1209"/>
      <c r="J53" s="1209"/>
      <c r="K53" s="1253" t="s">
        <v>470</v>
      </c>
      <c r="L53" s="1254"/>
      <c r="M53" s="1215">
        <f>SUM(M54:M55)</f>
        <v>904</v>
      </c>
      <c r="N53" s="1215">
        <f>SUM(N54:N55)</f>
        <v>454</v>
      </c>
      <c r="O53" s="1215"/>
      <c r="P53" s="1215">
        <f>SUM(P54:P55)</f>
        <v>0</v>
      </c>
      <c r="Q53" s="1215">
        <f>SUM(Q54:Q55)</f>
        <v>0</v>
      </c>
      <c r="R53" s="1215">
        <f>SUM(R54:R55)</f>
        <v>0</v>
      </c>
      <c r="S53" s="1217"/>
      <c r="T53" s="1211"/>
    </row>
    <row r="54" spans="1:20" ht="15.75">
      <c r="A54" s="1292" t="s">
        <v>471</v>
      </c>
      <c r="B54" s="1293" t="s">
        <v>495</v>
      </c>
      <c r="C54" s="1273">
        <v>4.16</v>
      </c>
      <c r="D54" s="1273">
        <v>2</v>
      </c>
      <c r="E54" s="1294">
        <f>[2]CORN!$N$74</f>
        <v>107</v>
      </c>
      <c r="F54" s="1294">
        <v>35.25</v>
      </c>
      <c r="G54" s="1295"/>
      <c r="H54" s="1295"/>
      <c r="I54" s="1275"/>
      <c r="J54" s="1209"/>
      <c r="K54" s="1292" t="s">
        <v>471</v>
      </c>
      <c r="L54" s="1296" t="s">
        <v>347</v>
      </c>
      <c r="M54" s="1223">
        <v>900</v>
      </c>
      <c r="N54" s="1223">
        <v>450</v>
      </c>
      <c r="O54" s="1223"/>
      <c r="P54" s="1223"/>
      <c r="Q54" s="1297"/>
      <c r="R54" s="1297"/>
      <c r="S54" s="1275"/>
      <c r="T54" s="1211"/>
    </row>
    <row r="55" spans="1:20" ht="15.75">
      <c r="A55" s="1292" t="s">
        <v>471</v>
      </c>
      <c r="B55" s="1296" t="s">
        <v>347</v>
      </c>
      <c r="C55" s="1219">
        <v>769</v>
      </c>
      <c r="D55" s="1219">
        <v>34</v>
      </c>
      <c r="E55" s="1219"/>
      <c r="F55" s="1219">
        <v>15</v>
      </c>
      <c r="G55" s="1298"/>
      <c r="H55" s="1298">
        <v>10</v>
      </c>
      <c r="I55" s="1279"/>
      <c r="J55" s="1209"/>
      <c r="K55" s="1292" t="s">
        <v>471</v>
      </c>
      <c r="L55" s="1296" t="s">
        <v>349</v>
      </c>
      <c r="M55" s="1299">
        <v>4</v>
      </c>
      <c r="N55" s="1299">
        <v>4</v>
      </c>
      <c r="O55" s="1223"/>
      <c r="P55" s="1223"/>
      <c r="Q55" s="1299"/>
      <c r="R55" s="1299"/>
      <c r="S55" s="1279"/>
      <c r="T55" s="1211"/>
    </row>
    <row r="56" spans="1:20">
      <c r="A56" s="1292" t="s">
        <v>471</v>
      </c>
      <c r="B56" s="1296" t="s">
        <v>349</v>
      </c>
      <c r="C56" s="1300"/>
      <c r="D56" s="1300"/>
      <c r="E56" s="1219"/>
      <c r="F56" s="1219">
        <v>1</v>
      </c>
      <c r="G56" s="1300"/>
      <c r="H56" s="1300"/>
      <c r="I56" s="1301"/>
      <c r="J56" s="1209"/>
      <c r="K56" s="1302"/>
      <c r="L56" s="1303"/>
      <c r="M56" s="1304"/>
      <c r="N56" s="1304"/>
      <c r="O56" s="1304"/>
      <c r="P56" s="1304"/>
      <c r="Q56" s="1304"/>
      <c r="R56" s="1304"/>
      <c r="S56" s="1279"/>
      <c r="T56" s="1211"/>
    </row>
    <row r="57" spans="1:20" ht="15.75">
      <c r="A57" s="1292" t="s">
        <v>471</v>
      </c>
      <c r="B57" s="1293" t="s">
        <v>496</v>
      </c>
      <c r="C57" s="1295"/>
      <c r="D57" s="1295"/>
      <c r="E57" s="1294"/>
      <c r="F57" s="1294">
        <v>8</v>
      </c>
      <c r="G57" s="1305"/>
      <c r="H57" s="1305">
        <v>2</v>
      </c>
      <c r="I57" s="1306"/>
      <c r="J57" s="1209"/>
      <c r="K57" s="1307"/>
      <c r="L57" s="1308"/>
      <c r="M57" s="1309"/>
      <c r="N57" s="1309"/>
      <c r="O57" s="1309"/>
      <c r="P57" s="1309"/>
      <c r="Q57" s="1309"/>
      <c r="R57" s="1309"/>
      <c r="S57" s="1275"/>
      <c r="T57" s="1211"/>
    </row>
    <row r="58" spans="1:20">
      <c r="A58" s="1292" t="s">
        <v>471</v>
      </c>
      <c r="B58" s="1293" t="s">
        <v>497</v>
      </c>
      <c r="C58" s="1273">
        <v>40</v>
      </c>
      <c r="D58" s="1273">
        <v>2</v>
      </c>
      <c r="E58" s="1294"/>
      <c r="F58" s="1294"/>
      <c r="G58" s="1295"/>
      <c r="H58" s="1295"/>
      <c r="I58" s="1301"/>
      <c r="J58" s="1209"/>
      <c r="K58" s="1302"/>
      <c r="L58" s="1303"/>
      <c r="M58" s="1304"/>
      <c r="N58" s="1304"/>
      <c r="O58" s="1304"/>
      <c r="P58" s="1304"/>
      <c r="Q58" s="1304"/>
      <c r="R58" s="1304"/>
      <c r="S58" s="1279"/>
      <c r="T58" s="1211"/>
    </row>
    <row r="59" spans="1:20">
      <c r="A59" s="1253" t="s">
        <v>476</v>
      </c>
      <c r="B59" s="1254"/>
      <c r="C59" s="1214">
        <f t="shared" ref="C59:F59" si="27">SUM(C60:C63)</f>
        <v>850.9</v>
      </c>
      <c r="D59" s="1214">
        <f t="shared" si="27"/>
        <v>94</v>
      </c>
      <c r="E59" s="1214">
        <f t="shared" si="27"/>
        <v>1233</v>
      </c>
      <c r="F59" s="1214">
        <f t="shared" si="27"/>
        <v>271</v>
      </c>
      <c r="G59" s="1214"/>
      <c r="H59" s="1214">
        <f t="shared" ref="H59" si="28">SUM(H60:H63)</f>
        <v>6</v>
      </c>
      <c r="I59" s="1209"/>
      <c r="J59" s="1209"/>
      <c r="K59" s="1253" t="s">
        <v>476</v>
      </c>
      <c r="L59" s="1254"/>
      <c r="M59" s="1215">
        <f>SUM(M60:M65)</f>
        <v>65.8</v>
      </c>
      <c r="N59" s="1215">
        <f>SUM(N60:N65)</f>
        <v>31.85</v>
      </c>
      <c r="O59" s="1215"/>
      <c r="P59" s="1215">
        <f>SUM(P60:P65)</f>
        <v>998.5</v>
      </c>
      <c r="Q59" s="1215">
        <f>SUM(Q60:Q65)</f>
        <v>0</v>
      </c>
      <c r="R59" s="1215">
        <f>SUM(R60:R65)</f>
        <v>1084.1099999999999</v>
      </c>
      <c r="S59" s="1217"/>
      <c r="T59" s="1211"/>
    </row>
    <row r="60" spans="1:20">
      <c r="A60" s="1255" t="s">
        <v>477</v>
      </c>
      <c r="B60" s="1296" t="s">
        <v>346</v>
      </c>
      <c r="C60" s="1310">
        <v>1</v>
      </c>
      <c r="D60" s="1310">
        <v>38</v>
      </c>
      <c r="E60" s="1219">
        <f>[2]CORN!$N$86</f>
        <v>839</v>
      </c>
      <c r="F60" s="1219">
        <v>49</v>
      </c>
      <c r="G60" s="1300"/>
      <c r="H60" s="1300"/>
      <c r="I60" s="1279"/>
      <c r="J60" s="1209"/>
      <c r="K60" s="1255" t="s">
        <v>477</v>
      </c>
      <c r="L60" s="1296" t="s">
        <v>346</v>
      </c>
      <c r="M60" s="1311">
        <v>0.5</v>
      </c>
      <c r="N60" s="1311">
        <v>0.5</v>
      </c>
      <c r="O60" s="1223"/>
      <c r="P60" s="1223"/>
      <c r="Q60" s="1299"/>
      <c r="R60" s="1299"/>
      <c r="S60" s="1279"/>
      <c r="T60" s="1211"/>
    </row>
    <row r="61" spans="1:20">
      <c r="A61" s="1312" t="s">
        <v>477</v>
      </c>
      <c r="B61" s="1313" t="s">
        <v>498</v>
      </c>
      <c r="C61" s="1273">
        <v>6</v>
      </c>
      <c r="D61" s="1273">
        <v>6</v>
      </c>
      <c r="E61" s="1273">
        <f>[2]CORN!$N$89</f>
        <v>394</v>
      </c>
      <c r="F61" s="1273">
        <v>95</v>
      </c>
      <c r="G61" s="1314"/>
      <c r="H61" s="1314"/>
      <c r="I61" s="1279"/>
      <c r="J61" s="1209"/>
      <c r="K61" s="1255"/>
      <c r="L61" s="1313" t="s">
        <v>351</v>
      </c>
      <c r="M61" s="1287">
        <v>5</v>
      </c>
      <c r="N61" s="1287">
        <v>4</v>
      </c>
      <c r="O61" s="1228"/>
      <c r="P61" s="1228"/>
      <c r="Q61" s="1315"/>
      <c r="R61" s="1315"/>
      <c r="S61" s="1279"/>
      <c r="T61" s="1211"/>
    </row>
    <row r="62" spans="1:20" ht="15.75">
      <c r="A62" s="1292" t="s">
        <v>477</v>
      </c>
      <c r="B62" s="1296" t="s">
        <v>348</v>
      </c>
      <c r="C62" s="1300"/>
      <c r="D62" s="1300"/>
      <c r="E62" s="1219"/>
      <c r="F62" s="1219">
        <v>127</v>
      </c>
      <c r="G62" s="1298"/>
      <c r="H62" s="1298">
        <v>6</v>
      </c>
      <c r="I62" s="1275"/>
      <c r="J62" s="1209"/>
      <c r="K62" s="1292" t="s">
        <v>477</v>
      </c>
      <c r="L62" s="1296" t="s">
        <v>348</v>
      </c>
      <c r="M62" s="1299">
        <v>3</v>
      </c>
      <c r="N62" s="1299">
        <v>3</v>
      </c>
      <c r="O62" s="1223"/>
      <c r="P62" s="1223"/>
      <c r="Q62" s="1297"/>
      <c r="R62" s="1297"/>
      <c r="S62" s="1275"/>
      <c r="T62" s="1211"/>
    </row>
    <row r="63" spans="1:20">
      <c r="A63" s="1292" t="s">
        <v>477</v>
      </c>
      <c r="B63" s="1293" t="s">
        <v>414</v>
      </c>
      <c r="C63" s="1265">
        <v>843.9</v>
      </c>
      <c r="D63" s="1265">
        <v>50</v>
      </c>
      <c r="E63" s="1294"/>
      <c r="F63" s="1294"/>
      <c r="G63" s="1295"/>
      <c r="H63" s="1295"/>
      <c r="I63" s="1279"/>
      <c r="J63" s="1209"/>
      <c r="K63" s="1292"/>
      <c r="L63" s="1293" t="s">
        <v>499</v>
      </c>
      <c r="M63" s="1287">
        <v>3.5</v>
      </c>
      <c r="N63" s="1287">
        <v>3.5</v>
      </c>
      <c r="O63" s="1316"/>
      <c r="P63" s="1316"/>
      <c r="Q63" s="1304"/>
      <c r="R63" s="1304"/>
      <c r="S63" s="1279"/>
      <c r="T63" s="1211"/>
    </row>
    <row r="64" spans="1:20">
      <c r="A64" s="1292"/>
      <c r="B64" s="1293"/>
      <c r="C64" s="1265"/>
      <c r="D64" s="1265"/>
      <c r="E64" s="1294"/>
      <c r="F64" s="1294"/>
      <c r="G64" s="1295"/>
      <c r="H64" s="1295"/>
      <c r="I64" s="1279"/>
      <c r="J64" s="1209"/>
      <c r="K64" s="1292"/>
      <c r="L64" s="1293" t="s">
        <v>350</v>
      </c>
      <c r="M64" s="1287">
        <v>0.1</v>
      </c>
      <c r="N64" s="1287">
        <v>0.1</v>
      </c>
      <c r="O64" s="1316"/>
      <c r="P64" s="1316"/>
      <c r="Q64" s="1304"/>
      <c r="R64" s="1304"/>
      <c r="S64" s="1279"/>
      <c r="T64" s="1211"/>
    </row>
    <row r="65" spans="1:20">
      <c r="A65" s="1704" t="s">
        <v>232</v>
      </c>
      <c r="B65" s="1705"/>
      <c r="C65" s="1207">
        <f t="shared" ref="C65:F65" si="29">SUM(C96+C95+C81+C66)</f>
        <v>1397.12</v>
      </c>
      <c r="D65" s="1207">
        <f t="shared" si="29"/>
        <v>121.25</v>
      </c>
      <c r="E65" s="1207">
        <f t="shared" si="29"/>
        <v>5679</v>
      </c>
      <c r="F65" s="1207">
        <f t="shared" si="29"/>
        <v>5296</v>
      </c>
      <c r="G65" s="1207"/>
      <c r="H65" s="1207">
        <f t="shared" ref="H65" si="30">SUM(H96+H95+H81+H66)</f>
        <v>492.32999999999993</v>
      </c>
      <c r="I65" s="1278"/>
      <c r="J65" s="1209"/>
      <c r="K65" s="1704" t="s">
        <v>232</v>
      </c>
      <c r="L65" s="1705"/>
      <c r="M65" s="1317">
        <f>SUM(M95+M81+M66)</f>
        <v>53.7</v>
      </c>
      <c r="N65" s="1317">
        <f t="shared" ref="N65:S65" si="31">SUM(N95+N81+N66)</f>
        <v>20.75</v>
      </c>
      <c r="O65" s="1317">
        <f t="shared" si="31"/>
        <v>0</v>
      </c>
      <c r="P65" s="1317">
        <f t="shared" si="31"/>
        <v>998.5</v>
      </c>
      <c r="Q65" s="1317">
        <f t="shared" si="31"/>
        <v>0</v>
      </c>
      <c r="R65" s="1317">
        <f t="shared" si="31"/>
        <v>1084.1099999999999</v>
      </c>
      <c r="S65" s="1278">
        <f t="shared" si="31"/>
        <v>0</v>
      </c>
      <c r="T65" s="1211"/>
    </row>
    <row r="66" spans="1:20">
      <c r="A66" s="1253" t="s">
        <v>470</v>
      </c>
      <c r="B66" s="1254"/>
      <c r="C66" s="1214">
        <f t="shared" ref="C66:D66" si="32">SUM(C67:C80)</f>
        <v>713.03</v>
      </c>
      <c r="D66" s="1214">
        <f t="shared" si="32"/>
        <v>51.25</v>
      </c>
      <c r="E66" s="1214">
        <f t="shared" ref="E66:F66" si="33">SUM(E67:E80)</f>
        <v>1088</v>
      </c>
      <c r="F66" s="1214">
        <f t="shared" si="33"/>
        <v>484</v>
      </c>
      <c r="G66" s="1214"/>
      <c r="H66" s="1214">
        <f t="shared" ref="H66" si="34">SUM(H67:H80)</f>
        <v>27.65</v>
      </c>
      <c r="I66" s="1209"/>
      <c r="J66" s="1209"/>
      <c r="K66" s="1253" t="s">
        <v>470</v>
      </c>
      <c r="L66" s="1254"/>
      <c r="M66" s="1215">
        <f>SUM(M67:M70)</f>
        <v>0</v>
      </c>
      <c r="N66" s="1215">
        <f>SUM(N67:N70)</f>
        <v>0</v>
      </c>
      <c r="O66" s="1215"/>
      <c r="P66" s="1318">
        <v>634.9</v>
      </c>
      <c r="Q66" s="1317"/>
      <c r="R66" s="1317">
        <v>910.55</v>
      </c>
      <c r="S66" s="1217"/>
      <c r="T66" s="1211"/>
    </row>
    <row r="67" spans="1:20">
      <c r="A67" s="1319" t="s">
        <v>471</v>
      </c>
      <c r="B67" s="1293" t="s">
        <v>500</v>
      </c>
      <c r="C67" s="1295"/>
      <c r="D67" s="1295"/>
      <c r="E67" s="1320">
        <f>[2]CORN!$N$50</f>
        <v>122</v>
      </c>
      <c r="F67" s="1320">
        <v>16</v>
      </c>
      <c r="G67" s="1295"/>
      <c r="H67" s="1295"/>
      <c r="I67" s="1279"/>
      <c r="J67" s="1209"/>
      <c r="K67" s="1319"/>
      <c r="L67" s="1293"/>
      <c r="M67" s="1304"/>
      <c r="N67" s="1304"/>
      <c r="O67" s="1316"/>
      <c r="P67" s="1316"/>
      <c r="Q67" s="1304"/>
      <c r="R67" s="1304"/>
      <c r="S67" s="1279"/>
      <c r="T67" s="1211"/>
    </row>
    <row r="68" spans="1:20">
      <c r="A68" s="1319" t="s">
        <v>471</v>
      </c>
      <c r="B68" s="1293" t="s">
        <v>501</v>
      </c>
      <c r="C68" s="1295"/>
      <c r="D68" s="1295"/>
      <c r="E68" s="1294">
        <f>[2]CORN!$N$53</f>
        <v>117</v>
      </c>
      <c r="F68" s="1294">
        <v>8</v>
      </c>
      <c r="G68" s="1289"/>
      <c r="H68" s="1289">
        <v>0.5</v>
      </c>
      <c r="I68" s="1321"/>
      <c r="J68" s="1209"/>
      <c r="K68" s="1322"/>
      <c r="L68" s="1323"/>
      <c r="M68" s="1324"/>
      <c r="N68" s="1324"/>
      <c r="O68" s="1324"/>
      <c r="P68" s="1324"/>
      <c r="Q68" s="1324"/>
      <c r="R68" s="1324"/>
      <c r="S68" s="1290"/>
      <c r="T68" s="1211"/>
    </row>
    <row r="69" spans="1:20">
      <c r="A69" s="1319" t="s">
        <v>471</v>
      </c>
      <c r="B69" s="1293" t="s">
        <v>501</v>
      </c>
      <c r="C69" s="1295"/>
      <c r="D69" s="1295"/>
      <c r="E69" s="1294">
        <f>[2]CORN!$N$53</f>
        <v>117</v>
      </c>
      <c r="F69" s="1294"/>
      <c r="G69" s="1295"/>
      <c r="H69" s="1295"/>
      <c r="I69" s="1301"/>
      <c r="J69" s="1209"/>
      <c r="K69" s="1302"/>
      <c r="L69" s="1303"/>
      <c r="M69" s="1304"/>
      <c r="N69" s="1304"/>
      <c r="O69" s="1304"/>
      <c r="P69" s="1304"/>
      <c r="Q69" s="1304"/>
      <c r="R69" s="1304"/>
      <c r="S69" s="1279"/>
      <c r="T69" s="1211"/>
    </row>
    <row r="70" spans="1:20">
      <c r="A70" s="1319" t="s">
        <v>471</v>
      </c>
      <c r="B70" s="1293" t="s">
        <v>502</v>
      </c>
      <c r="C70" s="1295"/>
      <c r="D70" s="1295"/>
      <c r="E70" s="1294">
        <f>[2]CORN!$N$48</f>
        <v>392</v>
      </c>
      <c r="F70" s="1294">
        <v>6</v>
      </c>
      <c r="G70" s="1295"/>
      <c r="H70" s="1295"/>
      <c r="I70" s="1301"/>
      <c r="J70" s="1209"/>
      <c r="K70" s="1302"/>
      <c r="L70" s="1303"/>
      <c r="M70" s="1304"/>
      <c r="N70" s="1304"/>
      <c r="O70" s="1304"/>
      <c r="P70" s="1304"/>
      <c r="Q70" s="1304"/>
      <c r="R70" s="1304"/>
      <c r="S70" s="1279"/>
      <c r="T70" s="1211"/>
    </row>
    <row r="71" spans="1:20">
      <c r="A71" s="1319" t="s">
        <v>471</v>
      </c>
      <c r="B71" s="1293" t="s">
        <v>503</v>
      </c>
      <c r="C71" s="1295"/>
      <c r="D71" s="1295"/>
      <c r="E71" s="1294">
        <f>[2]CORN!$N$46</f>
        <v>105</v>
      </c>
      <c r="F71" s="1294">
        <v>3</v>
      </c>
      <c r="G71" s="1295"/>
      <c r="H71" s="1295"/>
      <c r="I71" s="1301"/>
      <c r="J71" s="1209"/>
      <c r="K71" s="1302"/>
      <c r="L71" s="1303"/>
      <c r="M71" s="1304"/>
      <c r="N71" s="1304"/>
      <c r="O71" s="1304"/>
      <c r="P71" s="1304"/>
      <c r="Q71" s="1304"/>
      <c r="R71" s="1304"/>
      <c r="S71" s="1279"/>
      <c r="T71" s="1211"/>
    </row>
    <row r="72" spans="1:20">
      <c r="A72" s="1319" t="s">
        <v>471</v>
      </c>
      <c r="B72" s="1293" t="s">
        <v>504</v>
      </c>
      <c r="C72" s="1265">
        <v>112.78</v>
      </c>
      <c r="D72" s="1265">
        <v>30</v>
      </c>
      <c r="E72" s="1320">
        <f>[2]CORN!$N$49</f>
        <v>235</v>
      </c>
      <c r="F72" s="1320"/>
      <c r="G72" s="1295"/>
      <c r="H72" s="1295"/>
      <c r="I72" s="1301"/>
      <c r="J72" s="1209"/>
      <c r="K72" s="1302"/>
      <c r="L72" s="1303"/>
      <c r="M72" s="1304"/>
      <c r="N72" s="1304"/>
      <c r="O72" s="1304"/>
      <c r="P72" s="1304"/>
      <c r="Q72" s="1304"/>
      <c r="R72" s="1304"/>
      <c r="S72" s="1279"/>
      <c r="T72" s="1211"/>
    </row>
    <row r="73" spans="1:20">
      <c r="A73" s="1319" t="s">
        <v>471</v>
      </c>
      <c r="B73" s="1293" t="s">
        <v>505</v>
      </c>
      <c r="C73" s="1295"/>
      <c r="D73" s="1295"/>
      <c r="E73" s="1294"/>
      <c r="F73" s="1294">
        <v>130</v>
      </c>
      <c r="G73" s="1295"/>
      <c r="H73" s="1295">
        <f>7.9+8</f>
        <v>15.9</v>
      </c>
      <c r="I73" s="1301"/>
      <c r="J73" s="1209"/>
      <c r="K73" s="1302"/>
      <c r="L73" s="1303"/>
      <c r="M73" s="1304"/>
      <c r="N73" s="1304"/>
      <c r="O73" s="1304"/>
      <c r="P73" s="1304"/>
      <c r="Q73" s="1304"/>
      <c r="R73" s="1304"/>
      <c r="S73" s="1279"/>
      <c r="T73" s="1211"/>
    </row>
    <row r="74" spans="1:20">
      <c r="A74" s="1319" t="s">
        <v>471</v>
      </c>
      <c r="B74" s="1293" t="s">
        <v>506</v>
      </c>
      <c r="C74" s="1265">
        <v>225</v>
      </c>
      <c r="D74" s="1265">
        <v>0.25</v>
      </c>
      <c r="E74" s="1294"/>
      <c r="F74" s="1294">
        <v>95</v>
      </c>
      <c r="G74" s="1289"/>
      <c r="H74" s="1289">
        <v>1.25</v>
      </c>
      <c r="I74" s="1321"/>
      <c r="J74" s="1209"/>
      <c r="K74" s="1322"/>
      <c r="L74" s="1323"/>
      <c r="M74" s="1324"/>
      <c r="N74" s="1324"/>
      <c r="O74" s="1324"/>
      <c r="P74" s="1324"/>
      <c r="Q74" s="1324"/>
      <c r="R74" s="1324"/>
      <c r="S74" s="1290"/>
      <c r="T74" s="1211"/>
    </row>
    <row r="75" spans="1:20">
      <c r="A75" s="1319" t="s">
        <v>471</v>
      </c>
      <c r="B75" s="1293" t="s">
        <v>507</v>
      </c>
      <c r="C75" s="1295"/>
      <c r="D75" s="1295"/>
      <c r="E75" s="1294"/>
      <c r="F75" s="1294">
        <v>80</v>
      </c>
      <c r="G75" s="1289"/>
      <c r="H75" s="1289">
        <v>10</v>
      </c>
      <c r="I75" s="1321"/>
      <c r="J75" s="1209"/>
      <c r="K75" s="1322"/>
      <c r="L75" s="1323"/>
      <c r="M75" s="1324"/>
      <c r="N75" s="1324"/>
      <c r="O75" s="1324"/>
      <c r="P75" s="1324"/>
      <c r="Q75" s="1324"/>
      <c r="R75" s="1324"/>
      <c r="S75" s="1290"/>
      <c r="T75" s="1211"/>
    </row>
    <row r="76" spans="1:20">
      <c r="A76" s="1319" t="s">
        <v>471</v>
      </c>
      <c r="B76" s="1293" t="s">
        <v>508</v>
      </c>
      <c r="C76" s="1295"/>
      <c r="D76" s="1295"/>
      <c r="E76" s="1294"/>
      <c r="F76" s="1294">
        <v>56</v>
      </c>
      <c r="G76" s="1295"/>
      <c r="H76" s="1295"/>
      <c r="I76" s="1301"/>
      <c r="J76" s="1209"/>
      <c r="K76" s="1302"/>
      <c r="L76" s="1303"/>
      <c r="M76" s="1304"/>
      <c r="N76" s="1304"/>
      <c r="O76" s="1304"/>
      <c r="P76" s="1304"/>
      <c r="Q76" s="1304"/>
      <c r="R76" s="1304"/>
      <c r="S76" s="1279"/>
      <c r="T76" s="1211"/>
    </row>
    <row r="77" spans="1:20">
      <c r="A77" s="1319" t="s">
        <v>471</v>
      </c>
      <c r="B77" s="1293" t="s">
        <v>509</v>
      </c>
      <c r="C77" s="1265">
        <v>375.25</v>
      </c>
      <c r="D77" s="1265">
        <v>21</v>
      </c>
      <c r="E77" s="1294"/>
      <c r="F77" s="1294">
        <v>90</v>
      </c>
      <c r="G77" s="1295"/>
      <c r="H77" s="1295"/>
      <c r="I77" s="1301"/>
      <c r="J77" s="1209"/>
      <c r="K77" s="1302"/>
      <c r="L77" s="1303"/>
      <c r="M77" s="1304"/>
      <c r="N77" s="1304"/>
      <c r="O77" s="1304"/>
      <c r="P77" s="1304"/>
      <c r="Q77" s="1304"/>
      <c r="R77" s="1304"/>
      <c r="S77" s="1279"/>
      <c r="T77" s="1211"/>
    </row>
    <row r="78" spans="1:20">
      <c r="A78" s="1319"/>
      <c r="B78" s="1293"/>
      <c r="C78" s="1295"/>
      <c r="D78" s="1295"/>
      <c r="E78" s="1294"/>
      <c r="F78" s="1294"/>
      <c r="G78" s="1295"/>
      <c r="H78" s="1295"/>
      <c r="I78" s="1301"/>
      <c r="J78" s="1209"/>
      <c r="K78" s="1302"/>
      <c r="L78" s="1303"/>
      <c r="M78" s="1304"/>
      <c r="N78" s="1304"/>
      <c r="O78" s="1304"/>
      <c r="P78" s="1304"/>
      <c r="Q78" s="1304"/>
      <c r="R78" s="1304"/>
      <c r="S78" s="1279"/>
      <c r="T78" s="1211"/>
    </row>
    <row r="79" spans="1:20">
      <c r="A79" s="1319"/>
      <c r="B79" s="1293"/>
      <c r="C79" s="1295"/>
      <c r="D79" s="1295"/>
      <c r="E79" s="1294"/>
      <c r="F79" s="1294"/>
      <c r="G79" s="1295"/>
      <c r="H79" s="1295"/>
      <c r="I79" s="1301"/>
      <c r="J79" s="1209"/>
      <c r="K79" s="1302"/>
      <c r="L79" s="1303"/>
      <c r="M79" s="1304"/>
      <c r="N79" s="1304"/>
      <c r="O79" s="1304"/>
      <c r="P79" s="1304"/>
      <c r="Q79" s="1304"/>
      <c r="R79" s="1304"/>
      <c r="S79" s="1279"/>
      <c r="T79" s="1211"/>
    </row>
    <row r="80" spans="1:20">
      <c r="A80" s="1319"/>
      <c r="B80" s="1293"/>
      <c r="C80" s="1295"/>
      <c r="D80" s="1295"/>
      <c r="E80" s="1294"/>
      <c r="F80" s="1294"/>
      <c r="G80" s="1295"/>
      <c r="H80" s="1295"/>
      <c r="I80" s="1301"/>
      <c r="J80" s="1209"/>
      <c r="K80" s="1302"/>
      <c r="L80" s="1303"/>
      <c r="M80" s="1304"/>
      <c r="N80" s="1304"/>
      <c r="O80" s="1304"/>
      <c r="P80" s="1304"/>
      <c r="Q80" s="1304"/>
      <c r="R80" s="1304"/>
      <c r="S80" s="1279"/>
      <c r="T80" s="1211"/>
    </row>
    <row r="81" spans="1:20">
      <c r="A81" s="1253" t="s">
        <v>476</v>
      </c>
      <c r="B81" s="1254"/>
      <c r="C81" s="1214">
        <f t="shared" ref="C81:F81" si="35">SUM(C82:C94)</f>
        <v>239.09</v>
      </c>
      <c r="D81" s="1214">
        <f t="shared" si="35"/>
        <v>65</v>
      </c>
      <c r="E81" s="1214">
        <f t="shared" si="35"/>
        <v>4591</v>
      </c>
      <c r="F81" s="1214">
        <f t="shared" si="35"/>
        <v>4812</v>
      </c>
      <c r="G81" s="1214"/>
      <c r="H81" s="1214">
        <f t="shared" ref="H81" si="36">SUM(H82:H94)</f>
        <v>79.150000000000006</v>
      </c>
      <c r="I81" s="1209"/>
      <c r="J81" s="1209"/>
      <c r="K81" s="1253" t="s">
        <v>476</v>
      </c>
      <c r="L81" s="1254"/>
      <c r="M81" s="1215">
        <f>SUM(M82:M84)</f>
        <v>53.7</v>
      </c>
      <c r="N81" s="1215">
        <f>SUM(N82:N84)</f>
        <v>20.75</v>
      </c>
      <c r="O81" s="1215"/>
      <c r="P81" s="1215">
        <f>SUM(P82:P84)</f>
        <v>0</v>
      </c>
      <c r="Q81" s="1215">
        <f>SUM(Q82:Q84)</f>
        <v>0</v>
      </c>
      <c r="R81" s="1215">
        <f>SUM(R82:R84)</f>
        <v>0</v>
      </c>
      <c r="S81" s="1217"/>
      <c r="T81" s="1211"/>
    </row>
    <row r="82" spans="1:20">
      <c r="A82" s="1312" t="s">
        <v>477</v>
      </c>
      <c r="B82" s="1313" t="s">
        <v>334</v>
      </c>
      <c r="C82" s="1325" t="s">
        <v>472</v>
      </c>
      <c r="D82" s="1325">
        <v>8</v>
      </c>
      <c r="E82" s="1257">
        <f>[2]CORN!$N$64</f>
        <v>164</v>
      </c>
      <c r="F82" s="1257">
        <v>65</v>
      </c>
      <c r="G82" s="1314"/>
      <c r="H82" s="1314"/>
      <c r="I82" s="1290"/>
      <c r="J82" s="1209"/>
      <c r="K82" s="1312" t="s">
        <v>477</v>
      </c>
      <c r="L82" s="1296" t="s">
        <v>329</v>
      </c>
      <c r="M82" s="1311">
        <v>15.7</v>
      </c>
      <c r="N82" s="1311">
        <v>3.75</v>
      </c>
      <c r="O82" s="1223"/>
      <c r="P82" s="1223"/>
      <c r="Q82" s="1326"/>
      <c r="R82" s="1326"/>
      <c r="S82" s="1290"/>
      <c r="T82" s="1211"/>
    </row>
    <row r="83" spans="1:20">
      <c r="A83" s="1312" t="s">
        <v>477</v>
      </c>
      <c r="B83" s="1313" t="s">
        <v>330</v>
      </c>
      <c r="C83" s="1265">
        <v>14.5</v>
      </c>
      <c r="D83" s="1265">
        <v>7</v>
      </c>
      <c r="E83" s="1257">
        <f>[2]CORN!$N$68</f>
        <v>242</v>
      </c>
      <c r="F83" s="1257">
        <v>211</v>
      </c>
      <c r="G83" s="1289"/>
      <c r="H83" s="1289">
        <v>11</v>
      </c>
      <c r="I83" s="1279"/>
      <c r="J83" s="1209"/>
      <c r="K83" s="1312" t="s">
        <v>477</v>
      </c>
      <c r="L83" s="1296" t="s">
        <v>331</v>
      </c>
      <c r="M83" s="1299">
        <v>12</v>
      </c>
      <c r="N83" s="1299">
        <v>12</v>
      </c>
      <c r="O83" s="1223"/>
      <c r="P83" s="1223"/>
      <c r="Q83" s="1299"/>
      <c r="R83" s="1299"/>
      <c r="S83" s="1279"/>
      <c r="T83" s="1211"/>
    </row>
    <row r="84" spans="1:20">
      <c r="A84" s="1312" t="s">
        <v>477</v>
      </c>
      <c r="B84" s="1313" t="s">
        <v>332</v>
      </c>
      <c r="C84" s="1314"/>
      <c r="D84" s="1314"/>
      <c r="E84" s="1257">
        <f>[2]CORN!$N$62</f>
        <v>622</v>
      </c>
      <c r="F84" s="1257">
        <v>168</v>
      </c>
      <c r="G84" s="1314"/>
      <c r="H84" s="1314"/>
      <c r="I84" s="1279"/>
      <c r="J84" s="1209"/>
      <c r="K84" s="1312"/>
      <c r="L84" s="1313" t="s">
        <v>333</v>
      </c>
      <c r="M84" s="1287">
        <v>26</v>
      </c>
      <c r="N84" s="1287">
        <v>5</v>
      </c>
      <c r="O84" s="1228"/>
      <c r="P84" s="1228"/>
      <c r="Q84" s="1315"/>
      <c r="R84" s="1315"/>
      <c r="S84" s="1279"/>
      <c r="T84" s="1211"/>
    </row>
    <row r="85" spans="1:20">
      <c r="A85" s="1312" t="s">
        <v>477</v>
      </c>
      <c r="B85" s="1313" t="s">
        <v>510</v>
      </c>
      <c r="C85" s="1314"/>
      <c r="D85" s="1314"/>
      <c r="E85" s="1273">
        <f>[2]CORN!$N$63</f>
        <v>125</v>
      </c>
      <c r="F85" s="1273">
        <v>20</v>
      </c>
      <c r="G85" s="1314"/>
      <c r="H85" s="1314"/>
      <c r="I85" s="1301"/>
      <c r="J85" s="1209"/>
      <c r="K85" s="1327"/>
      <c r="L85" s="1328"/>
      <c r="M85" s="1315"/>
      <c r="N85" s="1315"/>
      <c r="O85" s="1315"/>
      <c r="P85" s="1315"/>
      <c r="Q85" s="1315"/>
      <c r="R85" s="1315"/>
      <c r="S85" s="1279"/>
      <c r="T85" s="1211"/>
    </row>
    <row r="86" spans="1:20">
      <c r="A86" s="1312" t="s">
        <v>477</v>
      </c>
      <c r="B86" s="1313" t="s">
        <v>328</v>
      </c>
      <c r="C86" s="1314"/>
      <c r="D86" s="1314"/>
      <c r="E86" s="1257">
        <f>[2]CORN!$N$67</f>
        <v>1519</v>
      </c>
      <c r="F86" s="1257">
        <v>272</v>
      </c>
      <c r="G86" s="1289"/>
      <c r="H86" s="1289">
        <v>7.6</v>
      </c>
      <c r="I86" s="1321"/>
      <c r="J86" s="1209"/>
      <c r="K86" s="1322"/>
      <c r="L86" s="1323"/>
      <c r="M86" s="1324"/>
      <c r="N86" s="1324"/>
      <c r="O86" s="1324"/>
      <c r="P86" s="1324"/>
      <c r="Q86" s="1324"/>
      <c r="R86" s="1324"/>
      <c r="S86" s="1290"/>
      <c r="T86" s="1211"/>
    </row>
    <row r="87" spans="1:20">
      <c r="A87" s="1312" t="s">
        <v>477</v>
      </c>
      <c r="B87" s="1313" t="s">
        <v>511</v>
      </c>
      <c r="C87" s="1314"/>
      <c r="D87" s="1314"/>
      <c r="E87" s="1273">
        <f>[2]CORN!$N$59</f>
        <v>407</v>
      </c>
      <c r="F87" s="1273">
        <v>37</v>
      </c>
      <c r="G87" s="1314"/>
      <c r="H87" s="1314"/>
      <c r="I87" s="1301"/>
      <c r="J87" s="1209"/>
      <c r="K87" s="1327"/>
      <c r="L87" s="1328"/>
      <c r="M87" s="1315"/>
      <c r="N87" s="1315"/>
      <c r="O87" s="1315"/>
      <c r="P87" s="1315"/>
      <c r="Q87" s="1315"/>
      <c r="R87" s="1315"/>
      <c r="S87" s="1279"/>
      <c r="T87" s="1211"/>
    </row>
    <row r="88" spans="1:20">
      <c r="A88" s="1312" t="s">
        <v>477</v>
      </c>
      <c r="B88" s="1313" t="s">
        <v>512</v>
      </c>
      <c r="C88" s="1265">
        <v>30</v>
      </c>
      <c r="D88" s="1265">
        <v>4.5</v>
      </c>
      <c r="E88" s="1257">
        <f>[2]CORN!$N$69</f>
        <v>240</v>
      </c>
      <c r="F88" s="1257">
        <v>75</v>
      </c>
      <c r="G88" s="1289"/>
      <c r="H88" s="1289">
        <v>0.5</v>
      </c>
      <c r="I88" s="1321"/>
      <c r="J88" s="1209"/>
      <c r="K88" s="1322"/>
      <c r="L88" s="1323"/>
      <c r="M88" s="1324"/>
      <c r="N88" s="1324"/>
      <c r="O88" s="1324"/>
      <c r="P88" s="1324"/>
      <c r="Q88" s="1324"/>
      <c r="R88" s="1324"/>
      <c r="S88" s="1290"/>
      <c r="T88" s="1211"/>
    </row>
    <row r="89" spans="1:20">
      <c r="A89" s="1312" t="s">
        <v>477</v>
      </c>
      <c r="B89" s="1313" t="s">
        <v>513</v>
      </c>
      <c r="C89" s="1265">
        <v>22</v>
      </c>
      <c r="D89" s="1265">
        <v>3</v>
      </c>
      <c r="E89" s="1257">
        <f>[1]CORN!$N$61</f>
        <v>1272</v>
      </c>
      <c r="F89" s="1257">
        <v>66</v>
      </c>
      <c r="G89" s="1289"/>
      <c r="H89" s="1289">
        <v>7.55</v>
      </c>
      <c r="I89" s="1321"/>
      <c r="J89" s="1209"/>
      <c r="K89" s="1322"/>
      <c r="L89" s="1323"/>
      <c r="M89" s="1324"/>
      <c r="N89" s="1324"/>
      <c r="O89" s="1324"/>
      <c r="P89" s="1324"/>
      <c r="Q89" s="1324"/>
      <c r="R89" s="1324"/>
      <c r="S89" s="1290"/>
      <c r="T89" s="1211"/>
    </row>
    <row r="90" spans="1:20">
      <c r="A90" s="1312" t="s">
        <v>477</v>
      </c>
      <c r="B90" s="1313" t="s">
        <v>514</v>
      </c>
      <c r="C90" s="1265">
        <v>12</v>
      </c>
      <c r="D90" s="1265">
        <v>11</v>
      </c>
      <c r="E90" s="1273"/>
      <c r="F90" s="1273">
        <v>3000</v>
      </c>
      <c r="G90" s="1314"/>
      <c r="H90" s="1314">
        <v>34</v>
      </c>
      <c r="I90" s="1301"/>
      <c r="J90" s="1209"/>
      <c r="K90" s="1327"/>
      <c r="L90" s="1328"/>
      <c r="M90" s="1315"/>
      <c r="N90" s="1315"/>
      <c r="O90" s="1315"/>
      <c r="P90" s="1315"/>
      <c r="Q90" s="1315"/>
      <c r="R90" s="1315"/>
      <c r="S90" s="1279"/>
      <c r="T90" s="1211"/>
    </row>
    <row r="91" spans="1:20">
      <c r="A91" s="1312" t="s">
        <v>477</v>
      </c>
      <c r="B91" s="1296" t="s">
        <v>329</v>
      </c>
      <c r="C91" s="1310">
        <v>72.59</v>
      </c>
      <c r="D91" s="1310">
        <v>1.5</v>
      </c>
      <c r="E91" s="1219"/>
      <c r="F91" s="1219">
        <v>634</v>
      </c>
      <c r="G91" s="1329"/>
      <c r="H91" s="1329">
        <v>18.5</v>
      </c>
      <c r="I91" s="1321"/>
      <c r="J91" s="1209"/>
      <c r="K91" s="1322"/>
      <c r="L91" s="1323"/>
      <c r="M91" s="1324"/>
      <c r="N91" s="1324"/>
      <c r="O91" s="1324"/>
      <c r="P91" s="1324"/>
      <c r="Q91" s="1324"/>
      <c r="R91" s="1324"/>
      <c r="S91" s="1290"/>
      <c r="T91" s="1211"/>
    </row>
    <row r="92" spans="1:20">
      <c r="A92" s="1312" t="s">
        <v>477</v>
      </c>
      <c r="B92" s="1313" t="s">
        <v>515</v>
      </c>
      <c r="C92" s="1314"/>
      <c r="D92" s="1314"/>
      <c r="E92" s="1273"/>
      <c r="F92" s="1273">
        <v>210</v>
      </c>
      <c r="G92" s="1314"/>
      <c r="H92" s="1314"/>
      <c r="I92" s="1301"/>
      <c r="J92" s="1209"/>
      <c r="K92" s="1327"/>
      <c r="L92" s="1328"/>
      <c r="M92" s="1315"/>
      <c r="N92" s="1315"/>
      <c r="O92" s="1315"/>
      <c r="P92" s="1315"/>
      <c r="Q92" s="1315"/>
      <c r="R92" s="1315"/>
      <c r="S92" s="1279"/>
      <c r="T92" s="1211"/>
    </row>
    <row r="93" spans="1:20">
      <c r="A93" s="1312" t="s">
        <v>477</v>
      </c>
      <c r="B93" s="1296" t="s">
        <v>331</v>
      </c>
      <c r="C93" s="1300"/>
      <c r="D93" s="1300"/>
      <c r="E93" s="1219"/>
      <c r="F93" s="1219">
        <v>54</v>
      </c>
      <c r="G93" s="1300"/>
      <c r="H93" s="1300"/>
      <c r="I93" s="1301"/>
      <c r="J93" s="1209"/>
      <c r="K93" s="1327"/>
      <c r="L93" s="1328"/>
      <c r="M93" s="1315"/>
      <c r="N93" s="1315"/>
      <c r="O93" s="1315"/>
      <c r="P93" s="1315"/>
      <c r="Q93" s="1315"/>
      <c r="R93" s="1315"/>
      <c r="S93" s="1279"/>
      <c r="T93" s="1211"/>
    </row>
    <row r="94" spans="1:20">
      <c r="A94" s="1312" t="s">
        <v>477</v>
      </c>
      <c r="B94" s="1313" t="s">
        <v>516</v>
      </c>
      <c r="C94" s="1265">
        <v>88</v>
      </c>
      <c r="D94" s="1265">
        <v>30</v>
      </c>
      <c r="E94" s="1273"/>
      <c r="F94" s="1273"/>
      <c r="G94" s="1314"/>
      <c r="H94" s="1314"/>
      <c r="I94" s="1301"/>
      <c r="J94" s="1209"/>
      <c r="K94" s="1327"/>
      <c r="L94" s="1328"/>
      <c r="M94" s="1315"/>
      <c r="N94" s="1315"/>
      <c r="O94" s="1315"/>
      <c r="P94" s="1315"/>
      <c r="Q94" s="1315"/>
      <c r="R94" s="1315"/>
      <c r="S94" s="1279"/>
      <c r="T94" s="1211"/>
    </row>
    <row r="95" spans="1:20">
      <c r="A95" s="1244" t="s">
        <v>517</v>
      </c>
      <c r="B95" s="1245"/>
      <c r="C95" s="1330">
        <v>445</v>
      </c>
      <c r="D95" s="1330">
        <v>5</v>
      </c>
      <c r="E95" s="1331"/>
      <c r="F95" s="1331"/>
      <c r="G95" s="1332"/>
      <c r="H95" s="1332">
        <v>275.77999999999997</v>
      </c>
      <c r="I95" s="1290"/>
      <c r="J95" s="1209"/>
      <c r="K95" s="1244" t="s">
        <v>517</v>
      </c>
      <c r="L95" s="1245"/>
      <c r="M95" s="1291"/>
      <c r="N95" s="1291"/>
      <c r="O95" s="1252"/>
      <c r="P95" s="1211">
        <v>363.6</v>
      </c>
      <c r="Q95" s="1333"/>
      <c r="R95" s="1333">
        <v>173.56</v>
      </c>
      <c r="S95" s="1290"/>
      <c r="T95" s="1211"/>
    </row>
    <row r="96" spans="1:20">
      <c r="A96" s="1244" t="s">
        <v>518</v>
      </c>
      <c r="B96" s="1245"/>
      <c r="C96" s="1334"/>
      <c r="D96" s="1334"/>
      <c r="E96" s="1331"/>
      <c r="F96" s="1331"/>
      <c r="G96" s="1289"/>
      <c r="H96" s="1289">
        <v>109.75</v>
      </c>
      <c r="I96" s="1279"/>
      <c r="J96" s="1209"/>
      <c r="K96" s="1292"/>
      <c r="L96" s="1293"/>
      <c r="M96" s="1304"/>
      <c r="N96" s="1304"/>
      <c r="O96" s="1316"/>
      <c r="P96" s="1316"/>
      <c r="Q96" s="1304"/>
      <c r="R96" s="1304"/>
      <c r="S96" s="1279"/>
      <c r="T96" s="1211"/>
    </row>
    <row r="97" spans="1:20" ht="15.75">
      <c r="A97" s="1719" t="s">
        <v>25</v>
      </c>
      <c r="B97" s="1720"/>
      <c r="C97" s="1335">
        <f>SUM(C9+C30+C32+C52+C65)</f>
        <v>18794.43</v>
      </c>
      <c r="D97" s="1335">
        <f t="shared" ref="D97:R97" si="37">SUM(D9+D30+D32+D52+D65)</f>
        <v>2651.25</v>
      </c>
      <c r="E97" s="1335">
        <f t="shared" si="37"/>
        <v>35830.25</v>
      </c>
      <c r="F97" s="1335">
        <f t="shared" si="37"/>
        <v>21675.37</v>
      </c>
      <c r="G97" s="1335">
        <f t="shared" si="37"/>
        <v>0</v>
      </c>
      <c r="H97" s="1335">
        <f t="shared" si="37"/>
        <v>661.78</v>
      </c>
      <c r="I97" s="1336"/>
      <c r="J97" s="1336"/>
      <c r="K97" s="1337"/>
      <c r="L97" s="1338"/>
      <c r="M97" s="1335">
        <f t="shared" si="37"/>
        <v>2721.5</v>
      </c>
      <c r="N97" s="1335">
        <f t="shared" si="37"/>
        <v>718.1</v>
      </c>
      <c r="O97" s="1335">
        <f t="shared" si="37"/>
        <v>0</v>
      </c>
      <c r="P97" s="1335">
        <f t="shared" si="37"/>
        <v>4017.15</v>
      </c>
      <c r="Q97" s="1335">
        <f t="shared" si="37"/>
        <v>0</v>
      </c>
      <c r="R97" s="1335">
        <f t="shared" si="37"/>
        <v>4194.2199999999993</v>
      </c>
      <c r="S97" s="1336"/>
      <c r="T97" s="1336"/>
    </row>
    <row r="98" spans="1:20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339"/>
      <c r="N98" s="1339"/>
      <c r="O98" s="1339"/>
      <c r="P98" s="1339"/>
      <c r="Q98" s="1339"/>
      <c r="R98" s="1339"/>
      <c r="S98" s="1339"/>
      <c r="T98" s="1339"/>
    </row>
  </sheetData>
  <mergeCells count="28">
    <mergeCell ref="A97:B97"/>
    <mergeCell ref="A38:B38"/>
    <mergeCell ref="K38:L38"/>
    <mergeCell ref="A52:B52"/>
    <mergeCell ref="K52:L52"/>
    <mergeCell ref="A65:B65"/>
    <mergeCell ref="K65:L65"/>
    <mergeCell ref="K22:L22"/>
    <mergeCell ref="K25:L25"/>
    <mergeCell ref="A30:B30"/>
    <mergeCell ref="K30:L30"/>
    <mergeCell ref="A32:B32"/>
    <mergeCell ref="K32:L32"/>
    <mergeCell ref="S7:S8"/>
    <mergeCell ref="T7:T8"/>
    <mergeCell ref="A9:B9"/>
    <mergeCell ref="K9:L9"/>
    <mergeCell ref="K20:L20"/>
    <mergeCell ref="J7:J8"/>
    <mergeCell ref="K7:L8"/>
    <mergeCell ref="M7:N7"/>
    <mergeCell ref="O7:P7"/>
    <mergeCell ref="Q7:R7"/>
    <mergeCell ref="A7:B8"/>
    <mergeCell ref="C7:D7"/>
    <mergeCell ref="E7:F7"/>
    <mergeCell ref="G7:H7"/>
    <mergeCell ref="I7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1"/>
  <sheetViews>
    <sheetView topLeftCell="A10" workbookViewId="0">
      <selection activeCell="F26" sqref="F26"/>
    </sheetView>
  </sheetViews>
  <sheetFormatPr defaultRowHeight="15.75"/>
  <cols>
    <col min="1" max="1" width="16.7109375" style="75" customWidth="1"/>
    <col min="2" max="2" width="10.42578125" style="75" hidden="1" customWidth="1"/>
    <col min="3" max="3" width="15" style="75" customWidth="1"/>
    <col min="4" max="4" width="6.42578125" style="75" customWidth="1"/>
    <col min="5" max="5" width="12.5703125" style="75" customWidth="1"/>
    <col min="6" max="6" width="13.28515625" style="75" customWidth="1"/>
    <col min="7" max="7" width="15.140625" style="75" customWidth="1"/>
    <col min="8" max="8" width="14.28515625" style="75" customWidth="1"/>
    <col min="9" max="9" width="13.85546875" style="75" customWidth="1"/>
    <col min="10" max="10" width="13.28515625" style="75" customWidth="1"/>
    <col min="11" max="11" width="12.42578125" style="75" customWidth="1"/>
    <col min="12" max="12" width="8.5703125" style="75" customWidth="1"/>
    <col min="13" max="13" width="19.140625" style="75" customWidth="1"/>
    <col min="14" max="14" width="18.5703125" style="75" customWidth="1"/>
    <col min="15" max="15" width="2.140625" style="75" hidden="1" customWidth="1"/>
    <col min="16" max="16" width="7" style="75" customWidth="1"/>
    <col min="17" max="17" width="46.5703125" style="75" customWidth="1"/>
    <col min="18" max="18" width="10.85546875" style="75" customWidth="1"/>
    <col min="19" max="19" width="20.7109375" style="75" customWidth="1"/>
    <col min="20" max="16384" width="9.140625" style="75"/>
  </cols>
  <sheetData>
    <row r="1" spans="1:18">
      <c r="A1" s="1749" t="s">
        <v>33</v>
      </c>
      <c r="B1" s="1749"/>
      <c r="C1" s="1749"/>
      <c r="D1" s="1749"/>
      <c r="E1" s="1749"/>
      <c r="F1" s="1749"/>
      <c r="G1" s="1749"/>
      <c r="H1" s="1749"/>
      <c r="I1" s="1749"/>
      <c r="J1" s="1749"/>
      <c r="K1" s="1749"/>
      <c r="L1" s="1749"/>
      <c r="M1" s="1749"/>
      <c r="N1" s="1749"/>
      <c r="O1" s="1749"/>
      <c r="P1" s="1749"/>
      <c r="Q1" s="1749"/>
      <c r="R1" s="1749"/>
    </row>
    <row r="2" spans="1:18">
      <c r="A2" s="1749" t="s">
        <v>0</v>
      </c>
      <c r="B2" s="1749"/>
      <c r="C2" s="1749"/>
      <c r="D2" s="1749"/>
      <c r="E2" s="1749"/>
      <c r="F2" s="1749"/>
      <c r="G2" s="1749"/>
      <c r="H2" s="1749"/>
      <c r="I2" s="1749"/>
      <c r="J2" s="1749"/>
      <c r="K2" s="1749"/>
      <c r="L2" s="1749"/>
      <c r="M2" s="1749"/>
      <c r="N2" s="1749"/>
      <c r="O2" s="1749"/>
      <c r="P2" s="1749"/>
      <c r="Q2" s="1749"/>
      <c r="R2" s="1749"/>
    </row>
    <row r="3" spans="1:18">
      <c r="A3" s="76" t="s">
        <v>34</v>
      </c>
      <c r="B3" s="77"/>
      <c r="C3" s="77"/>
      <c r="D3" s="78"/>
      <c r="E3" s="77"/>
      <c r="F3" s="77"/>
      <c r="G3" s="77"/>
      <c r="H3" s="77"/>
      <c r="I3" s="77"/>
      <c r="J3" s="77"/>
      <c r="O3" s="77"/>
      <c r="P3" s="77"/>
      <c r="Q3" s="77"/>
      <c r="R3" s="77"/>
    </row>
    <row r="4" spans="1:18">
      <c r="A4" s="78" t="s">
        <v>35</v>
      </c>
      <c r="B4" s="77"/>
      <c r="C4" s="77"/>
      <c r="D4" s="78"/>
      <c r="E4" s="77"/>
      <c r="F4" s="77"/>
      <c r="G4" s="77"/>
      <c r="H4" s="77"/>
      <c r="I4" s="77"/>
      <c r="J4" s="77"/>
      <c r="O4" s="77"/>
      <c r="P4" s="77"/>
      <c r="Q4" s="77"/>
      <c r="R4" s="77"/>
    </row>
    <row r="5" spans="1:18" ht="16.5" thickBot="1">
      <c r="A5" s="77"/>
      <c r="B5" s="77"/>
      <c r="C5" s="77"/>
      <c r="D5" s="77"/>
      <c r="E5" s="77"/>
      <c r="F5" s="77"/>
      <c r="G5" s="77"/>
      <c r="H5" s="77"/>
      <c r="I5" s="77"/>
      <c r="J5" s="77"/>
      <c r="O5" s="77"/>
      <c r="P5" s="77"/>
      <c r="Q5" s="77"/>
      <c r="R5" s="77"/>
    </row>
    <row r="6" spans="1:18">
      <c r="A6" s="1750" t="s">
        <v>1</v>
      </c>
      <c r="B6" s="1750" t="s">
        <v>2</v>
      </c>
      <c r="C6" s="1753" t="s">
        <v>3</v>
      </c>
      <c r="D6" s="1755" t="s">
        <v>4</v>
      </c>
      <c r="E6" s="1757" t="s">
        <v>5</v>
      </c>
      <c r="F6" s="1760" t="s">
        <v>6</v>
      </c>
      <c r="G6" s="1761"/>
      <c r="H6" s="1761"/>
      <c r="I6" s="1761"/>
      <c r="J6" s="1761"/>
      <c r="K6" s="1761"/>
      <c r="L6" s="1761"/>
      <c r="M6" s="1761"/>
      <c r="N6" s="1762"/>
      <c r="O6" s="1750" t="s">
        <v>7</v>
      </c>
      <c r="P6" s="1763" t="s">
        <v>8</v>
      </c>
      <c r="Q6" s="1764"/>
      <c r="R6" s="1765"/>
    </row>
    <row r="7" spans="1:18" ht="16.5" thickBot="1">
      <c r="A7" s="1751"/>
      <c r="B7" s="1751"/>
      <c r="C7" s="1754"/>
      <c r="D7" s="1756"/>
      <c r="E7" s="1758"/>
      <c r="F7" s="1735" t="s">
        <v>9</v>
      </c>
      <c r="G7" s="1737" t="s">
        <v>10</v>
      </c>
      <c r="H7" s="1737" t="s">
        <v>11</v>
      </c>
      <c r="I7" s="1737" t="s">
        <v>12</v>
      </c>
      <c r="J7" s="1739" t="s">
        <v>13</v>
      </c>
      <c r="K7" s="1740"/>
      <c r="L7" s="1737" t="s">
        <v>12</v>
      </c>
      <c r="M7" s="1741" t="s">
        <v>14</v>
      </c>
      <c r="N7" s="1742"/>
      <c r="O7" s="1751"/>
      <c r="P7" s="1766"/>
      <c r="Q7" s="1767"/>
      <c r="R7" s="1768"/>
    </row>
    <row r="8" spans="1:18" ht="32.25" thickBot="1">
      <c r="A8" s="1752"/>
      <c r="B8" s="1752"/>
      <c r="C8" s="1736"/>
      <c r="D8" s="1738"/>
      <c r="E8" s="1759"/>
      <c r="F8" s="1736"/>
      <c r="G8" s="1738"/>
      <c r="H8" s="1738"/>
      <c r="I8" s="1738"/>
      <c r="J8" s="79" t="s">
        <v>15</v>
      </c>
      <c r="K8" s="79" t="s">
        <v>16</v>
      </c>
      <c r="L8" s="1738"/>
      <c r="M8" s="79" t="s">
        <v>17</v>
      </c>
      <c r="N8" s="80" t="s">
        <v>36</v>
      </c>
      <c r="O8" s="1752"/>
      <c r="P8" s="1743" t="s">
        <v>19</v>
      </c>
      <c r="Q8" s="1744"/>
      <c r="R8" s="81" t="s">
        <v>26</v>
      </c>
    </row>
    <row r="9" spans="1:18">
      <c r="B9" s="82"/>
      <c r="C9" s="83"/>
      <c r="D9" s="84"/>
      <c r="E9" s="85"/>
      <c r="F9" s="86"/>
      <c r="G9" s="87"/>
      <c r="H9" s="87"/>
      <c r="I9" s="87"/>
      <c r="J9" s="87"/>
      <c r="K9" s="87"/>
      <c r="L9" s="87"/>
      <c r="M9" s="87"/>
      <c r="N9" s="87"/>
      <c r="O9" s="88"/>
      <c r="P9" s="1745" t="s">
        <v>37</v>
      </c>
      <c r="Q9" s="1746"/>
      <c r="R9" s="89"/>
    </row>
    <row r="10" spans="1:18">
      <c r="A10" s="90" t="s">
        <v>20</v>
      </c>
      <c r="B10" s="82"/>
      <c r="C10" s="91"/>
      <c r="D10" s="92"/>
      <c r="E10" s="93"/>
      <c r="F10" s="94"/>
      <c r="G10" s="95"/>
      <c r="H10" s="95"/>
      <c r="I10" s="95"/>
      <c r="J10" s="95"/>
      <c r="K10" s="95"/>
      <c r="L10" s="95"/>
      <c r="M10" s="95"/>
      <c r="N10" s="95"/>
      <c r="O10" s="88"/>
      <c r="P10" s="1747" t="s">
        <v>38</v>
      </c>
      <c r="Q10" s="1748"/>
      <c r="R10" s="96"/>
    </row>
    <row r="11" spans="1:18">
      <c r="A11" s="97" t="s">
        <v>21</v>
      </c>
      <c r="B11" s="95">
        <f t="shared" ref="B11:B12" si="0">SUM(B8:B10)</f>
        <v>0</v>
      </c>
      <c r="C11" s="98">
        <v>1721.05</v>
      </c>
      <c r="D11" s="99">
        <v>0</v>
      </c>
      <c r="E11" s="99">
        <f>SUM(E8:E10)</f>
        <v>0</v>
      </c>
      <c r="F11" s="100" t="s">
        <v>39</v>
      </c>
      <c r="G11" s="98">
        <v>1721.05</v>
      </c>
      <c r="H11" s="98">
        <v>1721.05</v>
      </c>
      <c r="I11" s="98">
        <v>1636</v>
      </c>
      <c r="J11" s="99">
        <v>0</v>
      </c>
      <c r="K11" s="99">
        <v>0</v>
      </c>
      <c r="L11" s="101">
        <v>0</v>
      </c>
      <c r="M11" s="98">
        <v>7228</v>
      </c>
      <c r="N11" s="98">
        <v>144568</v>
      </c>
      <c r="O11" s="91">
        <f t="shared" ref="O11:R12" si="1">SUM(O10:O10)</f>
        <v>0</v>
      </c>
      <c r="P11" s="1730" t="s">
        <v>40</v>
      </c>
      <c r="Q11" s="1724"/>
      <c r="R11" s="102">
        <f t="shared" si="1"/>
        <v>0</v>
      </c>
    </row>
    <row r="12" spans="1:18">
      <c r="A12" s="97" t="s">
        <v>41</v>
      </c>
      <c r="B12" s="95">
        <f t="shared" si="0"/>
        <v>0</v>
      </c>
      <c r="C12" s="98">
        <v>74.430000000000007</v>
      </c>
      <c r="D12" s="99">
        <v>0</v>
      </c>
      <c r="E12" s="99">
        <f>SUM(E9:E11)</f>
        <v>0</v>
      </c>
      <c r="F12" s="98" t="s">
        <v>42</v>
      </c>
      <c r="G12" s="98">
        <v>74.430000000000007</v>
      </c>
      <c r="H12" s="98">
        <v>74.430000000000007</v>
      </c>
      <c r="I12" s="98">
        <v>60</v>
      </c>
      <c r="J12" s="99">
        <v>0</v>
      </c>
      <c r="K12" s="99">
        <v>0</v>
      </c>
      <c r="L12" s="101">
        <v>0</v>
      </c>
      <c r="M12" s="98">
        <v>370.94</v>
      </c>
      <c r="N12" s="98">
        <v>1229</v>
      </c>
      <c r="O12" s="82">
        <f t="shared" si="1"/>
        <v>0</v>
      </c>
      <c r="P12" s="1734" t="s">
        <v>43</v>
      </c>
      <c r="Q12" s="1724"/>
      <c r="R12" s="102">
        <f t="shared" si="1"/>
        <v>0</v>
      </c>
    </row>
    <row r="13" spans="1:18" ht="16.5" thickBot="1">
      <c r="A13" s="97" t="s">
        <v>44</v>
      </c>
      <c r="B13" s="88"/>
      <c r="C13" s="98">
        <v>800.5</v>
      </c>
      <c r="D13" s="99"/>
      <c r="E13" s="99">
        <v>428.25</v>
      </c>
      <c r="F13" s="98" t="s">
        <v>45</v>
      </c>
      <c r="G13" s="98">
        <v>372.75</v>
      </c>
      <c r="H13" s="98">
        <v>148.9</v>
      </c>
      <c r="I13" s="98">
        <v>228</v>
      </c>
      <c r="J13" s="103">
        <v>223.35</v>
      </c>
      <c r="K13" s="103"/>
      <c r="L13" s="101">
        <v>342</v>
      </c>
      <c r="M13" s="98">
        <v>357.4</v>
      </c>
      <c r="N13" s="98">
        <v>6075</v>
      </c>
      <c r="O13" s="82"/>
      <c r="P13" s="104" t="s">
        <v>46</v>
      </c>
      <c r="Q13" s="104"/>
      <c r="R13" s="102"/>
    </row>
    <row r="14" spans="1:18" ht="16.5" thickBot="1">
      <c r="A14" s="105" t="s">
        <v>47</v>
      </c>
      <c r="B14" s="106">
        <f t="shared" ref="B14:O14" si="2">SUM(B11:B13)</f>
        <v>0</v>
      </c>
      <c r="C14" s="107">
        <f t="shared" si="2"/>
        <v>2595.98</v>
      </c>
      <c r="D14" s="107">
        <f t="shared" si="2"/>
        <v>0</v>
      </c>
      <c r="E14" s="107">
        <f t="shared" si="2"/>
        <v>428.25</v>
      </c>
      <c r="F14" s="107">
        <f t="shared" si="2"/>
        <v>0</v>
      </c>
      <c r="G14" s="107">
        <f t="shared" si="2"/>
        <v>2168.23</v>
      </c>
      <c r="H14" s="107">
        <f t="shared" si="2"/>
        <v>1944.38</v>
      </c>
      <c r="I14" s="107">
        <f t="shared" si="2"/>
        <v>1924</v>
      </c>
      <c r="J14" s="107">
        <f t="shared" si="2"/>
        <v>223.35</v>
      </c>
      <c r="K14" s="107">
        <f t="shared" si="2"/>
        <v>0</v>
      </c>
      <c r="L14" s="108">
        <f t="shared" si="2"/>
        <v>342</v>
      </c>
      <c r="M14" s="107">
        <f t="shared" si="2"/>
        <v>7956.3399999999992</v>
      </c>
      <c r="N14" s="107">
        <f t="shared" si="2"/>
        <v>151872</v>
      </c>
      <c r="O14" s="109">
        <f t="shared" si="2"/>
        <v>0</v>
      </c>
      <c r="P14" s="1728" t="s">
        <v>48</v>
      </c>
      <c r="Q14" s="1729"/>
      <c r="R14" s="110">
        <f>SUM(R11:R13)</f>
        <v>0</v>
      </c>
    </row>
    <row r="15" spans="1:18">
      <c r="A15" s="90" t="s">
        <v>23</v>
      </c>
      <c r="B15" s="111"/>
      <c r="C15" s="98"/>
      <c r="D15" s="112"/>
      <c r="E15" s="113"/>
      <c r="F15" s="98"/>
      <c r="G15" s="98"/>
      <c r="H15" s="98"/>
      <c r="I15" s="98"/>
      <c r="J15" s="113"/>
      <c r="K15" s="113"/>
      <c r="L15" s="114"/>
      <c r="M15" s="98"/>
      <c r="N15" s="98"/>
      <c r="O15" s="115"/>
      <c r="P15" s="1730" t="s">
        <v>49</v>
      </c>
      <c r="Q15" s="1724"/>
      <c r="R15" s="116"/>
    </row>
    <row r="16" spans="1:18">
      <c r="A16" s="117" t="s">
        <v>21</v>
      </c>
      <c r="B16" s="95">
        <f t="shared" ref="B16:B17" si="3">SUM(B15:B15)</f>
        <v>0</v>
      </c>
      <c r="C16" s="98">
        <v>10670</v>
      </c>
      <c r="D16" s="99">
        <v>0</v>
      </c>
      <c r="E16" s="99"/>
      <c r="F16" s="100" t="s">
        <v>39</v>
      </c>
      <c r="G16" s="98">
        <v>10670</v>
      </c>
      <c r="H16" s="98">
        <v>10670</v>
      </c>
      <c r="I16" s="98">
        <v>9155</v>
      </c>
      <c r="J16" s="103">
        <v>0</v>
      </c>
      <c r="K16" s="103">
        <v>0</v>
      </c>
      <c r="L16" s="101">
        <v>0</v>
      </c>
      <c r="M16" s="98">
        <v>44814</v>
      </c>
      <c r="N16" s="98">
        <v>582582</v>
      </c>
      <c r="O16" s="115"/>
      <c r="P16" s="1731"/>
      <c r="Q16" s="1732"/>
      <c r="R16" s="116"/>
    </row>
    <row r="17" spans="1:20" ht="16.5" thickBot="1">
      <c r="A17" s="97" t="s">
        <v>41</v>
      </c>
      <c r="B17" s="118">
        <f t="shared" si="3"/>
        <v>0</v>
      </c>
      <c r="C17" s="98">
        <v>683.52499999999998</v>
      </c>
      <c r="D17" s="119">
        <v>0</v>
      </c>
      <c r="E17" s="119">
        <f>SUM(E14:E16)</f>
        <v>428.25</v>
      </c>
      <c r="F17" s="100" t="s">
        <v>39</v>
      </c>
      <c r="G17" s="98">
        <v>683.52499999999998</v>
      </c>
      <c r="H17" s="98">
        <v>614.97500000000002</v>
      </c>
      <c r="I17" s="98">
        <v>298</v>
      </c>
      <c r="J17" s="98">
        <v>50</v>
      </c>
      <c r="K17" s="98">
        <v>200</v>
      </c>
      <c r="L17" s="101">
        <v>0</v>
      </c>
      <c r="M17" s="98">
        <v>2400.83</v>
      </c>
      <c r="N17" s="98">
        <v>32236</v>
      </c>
      <c r="O17" s="115"/>
      <c r="P17" s="1733"/>
      <c r="Q17" s="1732"/>
      <c r="R17" s="116"/>
      <c r="T17" s="120"/>
    </row>
    <row r="18" spans="1:20" ht="16.5" thickBot="1">
      <c r="A18" s="105" t="s">
        <v>47</v>
      </c>
      <c r="B18" s="121">
        <f>SUM(B17:B17)</f>
        <v>0</v>
      </c>
      <c r="C18" s="122">
        <f>SUM(C16:C17)</f>
        <v>11353.525</v>
      </c>
      <c r="D18" s="122">
        <f t="shared" ref="D18:N18" si="4">SUM(D16:D17)</f>
        <v>0</v>
      </c>
      <c r="E18" s="122">
        <f t="shared" si="4"/>
        <v>428.25</v>
      </c>
      <c r="F18" s="122">
        <f t="shared" si="4"/>
        <v>0</v>
      </c>
      <c r="G18" s="122">
        <f t="shared" si="4"/>
        <v>11353.525</v>
      </c>
      <c r="H18" s="122">
        <f t="shared" si="4"/>
        <v>11284.975</v>
      </c>
      <c r="I18" s="122">
        <f t="shared" si="4"/>
        <v>9453</v>
      </c>
      <c r="J18" s="122">
        <f t="shared" si="4"/>
        <v>50</v>
      </c>
      <c r="K18" s="122">
        <f t="shared" si="4"/>
        <v>200</v>
      </c>
      <c r="L18" s="123">
        <f t="shared" si="4"/>
        <v>0</v>
      </c>
      <c r="M18" s="122">
        <f t="shared" si="4"/>
        <v>47214.83</v>
      </c>
      <c r="N18" s="122">
        <f t="shared" si="4"/>
        <v>614818</v>
      </c>
      <c r="O18" s="109">
        <f>SUM(O17:O17)</f>
        <v>0</v>
      </c>
      <c r="P18" s="1723"/>
      <c r="Q18" s="1724"/>
      <c r="R18" s="102">
        <f>SUM(R17:R17)</f>
        <v>0</v>
      </c>
      <c r="S18" s="120"/>
      <c r="T18" s="124"/>
    </row>
    <row r="19" spans="1:20">
      <c r="A19" s="125" t="s">
        <v>50</v>
      </c>
      <c r="B19" s="87"/>
      <c r="C19" s="126"/>
      <c r="D19" s="126"/>
      <c r="E19" s="127"/>
      <c r="F19" s="126"/>
      <c r="G19" s="126"/>
      <c r="H19" s="126"/>
      <c r="I19" s="126"/>
      <c r="J19" s="126"/>
      <c r="K19" s="126"/>
      <c r="L19" s="128"/>
      <c r="M19" s="126"/>
      <c r="N19" s="127"/>
      <c r="O19" s="82"/>
      <c r="P19" s="1723"/>
      <c r="Q19" s="1724"/>
      <c r="R19" s="129"/>
    </row>
    <row r="20" spans="1:20" ht="16.5" thickBot="1">
      <c r="A20" s="97" t="s">
        <v>21</v>
      </c>
      <c r="B20" s="130">
        <v>0</v>
      </c>
      <c r="C20" s="119">
        <v>289.7</v>
      </c>
      <c r="D20" s="119"/>
      <c r="E20" s="127"/>
      <c r="F20" s="131" t="s">
        <v>51</v>
      </c>
      <c r="G20" s="119">
        <v>289.7</v>
      </c>
      <c r="H20" s="119">
        <v>289.7</v>
      </c>
      <c r="I20" s="119">
        <v>332</v>
      </c>
      <c r="J20" s="132">
        <v>0</v>
      </c>
      <c r="K20" s="132">
        <v>0</v>
      </c>
      <c r="L20" s="133">
        <v>0</v>
      </c>
      <c r="M20" s="119">
        <v>8691</v>
      </c>
      <c r="N20" s="127">
        <v>26073</v>
      </c>
      <c r="O20" s="82">
        <f t="shared" ref="O20:R22" si="5">SUM(O19:O19)</f>
        <v>0</v>
      </c>
      <c r="P20" s="1723"/>
      <c r="Q20" s="1724"/>
      <c r="R20" s="102">
        <f t="shared" si="5"/>
        <v>0</v>
      </c>
    </row>
    <row r="21" spans="1:20" ht="16.5" thickBot="1">
      <c r="A21" s="105" t="s">
        <v>47</v>
      </c>
      <c r="B21" s="134">
        <v>0</v>
      </c>
      <c r="C21" s="119">
        <f>SUM(C20)</f>
        <v>289.7</v>
      </c>
      <c r="D21" s="132">
        <f t="shared" ref="D21:N21" si="6">SUM(D20)</f>
        <v>0</v>
      </c>
      <c r="E21" s="135">
        <f t="shared" si="6"/>
        <v>0</v>
      </c>
      <c r="F21" s="136">
        <f t="shared" si="6"/>
        <v>0</v>
      </c>
      <c r="G21" s="119">
        <f t="shared" si="6"/>
        <v>289.7</v>
      </c>
      <c r="H21" s="119">
        <f t="shared" si="6"/>
        <v>289.7</v>
      </c>
      <c r="I21" s="119">
        <f t="shared" si="6"/>
        <v>332</v>
      </c>
      <c r="J21" s="119">
        <f t="shared" si="6"/>
        <v>0</v>
      </c>
      <c r="K21" s="119">
        <f t="shared" si="6"/>
        <v>0</v>
      </c>
      <c r="L21" s="133">
        <f t="shared" si="6"/>
        <v>0</v>
      </c>
      <c r="M21" s="119">
        <f t="shared" si="6"/>
        <v>8691</v>
      </c>
      <c r="N21" s="119">
        <f t="shared" si="6"/>
        <v>26073</v>
      </c>
      <c r="O21" s="109">
        <f t="shared" si="5"/>
        <v>0</v>
      </c>
      <c r="P21" s="1723"/>
      <c r="Q21" s="1724"/>
      <c r="R21" s="102">
        <f t="shared" si="5"/>
        <v>0</v>
      </c>
    </row>
    <row r="22" spans="1:20" ht="16.5" thickBot="1">
      <c r="A22" s="137" t="s">
        <v>25</v>
      </c>
      <c r="B22" s="138">
        <v>0</v>
      </c>
      <c r="C22" s="122">
        <f>SUM(C21+C18+C14)</f>
        <v>14239.205</v>
      </c>
      <c r="D22" s="122">
        <f t="shared" ref="D22:N22" si="7">SUM(D21+D18+D14)</f>
        <v>0</v>
      </c>
      <c r="E22" s="132">
        <f t="shared" si="7"/>
        <v>856.5</v>
      </c>
      <c r="F22" s="122">
        <f t="shared" si="7"/>
        <v>0</v>
      </c>
      <c r="G22" s="122">
        <f t="shared" si="7"/>
        <v>13811.455</v>
      </c>
      <c r="H22" s="122">
        <f t="shared" si="7"/>
        <v>13519.055</v>
      </c>
      <c r="I22" s="122">
        <f t="shared" si="7"/>
        <v>11709</v>
      </c>
      <c r="J22" s="122">
        <f t="shared" si="7"/>
        <v>273.35000000000002</v>
      </c>
      <c r="K22" s="122">
        <f t="shared" si="7"/>
        <v>200</v>
      </c>
      <c r="L22" s="123">
        <f t="shared" si="7"/>
        <v>342</v>
      </c>
      <c r="M22" s="122">
        <f t="shared" si="7"/>
        <v>63862.17</v>
      </c>
      <c r="N22" s="122">
        <f t="shared" si="7"/>
        <v>792763</v>
      </c>
      <c r="O22" s="139">
        <f t="shared" si="5"/>
        <v>0</v>
      </c>
      <c r="P22" s="1725"/>
      <c r="Q22" s="1726"/>
      <c r="R22" s="140">
        <f t="shared" si="5"/>
        <v>0</v>
      </c>
    </row>
    <row r="23" spans="1:20">
      <c r="A23" s="77"/>
      <c r="B23" s="77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77"/>
      <c r="R23" s="77"/>
    </row>
    <row r="24" spans="1:20">
      <c r="A24" s="77"/>
      <c r="B24" s="77"/>
      <c r="C24" s="77"/>
      <c r="D24" s="77"/>
      <c r="E24" s="77"/>
      <c r="F24" s="142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</row>
    <row r="25" spans="1:20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</row>
    <row r="26" spans="1:20">
      <c r="A26" s="143" t="s">
        <v>52</v>
      </c>
      <c r="B26" s="144"/>
      <c r="C26" s="145"/>
      <c r="F26" s="120"/>
      <c r="G26" s="146"/>
      <c r="H26" s="75" t="s">
        <v>53</v>
      </c>
      <c r="I26" s="146"/>
      <c r="J26" s="146"/>
      <c r="K26" s="146"/>
    </row>
    <row r="27" spans="1:20">
      <c r="A27" s="147"/>
      <c r="B27" s="148"/>
      <c r="C27" s="149"/>
      <c r="D27" s="77"/>
      <c r="E27" s="77"/>
      <c r="G27" s="150"/>
      <c r="H27" s="151"/>
      <c r="I27" s="151"/>
      <c r="J27" s="151"/>
      <c r="K27" s="151"/>
      <c r="L27" s="77"/>
      <c r="M27" s="77"/>
      <c r="N27" s="77"/>
      <c r="O27" s="77"/>
      <c r="P27" s="77"/>
      <c r="Q27" s="77"/>
      <c r="R27" s="77"/>
    </row>
    <row r="28" spans="1:20">
      <c r="A28" s="147"/>
      <c r="B28" s="148"/>
      <c r="C28" s="149"/>
      <c r="D28" s="77"/>
      <c r="E28" s="77"/>
      <c r="G28" s="150"/>
      <c r="H28" s="151"/>
      <c r="I28" s="151"/>
      <c r="J28" s="151"/>
      <c r="K28" s="151"/>
      <c r="L28" s="77"/>
      <c r="M28" s="77"/>
      <c r="N28" s="77"/>
      <c r="O28" s="77"/>
      <c r="P28" s="77"/>
      <c r="Q28" s="77"/>
      <c r="R28" s="77"/>
    </row>
    <row r="29" spans="1:20">
      <c r="A29" s="152"/>
      <c r="B29" s="153" t="s">
        <v>54</v>
      </c>
      <c r="C29" s="153" t="s">
        <v>54</v>
      </c>
      <c r="D29" s="145"/>
      <c r="E29" s="78"/>
      <c r="F29" s="152"/>
      <c r="G29" s="152"/>
      <c r="H29" s="145"/>
      <c r="I29" s="144" t="s">
        <v>55</v>
      </c>
      <c r="J29" s="154"/>
      <c r="K29" s="155"/>
      <c r="L29" s="155"/>
      <c r="M29" s="155"/>
      <c r="R29" s="77"/>
    </row>
    <row r="30" spans="1:20">
      <c r="B30" s="75" t="s">
        <v>56</v>
      </c>
      <c r="C30" s="75" t="s">
        <v>56</v>
      </c>
      <c r="D30" s="156"/>
      <c r="E30" s="156"/>
      <c r="G30" s="157"/>
      <c r="H30" s="146"/>
      <c r="I30" s="157" t="s">
        <v>57</v>
      </c>
      <c r="J30" s="158"/>
      <c r="K30" s="1727"/>
      <c r="L30" s="1727"/>
      <c r="M30" s="1727"/>
      <c r="R30" s="77"/>
    </row>
    <row r="31" spans="1:20">
      <c r="L31" s="143"/>
      <c r="O31" s="156"/>
      <c r="P31" s="156"/>
      <c r="Q31" s="156"/>
      <c r="R31" s="156"/>
    </row>
  </sheetData>
  <mergeCells count="32">
    <mergeCell ref="A1:R1"/>
    <mergeCell ref="A2:R2"/>
    <mergeCell ref="A6:A8"/>
    <mergeCell ref="B6:B8"/>
    <mergeCell ref="C6:C8"/>
    <mergeCell ref="D6:D8"/>
    <mergeCell ref="E6:E8"/>
    <mergeCell ref="F6:N6"/>
    <mergeCell ref="O6:O8"/>
    <mergeCell ref="P6:R7"/>
    <mergeCell ref="P12:Q12"/>
    <mergeCell ref="F7:F8"/>
    <mergeCell ref="G7:G8"/>
    <mergeCell ref="H7:H8"/>
    <mergeCell ref="I7:I8"/>
    <mergeCell ref="J7:K7"/>
    <mergeCell ref="L7:L8"/>
    <mergeCell ref="M7:N7"/>
    <mergeCell ref="P8:Q8"/>
    <mergeCell ref="P9:Q9"/>
    <mergeCell ref="P10:Q10"/>
    <mergeCell ref="P11:Q11"/>
    <mergeCell ref="P20:Q20"/>
    <mergeCell ref="P21:Q21"/>
    <mergeCell ref="P22:Q22"/>
    <mergeCell ref="K30:M30"/>
    <mergeCell ref="P14:Q14"/>
    <mergeCell ref="P15:Q15"/>
    <mergeCell ref="P16:Q16"/>
    <mergeCell ref="P17:Q17"/>
    <mergeCell ref="P18:Q18"/>
    <mergeCell ref="P19:Q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68"/>
  <sheetViews>
    <sheetView zoomScale="70" zoomScaleNormal="70" workbookViewId="0">
      <selection sqref="A1:S1"/>
    </sheetView>
  </sheetViews>
  <sheetFormatPr defaultRowHeight="15"/>
  <cols>
    <col min="1" max="1" width="25" customWidth="1"/>
    <col min="2" max="2" width="30.42578125" customWidth="1"/>
    <col min="3" max="3" width="18.5703125" customWidth="1"/>
    <col min="4" max="4" width="26.140625" customWidth="1"/>
    <col min="5" max="5" width="30.5703125" customWidth="1"/>
    <col min="6" max="6" width="30.28515625" customWidth="1"/>
    <col min="7" max="7" width="27" customWidth="1"/>
    <col min="8" max="8" width="22.5703125" customWidth="1"/>
    <col min="9" max="9" width="31.140625" customWidth="1"/>
    <col min="10" max="10" width="19" customWidth="1"/>
    <col min="11" max="11" width="17" customWidth="1"/>
    <col min="12" max="12" width="24.28515625" customWidth="1"/>
    <col min="13" max="13" width="28.28515625" customWidth="1"/>
    <col min="14" max="14" width="34.85546875" customWidth="1"/>
    <col min="15" max="15" width="17.85546875" customWidth="1"/>
    <col min="16" max="16" width="18.85546875" customWidth="1"/>
    <col min="17" max="17" width="34.85546875" customWidth="1"/>
    <col min="18" max="18" width="38.85546875" customWidth="1"/>
    <col min="19" max="19" width="47.7109375" customWidth="1"/>
  </cols>
  <sheetData>
    <row r="1" spans="1:19" ht="31.5">
      <c r="A1" s="1878" t="s">
        <v>62</v>
      </c>
      <c r="B1" s="1878"/>
      <c r="C1" s="1878"/>
      <c r="D1" s="1878"/>
      <c r="E1" s="1878"/>
      <c r="F1" s="1878"/>
      <c r="G1" s="1878"/>
      <c r="H1" s="1878"/>
      <c r="I1" s="1878"/>
      <c r="J1" s="1878"/>
      <c r="K1" s="1878"/>
      <c r="L1" s="1878"/>
      <c r="M1" s="1878"/>
      <c r="N1" s="1878"/>
      <c r="O1" s="1878"/>
      <c r="P1" s="1878"/>
      <c r="Q1" s="1878"/>
      <c r="R1" s="1878"/>
      <c r="S1" s="1878"/>
    </row>
    <row r="2" spans="1:19" ht="15.75">
      <c r="A2" s="1779" t="s">
        <v>63</v>
      </c>
      <c r="B2" s="1779"/>
      <c r="C2" s="1779"/>
      <c r="D2" s="1779"/>
      <c r="E2" s="1779"/>
      <c r="F2" s="1779"/>
      <c r="G2" s="1779"/>
      <c r="H2" s="1779"/>
      <c r="I2" s="1779"/>
      <c r="J2" s="1779"/>
      <c r="K2" s="1779"/>
      <c r="L2" s="1779"/>
      <c r="M2" s="1779"/>
      <c r="N2" s="1779"/>
      <c r="O2" s="1779"/>
      <c r="P2" s="1779"/>
      <c r="Q2" s="1779"/>
      <c r="R2" s="1779"/>
      <c r="S2" s="1779"/>
    </row>
    <row r="3" spans="1:19" ht="15.75">
      <c r="A3" s="1779" t="s">
        <v>64</v>
      </c>
      <c r="B3" s="1779"/>
      <c r="C3" s="1779"/>
      <c r="D3" s="1779"/>
      <c r="E3" s="1779"/>
      <c r="F3" s="1779"/>
      <c r="G3" s="1779"/>
      <c r="H3" s="1779"/>
      <c r="I3" s="1779"/>
      <c r="J3" s="1779"/>
      <c r="K3" s="1779"/>
      <c r="L3" s="1779"/>
      <c r="M3" s="1779"/>
      <c r="N3" s="1779"/>
      <c r="O3" s="1779"/>
      <c r="P3" s="1779"/>
      <c r="Q3" s="1779"/>
      <c r="R3" s="1779"/>
      <c r="S3" s="1779"/>
    </row>
    <row r="4" spans="1:19" ht="15.75">
      <c r="A4" s="1779" t="s">
        <v>65</v>
      </c>
      <c r="B4" s="1779"/>
      <c r="C4" s="1779"/>
      <c r="D4" s="1779"/>
      <c r="E4" s="1779"/>
      <c r="F4" s="1779"/>
      <c r="G4" s="1779"/>
      <c r="H4" s="1779"/>
      <c r="I4" s="1779"/>
      <c r="J4" s="1779"/>
      <c r="K4" s="1779"/>
      <c r="L4" s="1779"/>
      <c r="M4" s="1779"/>
      <c r="N4" s="1779"/>
      <c r="O4" s="1779"/>
      <c r="P4" s="1779"/>
      <c r="Q4" s="1779"/>
      <c r="R4" s="1779"/>
      <c r="S4" s="1779"/>
    </row>
    <row r="5" spans="1:19" ht="15.75">
      <c r="A5" s="1793" t="s">
        <v>66</v>
      </c>
      <c r="B5" s="1793"/>
      <c r="C5" s="1793"/>
      <c r="D5" s="1793"/>
      <c r="E5" s="1793"/>
      <c r="F5" s="1793"/>
      <c r="G5" s="1793"/>
      <c r="H5" s="1793"/>
      <c r="I5" s="1793"/>
      <c r="J5" s="1793"/>
      <c r="K5" s="1793"/>
      <c r="L5" s="1793"/>
      <c r="M5" s="1793"/>
      <c r="N5" s="1793"/>
      <c r="O5" s="1793"/>
      <c r="P5" s="1793"/>
      <c r="Q5" s="1793"/>
      <c r="R5" s="1793"/>
      <c r="S5" s="1793"/>
    </row>
    <row r="6" spans="1:19" ht="24" thickBot="1">
      <c r="A6" s="168"/>
      <c r="B6" s="168"/>
      <c r="C6" s="289"/>
      <c r="D6" s="168"/>
      <c r="E6" s="168"/>
      <c r="F6" s="168"/>
      <c r="G6" s="168"/>
      <c r="H6" s="168"/>
      <c r="I6" s="279"/>
      <c r="J6" s="168"/>
      <c r="K6" s="168"/>
      <c r="L6" s="168"/>
      <c r="M6" s="168"/>
      <c r="N6" s="168"/>
      <c r="O6" s="168"/>
      <c r="P6" s="168"/>
      <c r="Q6" s="168"/>
      <c r="R6" s="168"/>
      <c r="S6" s="168"/>
    </row>
    <row r="7" spans="1:19" ht="23.25">
      <c r="A7" s="187" t="s">
        <v>67</v>
      </c>
      <c r="B7" s="169"/>
      <c r="C7" s="290"/>
      <c r="D7" s="170"/>
      <c r="E7" s="170"/>
      <c r="F7" s="170"/>
      <c r="G7" s="170"/>
      <c r="H7" s="170"/>
      <c r="I7" s="280"/>
      <c r="J7" s="170"/>
      <c r="K7" s="170"/>
      <c r="L7" s="170"/>
      <c r="M7" s="172"/>
      <c r="N7" s="173" t="s">
        <v>68</v>
      </c>
      <c r="O7" s="170"/>
      <c r="P7" s="170"/>
      <c r="Q7" s="170"/>
      <c r="R7" s="170"/>
      <c r="S7" s="185"/>
    </row>
    <row r="8" spans="1:19" ht="23.25">
      <c r="A8" s="163" t="s">
        <v>69</v>
      </c>
      <c r="B8" s="174"/>
      <c r="C8" s="291"/>
      <c r="D8" s="168"/>
      <c r="E8" s="168"/>
      <c r="F8" s="168"/>
      <c r="G8" s="168"/>
      <c r="H8" s="168"/>
      <c r="I8" s="279"/>
      <c r="J8" s="168"/>
      <c r="K8" s="168"/>
      <c r="L8" s="168"/>
      <c r="M8" s="175"/>
      <c r="N8" s="171" t="s">
        <v>70</v>
      </c>
      <c r="O8" s="176"/>
      <c r="P8" s="176" t="s">
        <v>71</v>
      </c>
      <c r="Q8" s="168"/>
      <c r="R8" s="168"/>
      <c r="S8" s="177"/>
    </row>
    <row r="9" spans="1:19" ht="23.25">
      <c r="A9" s="162" t="s">
        <v>72</v>
      </c>
      <c r="B9" s="174"/>
      <c r="C9" s="291"/>
      <c r="D9" s="168"/>
      <c r="E9" s="168"/>
      <c r="F9" s="168"/>
      <c r="G9" s="168"/>
      <c r="H9" s="168"/>
      <c r="I9" s="279"/>
      <c r="J9" s="168"/>
      <c r="K9" s="168"/>
      <c r="L9" s="168"/>
      <c r="M9" s="175"/>
      <c r="N9" s="178" t="s">
        <v>73</v>
      </c>
      <c r="O9" s="179"/>
      <c r="P9" s="168"/>
      <c r="Q9" s="180" t="s">
        <v>74</v>
      </c>
      <c r="R9" s="180"/>
      <c r="S9" s="177"/>
    </row>
    <row r="10" spans="1:19" ht="23.25">
      <c r="A10" s="163"/>
      <c r="B10" s="174"/>
      <c r="C10" s="291"/>
      <c r="D10" s="168"/>
      <c r="E10" s="168"/>
      <c r="F10" s="168"/>
      <c r="G10" s="168"/>
      <c r="H10" s="168"/>
      <c r="I10" s="279"/>
      <c r="J10" s="168"/>
      <c r="K10" s="168"/>
      <c r="L10" s="168"/>
      <c r="M10" s="175"/>
      <c r="N10" s="178" t="s">
        <v>75</v>
      </c>
      <c r="O10" s="179"/>
      <c r="P10" s="168"/>
      <c r="Q10" s="180" t="s">
        <v>76</v>
      </c>
      <c r="R10" s="180"/>
      <c r="S10" s="177"/>
    </row>
    <row r="11" spans="1:19" ht="24" thickBot="1">
      <c r="A11" s="188"/>
      <c r="B11" s="164"/>
      <c r="C11" s="291"/>
      <c r="D11" s="181"/>
      <c r="E11" s="181"/>
      <c r="F11" s="181"/>
      <c r="G11" s="181"/>
      <c r="H11" s="181"/>
      <c r="I11" s="281"/>
      <c r="J11" s="181"/>
      <c r="K11" s="181"/>
      <c r="L11" s="181"/>
      <c r="M11" s="182"/>
      <c r="N11" s="246" t="s">
        <v>77</v>
      </c>
      <c r="O11" s="189"/>
      <c r="P11" s="181"/>
      <c r="Q11" s="245" t="s">
        <v>78</v>
      </c>
      <c r="R11" s="190"/>
      <c r="S11" s="186"/>
    </row>
    <row r="12" spans="1:19">
      <c r="A12" s="1840" t="s">
        <v>79</v>
      </c>
      <c r="B12" s="1843" t="s">
        <v>80</v>
      </c>
      <c r="C12" s="1846" t="s">
        <v>81</v>
      </c>
      <c r="D12" s="1857" t="s">
        <v>82</v>
      </c>
      <c r="E12" s="1860" t="s">
        <v>83</v>
      </c>
      <c r="F12" s="1863" t="s">
        <v>84</v>
      </c>
      <c r="G12" s="1866" t="s">
        <v>85</v>
      </c>
      <c r="H12" s="1849"/>
      <c r="I12" s="1867"/>
      <c r="J12" s="1849" t="s">
        <v>86</v>
      </c>
      <c r="K12" s="1849"/>
      <c r="L12" s="1854" t="s">
        <v>87</v>
      </c>
      <c r="M12" s="1873" t="s">
        <v>88</v>
      </c>
      <c r="N12" s="1873"/>
      <c r="O12" s="1873"/>
      <c r="P12" s="1873"/>
      <c r="Q12" s="1873"/>
      <c r="R12" s="1870" t="s">
        <v>89</v>
      </c>
      <c r="S12" s="1874" t="s">
        <v>59</v>
      </c>
    </row>
    <row r="13" spans="1:19">
      <c r="A13" s="1841"/>
      <c r="B13" s="1844"/>
      <c r="C13" s="1847"/>
      <c r="D13" s="1858"/>
      <c r="E13" s="1861"/>
      <c r="F13" s="1864"/>
      <c r="G13" s="1868"/>
      <c r="H13" s="1850"/>
      <c r="I13" s="1869"/>
      <c r="J13" s="1850"/>
      <c r="K13" s="1850"/>
      <c r="L13" s="1855"/>
      <c r="M13" s="1877" t="s">
        <v>90</v>
      </c>
      <c r="N13" s="1824"/>
      <c r="O13" s="1823" t="s">
        <v>91</v>
      </c>
      <c r="P13" s="1825"/>
      <c r="Q13" s="1824"/>
      <c r="R13" s="1871"/>
      <c r="S13" s="1875"/>
    </row>
    <row r="14" spans="1:19" ht="27.75" thickBot="1">
      <c r="A14" s="1842"/>
      <c r="B14" s="1845"/>
      <c r="C14" s="1848"/>
      <c r="D14" s="1859"/>
      <c r="E14" s="1862"/>
      <c r="F14" s="1865"/>
      <c r="G14" s="225" t="s">
        <v>92</v>
      </c>
      <c r="H14" s="226" t="s">
        <v>93</v>
      </c>
      <c r="I14" s="282" t="s">
        <v>25</v>
      </c>
      <c r="J14" s="235" t="s">
        <v>94</v>
      </c>
      <c r="K14" s="274" t="s">
        <v>95</v>
      </c>
      <c r="L14" s="1856"/>
      <c r="M14" s="260" t="s">
        <v>96</v>
      </c>
      <c r="N14" s="219" t="s">
        <v>97</v>
      </c>
      <c r="O14" s="218" t="s">
        <v>98</v>
      </c>
      <c r="P14" s="220" t="s">
        <v>99</v>
      </c>
      <c r="Q14" s="219" t="s">
        <v>100</v>
      </c>
      <c r="R14" s="1872"/>
      <c r="S14" s="1876"/>
    </row>
    <row r="15" spans="1:19" ht="18">
      <c r="A15" s="183" t="s">
        <v>101</v>
      </c>
      <c r="B15" s="184" t="s">
        <v>102</v>
      </c>
      <c r="C15" s="299" t="s">
        <v>103</v>
      </c>
      <c r="D15" s="292" t="s">
        <v>104</v>
      </c>
      <c r="E15" s="292" t="s">
        <v>105</v>
      </c>
      <c r="F15" s="293" t="s">
        <v>106</v>
      </c>
      <c r="G15" s="294" t="s">
        <v>107</v>
      </c>
      <c r="H15" s="293" t="s">
        <v>108</v>
      </c>
      <c r="I15" s="295" t="s">
        <v>109</v>
      </c>
      <c r="J15" s="293" t="s">
        <v>110</v>
      </c>
      <c r="K15" s="296" t="s">
        <v>111</v>
      </c>
      <c r="L15" s="295" t="s">
        <v>112</v>
      </c>
      <c r="M15" s="297" t="s">
        <v>113</v>
      </c>
      <c r="N15" s="295" t="s">
        <v>114</v>
      </c>
      <c r="O15" s="292" t="s">
        <v>115</v>
      </c>
      <c r="P15" s="293" t="s">
        <v>116</v>
      </c>
      <c r="Q15" s="298" t="s">
        <v>117</v>
      </c>
      <c r="R15" s="298" t="s">
        <v>118</v>
      </c>
      <c r="S15" s="298" t="s">
        <v>119</v>
      </c>
    </row>
    <row r="16" spans="1:19" ht="15.75">
      <c r="A16" s="257"/>
      <c r="B16" s="227"/>
      <c r="C16" s="227"/>
      <c r="D16" s="228"/>
      <c r="E16" s="228"/>
      <c r="F16" s="231"/>
      <c r="G16" s="230"/>
      <c r="H16" s="228"/>
      <c r="I16" s="283"/>
      <c r="J16" s="227"/>
      <c r="K16" s="229"/>
      <c r="L16" s="241"/>
      <c r="M16" s="232"/>
      <c r="N16" s="265"/>
      <c r="O16" s="230"/>
      <c r="P16" s="228"/>
      <c r="Q16" s="231"/>
      <c r="R16" s="269"/>
      <c r="S16" s="241"/>
    </row>
    <row r="17" spans="1:19">
      <c r="A17" s="191" t="s">
        <v>120</v>
      </c>
      <c r="B17" s="253" t="s">
        <v>121</v>
      </c>
      <c r="C17" s="312" t="s">
        <v>122</v>
      </c>
      <c r="D17" s="193">
        <v>80</v>
      </c>
      <c r="E17" s="313">
        <v>142.53000000000003</v>
      </c>
      <c r="F17" s="313" t="s">
        <v>123</v>
      </c>
      <c r="G17" s="195">
        <v>142.53</v>
      </c>
      <c r="H17" s="316"/>
      <c r="I17" s="284">
        <v>142.53</v>
      </c>
      <c r="J17" s="192">
        <v>5.2</v>
      </c>
      <c r="K17" s="277">
        <v>0</v>
      </c>
      <c r="L17" s="259">
        <v>1</v>
      </c>
      <c r="M17" s="239">
        <v>10760</v>
      </c>
      <c r="N17" s="266">
        <v>1533622.8</v>
      </c>
      <c r="O17" s="195"/>
      <c r="P17" s="196"/>
      <c r="Q17" s="198"/>
      <c r="R17" s="200">
        <v>1533622.8</v>
      </c>
      <c r="S17" s="250"/>
    </row>
    <row r="18" spans="1:19">
      <c r="A18" s="191"/>
      <c r="B18" s="253"/>
      <c r="C18" s="306"/>
      <c r="D18" s="193">
        <v>31</v>
      </c>
      <c r="E18" s="313">
        <v>68.47</v>
      </c>
      <c r="F18" s="313" t="s">
        <v>124</v>
      </c>
      <c r="G18" s="195">
        <v>28.58</v>
      </c>
      <c r="H18" s="196">
        <v>39.89</v>
      </c>
      <c r="I18" s="284">
        <v>68.47</v>
      </c>
      <c r="J18" s="192">
        <v>5.2</v>
      </c>
      <c r="K18" s="277">
        <v>0</v>
      </c>
      <c r="L18" s="259">
        <v>1</v>
      </c>
      <c r="M18" s="239">
        <v>17860</v>
      </c>
      <c r="N18" s="266">
        <v>1222874.2</v>
      </c>
      <c r="O18" s="195"/>
      <c r="P18" s="196"/>
      <c r="Q18" s="198"/>
      <c r="R18" s="200">
        <v>1222874.2</v>
      </c>
      <c r="S18" s="237"/>
    </row>
    <row r="19" spans="1:19">
      <c r="A19" s="191"/>
      <c r="B19" s="253"/>
      <c r="C19" s="306"/>
      <c r="D19" s="193">
        <v>51</v>
      </c>
      <c r="E19" s="313">
        <v>89.779999999999987</v>
      </c>
      <c r="F19" s="313" t="s">
        <v>51</v>
      </c>
      <c r="G19" s="202">
        <v>85.679999999999993</v>
      </c>
      <c r="H19" s="196"/>
      <c r="I19" s="284">
        <v>85.679999999999993</v>
      </c>
      <c r="J19" s="192">
        <v>5.2</v>
      </c>
      <c r="K19" s="277">
        <v>0</v>
      </c>
      <c r="L19" s="259">
        <v>1</v>
      </c>
      <c r="M19" s="239">
        <v>19610</v>
      </c>
      <c r="N19" s="266">
        <v>1680184.7999999998</v>
      </c>
      <c r="O19" s="195">
        <v>445.536</v>
      </c>
      <c r="P19" s="196">
        <v>36</v>
      </c>
      <c r="Q19" s="203">
        <v>16039296</v>
      </c>
      <c r="R19" s="200">
        <v>17719480.800000001</v>
      </c>
      <c r="S19" s="242" t="s">
        <v>125</v>
      </c>
    </row>
    <row r="20" spans="1:19">
      <c r="A20" s="191"/>
      <c r="B20" s="254" t="s">
        <v>126</v>
      </c>
      <c r="C20" s="312" t="s">
        <v>122</v>
      </c>
      <c r="D20" s="193">
        <v>26</v>
      </c>
      <c r="E20" s="194">
        <v>35.4</v>
      </c>
      <c r="F20" s="194" t="s">
        <v>123</v>
      </c>
      <c r="G20" s="202">
        <v>35.4</v>
      </c>
      <c r="H20" s="196"/>
      <c r="I20" s="284">
        <v>35.4</v>
      </c>
      <c r="J20" s="192">
        <v>5.2</v>
      </c>
      <c r="K20" s="277">
        <v>0</v>
      </c>
      <c r="L20" s="259">
        <v>1</v>
      </c>
      <c r="M20" s="239">
        <v>10760</v>
      </c>
      <c r="N20" s="266">
        <v>380904</v>
      </c>
      <c r="O20" s="195"/>
      <c r="P20" s="196"/>
      <c r="Q20" s="197"/>
      <c r="R20" s="200">
        <v>380904</v>
      </c>
      <c r="S20" s="237"/>
    </row>
    <row r="21" spans="1:19">
      <c r="A21" s="258"/>
      <c r="B21" s="255"/>
      <c r="C21" s="306"/>
      <c r="D21" s="204">
        <v>11</v>
      </c>
      <c r="E21" s="314">
        <v>15.1</v>
      </c>
      <c r="F21" s="314" t="s">
        <v>124</v>
      </c>
      <c r="G21" s="195">
        <v>15.1</v>
      </c>
      <c r="H21" s="205"/>
      <c r="I21" s="284">
        <v>15.1</v>
      </c>
      <c r="J21" s="192">
        <v>5.2</v>
      </c>
      <c r="K21" s="277">
        <v>0</v>
      </c>
      <c r="L21" s="259">
        <v>1</v>
      </c>
      <c r="M21" s="261">
        <v>17860</v>
      </c>
      <c r="N21" s="266">
        <v>269686</v>
      </c>
      <c r="O21" s="202"/>
      <c r="P21" s="206"/>
      <c r="Q21" s="207"/>
      <c r="R21" s="200">
        <v>269686</v>
      </c>
      <c r="S21" s="243"/>
    </row>
    <row r="22" spans="1:19">
      <c r="A22" s="191" t="s">
        <v>127</v>
      </c>
      <c r="B22" s="253" t="s">
        <v>121</v>
      </c>
      <c r="C22" s="305" t="s">
        <v>122</v>
      </c>
      <c r="D22" s="193"/>
      <c r="E22" s="194"/>
      <c r="F22" s="317" t="s">
        <v>51</v>
      </c>
      <c r="G22" s="195"/>
      <c r="H22" s="196"/>
      <c r="I22" s="284">
        <v>0</v>
      </c>
      <c r="J22" s="238"/>
      <c r="K22" s="277">
        <v>0</v>
      </c>
      <c r="L22" s="236"/>
      <c r="M22" s="239"/>
      <c r="N22" s="268"/>
      <c r="O22" s="202">
        <v>0</v>
      </c>
      <c r="P22" s="206">
        <v>20</v>
      </c>
      <c r="Q22" s="207">
        <v>0</v>
      </c>
      <c r="R22" s="200">
        <v>0</v>
      </c>
      <c r="S22" s="242" t="s">
        <v>125</v>
      </c>
    </row>
    <row r="23" spans="1:19">
      <c r="A23" s="191"/>
      <c r="B23" s="253"/>
      <c r="C23" s="305"/>
      <c r="D23" s="193"/>
      <c r="E23" s="194"/>
      <c r="F23" s="309"/>
      <c r="G23" s="195"/>
      <c r="H23" s="196"/>
      <c r="I23" s="284">
        <v>0</v>
      </c>
      <c r="J23" s="238"/>
      <c r="K23" s="277">
        <v>0</v>
      </c>
      <c r="L23" s="236"/>
      <c r="M23" s="239"/>
      <c r="N23" s="267"/>
      <c r="O23" s="202">
        <v>0</v>
      </c>
      <c r="P23" s="206">
        <v>20</v>
      </c>
      <c r="Q23" s="207">
        <v>0</v>
      </c>
      <c r="R23" s="200">
        <v>0</v>
      </c>
      <c r="S23" s="242" t="s">
        <v>125</v>
      </c>
    </row>
    <row r="24" spans="1:19">
      <c r="A24" s="191"/>
      <c r="B24" s="253"/>
      <c r="C24" s="306"/>
      <c r="D24" s="193"/>
      <c r="E24" s="194"/>
      <c r="F24" s="309"/>
      <c r="G24" s="195"/>
      <c r="H24" s="196"/>
      <c r="I24" s="284">
        <v>0</v>
      </c>
      <c r="J24" s="238"/>
      <c r="K24" s="277">
        <v>0</v>
      </c>
      <c r="L24" s="236"/>
      <c r="M24" s="239"/>
      <c r="N24" s="266">
        <v>0</v>
      </c>
      <c r="O24" s="199"/>
      <c r="P24" s="208"/>
      <c r="Q24" s="197"/>
      <c r="R24" s="200">
        <v>0</v>
      </c>
      <c r="S24" s="250"/>
    </row>
    <row r="25" spans="1:19">
      <c r="A25" s="233"/>
      <c r="B25" s="256"/>
      <c r="C25" s="306"/>
      <c r="D25" s="221"/>
      <c r="E25" s="222"/>
      <c r="F25" s="310"/>
      <c r="G25" s="234"/>
      <c r="H25" s="196"/>
      <c r="I25" s="284">
        <v>0</v>
      </c>
      <c r="J25" s="238"/>
      <c r="K25" s="277">
        <v>0</v>
      </c>
      <c r="L25" s="236"/>
      <c r="M25" s="239"/>
      <c r="N25" s="266">
        <v>0</v>
      </c>
      <c r="O25" s="199"/>
      <c r="P25" s="208"/>
      <c r="Q25" s="197"/>
      <c r="R25" s="200">
        <v>0</v>
      </c>
      <c r="S25" s="237"/>
    </row>
    <row r="26" spans="1:19" ht="15.75" thickBot="1">
      <c r="A26" s="233"/>
      <c r="B26" s="256"/>
      <c r="C26" s="306"/>
      <c r="D26" s="221"/>
      <c r="E26" s="222"/>
      <c r="F26" s="311"/>
      <c r="G26" s="288"/>
      <c r="H26" s="307"/>
      <c r="I26" s="284">
        <v>0</v>
      </c>
      <c r="J26" s="251"/>
      <c r="K26" s="277">
        <v>0</v>
      </c>
      <c r="L26" s="236"/>
      <c r="M26" s="239"/>
      <c r="N26" s="266"/>
      <c r="O26" s="270">
        <v>0</v>
      </c>
      <c r="P26" s="264">
        <v>20</v>
      </c>
      <c r="Q26" s="271">
        <v>0</v>
      </c>
      <c r="R26" s="200">
        <v>0</v>
      </c>
      <c r="S26" s="252"/>
    </row>
    <row r="27" spans="1:19" ht="18.75" thickBot="1">
      <c r="A27" s="300"/>
      <c r="B27" s="301"/>
      <c r="C27" s="301"/>
      <c r="D27" s="247">
        <v>199</v>
      </c>
      <c r="E27" s="248">
        <v>351.28000000000003</v>
      </c>
      <c r="F27" s="249"/>
      <c r="G27" s="308">
        <v>307.29000000000002</v>
      </c>
      <c r="H27" s="272">
        <v>39.89</v>
      </c>
      <c r="I27" s="285">
        <v>347.18</v>
      </c>
      <c r="J27" s="223"/>
      <c r="K27" s="275"/>
      <c r="L27" s="276">
        <v>0.41666666666666669</v>
      </c>
      <c r="M27" s="224">
        <v>76850</v>
      </c>
      <c r="N27" s="240">
        <v>5087271.8</v>
      </c>
      <c r="O27" s="165">
        <v>445.536</v>
      </c>
      <c r="P27" s="223"/>
      <c r="Q27" s="273">
        <v>16039296</v>
      </c>
      <c r="R27" s="240">
        <v>21126567.800000001</v>
      </c>
      <c r="S27" s="244"/>
    </row>
    <row r="28" spans="1:19" ht="30">
      <c r="A28" s="161"/>
      <c r="B28" s="161"/>
      <c r="C28" s="302"/>
      <c r="D28" s="161"/>
      <c r="E28" s="315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</row>
    <row r="29" spans="1:19" ht="30">
      <c r="A29" s="210" t="s">
        <v>128</v>
      </c>
      <c r="B29" s="161"/>
      <c r="C29" s="302"/>
      <c r="D29" s="161"/>
      <c r="E29" s="161"/>
      <c r="F29" s="210" t="s">
        <v>129</v>
      </c>
      <c r="G29" s="161"/>
      <c r="H29" s="161"/>
      <c r="I29" s="161"/>
      <c r="J29" s="161"/>
      <c r="K29" s="167" t="s">
        <v>130</v>
      </c>
      <c r="L29" s="161"/>
      <c r="M29" s="161"/>
      <c r="N29" s="161"/>
      <c r="O29" s="210" t="s">
        <v>131</v>
      </c>
      <c r="P29" s="161"/>
      <c r="Q29" s="161"/>
      <c r="R29" s="161"/>
      <c r="S29" s="161"/>
    </row>
    <row r="30" spans="1:19" ht="30">
      <c r="A30" s="201"/>
      <c r="B30" s="217" t="s">
        <v>132</v>
      </c>
      <c r="C30" s="303"/>
      <c r="D30" s="209"/>
      <c r="E30" s="210"/>
      <c r="F30" s="201"/>
      <c r="G30" s="278" t="s">
        <v>133</v>
      </c>
      <c r="H30" s="211"/>
      <c r="I30" s="286"/>
      <c r="J30" s="201"/>
      <c r="K30" s="201"/>
      <c r="L30" s="262" t="s">
        <v>134</v>
      </c>
      <c r="M30" s="201"/>
      <c r="N30" s="201"/>
      <c r="O30" s="201"/>
      <c r="P30" s="211"/>
      <c r="Q30" s="216" t="s">
        <v>135</v>
      </c>
      <c r="R30" s="211"/>
      <c r="S30" s="201"/>
    </row>
    <row r="31" spans="1:19" ht="30">
      <c r="A31" s="210"/>
      <c r="B31" s="201" t="s">
        <v>136</v>
      </c>
      <c r="C31" s="304"/>
      <c r="D31" s="209"/>
      <c r="E31" s="210"/>
      <c r="F31" s="210"/>
      <c r="G31" s="201" t="s">
        <v>137</v>
      </c>
      <c r="H31" s="211"/>
      <c r="I31" s="286"/>
      <c r="J31" s="201"/>
      <c r="K31" s="210"/>
      <c r="L31" s="263" t="s">
        <v>138</v>
      </c>
      <c r="M31" s="201"/>
      <c r="N31" s="201"/>
      <c r="O31" s="210"/>
      <c r="P31" s="211"/>
      <c r="Q31" s="211" t="s">
        <v>139</v>
      </c>
      <c r="R31" s="211"/>
      <c r="S31" s="201"/>
    </row>
    <row r="32" spans="1:19" ht="23.25">
      <c r="A32" s="213" t="s">
        <v>140</v>
      </c>
      <c r="B32" s="214"/>
      <c r="C32" s="166"/>
      <c r="D32" s="212"/>
      <c r="E32" s="213"/>
      <c r="F32" s="213" t="s">
        <v>141</v>
      </c>
      <c r="G32" s="214"/>
      <c r="H32" s="214"/>
      <c r="I32" s="287"/>
      <c r="J32" s="214"/>
      <c r="K32" s="213" t="s">
        <v>142</v>
      </c>
      <c r="L32" s="214"/>
      <c r="M32" s="215"/>
      <c r="N32" s="214"/>
      <c r="O32" s="213" t="s">
        <v>143</v>
      </c>
      <c r="P32" s="215"/>
      <c r="Q32" s="215" t="s">
        <v>144</v>
      </c>
      <c r="R32" s="215"/>
      <c r="S32" s="214"/>
    </row>
    <row r="37" spans="1:18" ht="36.75">
      <c r="A37" s="1851" t="s">
        <v>145</v>
      </c>
      <c r="B37" s="1851"/>
      <c r="C37" s="1851"/>
      <c r="D37" s="1851"/>
      <c r="E37" s="1851"/>
      <c r="F37" s="1851"/>
      <c r="G37" s="1851"/>
      <c r="H37" s="1851"/>
      <c r="I37" s="1851"/>
      <c r="J37" s="1851"/>
      <c r="K37" s="1851"/>
      <c r="L37" s="1851"/>
      <c r="M37" s="1851"/>
      <c r="N37" s="1851"/>
      <c r="O37" s="1851"/>
      <c r="P37" s="1851"/>
      <c r="Q37" s="1851"/>
      <c r="R37" s="1851"/>
    </row>
    <row r="38" spans="1:18" ht="15.75">
      <c r="A38" s="1852" t="s">
        <v>146</v>
      </c>
      <c r="B38" s="1852"/>
      <c r="C38" s="1852"/>
      <c r="D38" s="1852"/>
      <c r="E38" s="1852"/>
      <c r="F38" s="1852"/>
      <c r="G38" s="1852"/>
      <c r="H38" s="1852"/>
      <c r="I38" s="1852"/>
      <c r="J38" s="1852"/>
      <c r="K38" s="1852"/>
      <c r="L38" s="1852"/>
      <c r="M38" s="1852"/>
      <c r="N38" s="1852"/>
      <c r="O38" s="1852"/>
      <c r="P38" s="1852"/>
      <c r="Q38" s="1852"/>
      <c r="R38" s="1852"/>
    </row>
    <row r="39" spans="1:18" ht="15.75">
      <c r="A39" s="1852" t="s">
        <v>147</v>
      </c>
      <c r="B39" s="1852"/>
      <c r="C39" s="1852"/>
      <c r="D39" s="1852"/>
      <c r="E39" s="1852"/>
      <c r="F39" s="1852"/>
      <c r="G39" s="1852"/>
      <c r="H39" s="1852"/>
      <c r="I39" s="1852"/>
      <c r="J39" s="1852"/>
      <c r="K39" s="1852"/>
      <c r="L39" s="1852"/>
      <c r="M39" s="1852"/>
      <c r="N39" s="1852"/>
      <c r="O39" s="1852"/>
      <c r="P39" s="1852"/>
      <c r="Q39" s="1852"/>
      <c r="R39" s="1852"/>
    </row>
    <row r="40" spans="1:18" ht="15.75">
      <c r="A40" s="1852" t="s">
        <v>148</v>
      </c>
      <c r="B40" s="1852"/>
      <c r="C40" s="1852"/>
      <c r="D40" s="1852"/>
      <c r="E40" s="1852"/>
      <c r="F40" s="1852"/>
      <c r="G40" s="1852"/>
      <c r="H40" s="1852"/>
      <c r="I40" s="1852"/>
      <c r="J40" s="1852"/>
      <c r="K40" s="1852"/>
      <c r="L40" s="1852"/>
      <c r="M40" s="1852"/>
      <c r="N40" s="1852"/>
      <c r="O40" s="1852"/>
      <c r="P40" s="1852"/>
      <c r="Q40" s="1852"/>
      <c r="R40" s="1852"/>
    </row>
    <row r="41" spans="1:18" ht="15.75">
      <c r="A41" s="1853" t="s">
        <v>149</v>
      </c>
      <c r="B41" s="1853"/>
      <c r="C41" s="1853"/>
      <c r="D41" s="1853"/>
      <c r="E41" s="1853"/>
      <c r="F41" s="1853"/>
      <c r="G41" s="1853"/>
      <c r="H41" s="1853"/>
      <c r="I41" s="1853"/>
      <c r="J41" s="1853"/>
      <c r="K41" s="1853"/>
      <c r="L41" s="1853"/>
      <c r="M41" s="1853"/>
      <c r="N41" s="1853"/>
      <c r="O41" s="1853"/>
      <c r="P41" s="1853"/>
      <c r="Q41" s="1853"/>
      <c r="R41" s="1853"/>
    </row>
    <row r="42" spans="1:18" ht="16.5" thickBot="1">
      <c r="A42" s="337"/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</row>
    <row r="43" spans="1:18" ht="15.75">
      <c r="A43" s="338" t="s">
        <v>67</v>
      </c>
      <c r="B43" s="339"/>
      <c r="C43" s="339"/>
      <c r="D43" s="339"/>
      <c r="E43" s="339"/>
      <c r="F43" s="339"/>
      <c r="G43" s="339"/>
      <c r="H43" s="339"/>
      <c r="I43" s="339"/>
      <c r="J43" s="339"/>
      <c r="K43" s="411"/>
      <c r="L43" s="340"/>
      <c r="M43" s="341" t="s">
        <v>68</v>
      </c>
      <c r="N43" s="339"/>
      <c r="O43" s="339"/>
      <c r="P43" s="339"/>
      <c r="Q43" s="339"/>
      <c r="R43" s="342"/>
    </row>
    <row r="44" spans="1:18" ht="15.75">
      <c r="A44" s="343" t="s">
        <v>150</v>
      </c>
      <c r="B44" s="337"/>
      <c r="C44" s="337"/>
      <c r="D44" s="337"/>
      <c r="E44" s="337"/>
      <c r="F44" s="337"/>
      <c r="G44" s="337"/>
      <c r="H44" s="337"/>
      <c r="I44" s="337"/>
      <c r="J44" s="337"/>
      <c r="K44" s="412"/>
      <c r="L44" s="337"/>
      <c r="M44" s="344" t="s">
        <v>70</v>
      </c>
      <c r="N44" s="345"/>
      <c r="O44" s="345" t="s">
        <v>71</v>
      </c>
      <c r="P44" s="337"/>
      <c r="Q44" s="337"/>
      <c r="R44" s="346"/>
    </row>
    <row r="45" spans="1:18" ht="18">
      <c r="A45" s="414" t="s">
        <v>151</v>
      </c>
      <c r="B45" s="337"/>
      <c r="C45" s="337"/>
      <c r="D45" s="337"/>
      <c r="E45" s="337"/>
      <c r="F45" s="337"/>
      <c r="G45" s="337"/>
      <c r="H45" s="337"/>
      <c r="I45" s="337"/>
      <c r="J45" s="337"/>
      <c r="K45" s="412"/>
      <c r="L45" s="337"/>
      <c r="M45" s="343" t="s">
        <v>73</v>
      </c>
      <c r="N45" s="323"/>
      <c r="O45" s="337"/>
      <c r="P45" s="347" t="s">
        <v>74</v>
      </c>
      <c r="Q45" s="347"/>
      <c r="R45" s="346"/>
    </row>
    <row r="46" spans="1:18" ht="15.75">
      <c r="A46" s="343"/>
      <c r="B46" s="337"/>
      <c r="C46" s="337"/>
      <c r="D46" s="337"/>
      <c r="E46" s="337"/>
      <c r="F46" s="337"/>
      <c r="G46" s="337"/>
      <c r="H46" s="337"/>
      <c r="I46" s="337"/>
      <c r="J46" s="337"/>
      <c r="K46" s="412"/>
      <c r="L46" s="337"/>
      <c r="M46" s="343" t="s">
        <v>75</v>
      </c>
      <c r="N46" s="323"/>
      <c r="O46" s="337"/>
      <c r="P46" s="347" t="s">
        <v>76</v>
      </c>
      <c r="Q46" s="347"/>
      <c r="R46" s="346"/>
    </row>
    <row r="47" spans="1:18" ht="15.75">
      <c r="A47" s="343"/>
      <c r="B47" s="337"/>
      <c r="C47" s="337"/>
      <c r="D47" s="337"/>
      <c r="E47" s="337"/>
      <c r="F47" s="337"/>
      <c r="G47" s="337"/>
      <c r="H47" s="337"/>
      <c r="I47" s="337"/>
      <c r="J47" s="337"/>
      <c r="K47" s="412"/>
      <c r="L47" s="337"/>
      <c r="M47" s="343" t="s">
        <v>77</v>
      </c>
      <c r="N47" s="323"/>
      <c r="O47" s="337"/>
      <c r="P47" s="347" t="s">
        <v>78</v>
      </c>
      <c r="Q47" s="347"/>
      <c r="R47" s="346"/>
    </row>
    <row r="48" spans="1:18" ht="16.5" thickBot="1">
      <c r="A48" s="348"/>
      <c r="B48" s="349"/>
      <c r="C48" s="349"/>
      <c r="D48" s="349"/>
      <c r="E48" s="349"/>
      <c r="F48" s="349"/>
      <c r="G48" s="349"/>
      <c r="H48" s="349"/>
      <c r="I48" s="349"/>
      <c r="J48" s="349"/>
      <c r="K48" s="413"/>
      <c r="L48" s="349"/>
      <c r="M48" s="349"/>
      <c r="N48" s="349"/>
      <c r="O48" s="349"/>
      <c r="P48" s="349"/>
      <c r="Q48" s="349"/>
      <c r="R48" s="350"/>
    </row>
    <row r="49" spans="1:18" ht="15.75" thickBot="1">
      <c r="A49" s="1807" t="s">
        <v>79</v>
      </c>
      <c r="B49" s="1810" t="s">
        <v>152</v>
      </c>
      <c r="C49" s="1813" t="s">
        <v>82</v>
      </c>
      <c r="D49" s="1813" t="s">
        <v>83</v>
      </c>
      <c r="E49" s="1829" t="s">
        <v>84</v>
      </c>
      <c r="F49" s="1832" t="s">
        <v>85</v>
      </c>
      <c r="G49" s="1833"/>
      <c r="H49" s="1834"/>
      <c r="I49" s="1832" t="s">
        <v>86</v>
      </c>
      <c r="J49" s="1834"/>
      <c r="K49" s="1836" t="s">
        <v>87</v>
      </c>
      <c r="L49" s="1817" t="s">
        <v>88</v>
      </c>
      <c r="M49" s="1818"/>
      <c r="N49" s="1818"/>
      <c r="O49" s="1818"/>
      <c r="P49" s="1818"/>
      <c r="Q49" s="1819"/>
      <c r="R49" s="1820" t="s">
        <v>59</v>
      </c>
    </row>
    <row r="50" spans="1:18">
      <c r="A50" s="1808"/>
      <c r="B50" s="1811"/>
      <c r="C50" s="1814"/>
      <c r="D50" s="1814"/>
      <c r="E50" s="1830"/>
      <c r="F50" s="1835"/>
      <c r="G50" s="1836"/>
      <c r="H50" s="1837"/>
      <c r="I50" s="1835"/>
      <c r="J50" s="1837"/>
      <c r="K50" s="1838"/>
      <c r="L50" s="1823" t="s">
        <v>90</v>
      </c>
      <c r="M50" s="1824"/>
      <c r="N50" s="1823" t="s">
        <v>91</v>
      </c>
      <c r="O50" s="1825"/>
      <c r="P50" s="1824"/>
      <c r="Q50" s="1826" t="s">
        <v>89</v>
      </c>
      <c r="R50" s="1821"/>
    </row>
    <row r="51" spans="1:18" ht="27.75" thickBot="1">
      <c r="A51" s="1809"/>
      <c r="B51" s="1812"/>
      <c r="C51" s="1815"/>
      <c r="D51" s="1815"/>
      <c r="E51" s="1831"/>
      <c r="F51" s="392" t="s">
        <v>92</v>
      </c>
      <c r="G51" s="393" t="s">
        <v>93</v>
      </c>
      <c r="H51" s="394" t="s">
        <v>25</v>
      </c>
      <c r="I51" s="392" t="s">
        <v>94</v>
      </c>
      <c r="J51" s="394" t="s">
        <v>95</v>
      </c>
      <c r="K51" s="1839"/>
      <c r="L51" s="333" t="s">
        <v>96</v>
      </c>
      <c r="M51" s="334" t="s">
        <v>97</v>
      </c>
      <c r="N51" s="333" t="s">
        <v>98</v>
      </c>
      <c r="O51" s="335" t="s">
        <v>153</v>
      </c>
      <c r="P51" s="334" t="s">
        <v>100</v>
      </c>
      <c r="Q51" s="1827"/>
      <c r="R51" s="1822"/>
    </row>
    <row r="52" spans="1:18">
      <c r="A52" s="351" t="s">
        <v>101</v>
      </c>
      <c r="B52" s="419" t="s">
        <v>102</v>
      </c>
      <c r="C52" s="352" t="s">
        <v>103</v>
      </c>
      <c r="D52" s="352" t="s">
        <v>104</v>
      </c>
      <c r="E52" s="353" t="s">
        <v>105</v>
      </c>
      <c r="F52" s="354" t="s">
        <v>106</v>
      </c>
      <c r="G52" s="352" t="s">
        <v>107</v>
      </c>
      <c r="H52" s="355" t="s">
        <v>108</v>
      </c>
      <c r="I52" s="354" t="s">
        <v>109</v>
      </c>
      <c r="J52" s="355" t="s">
        <v>110</v>
      </c>
      <c r="K52" s="356" t="s">
        <v>111</v>
      </c>
      <c r="L52" s="354" t="s">
        <v>112</v>
      </c>
      <c r="M52" s="353" t="s">
        <v>113</v>
      </c>
      <c r="N52" s="354" t="s">
        <v>114</v>
      </c>
      <c r="O52" s="352" t="s">
        <v>115</v>
      </c>
      <c r="P52" s="353" t="s">
        <v>116</v>
      </c>
      <c r="Q52" s="351" t="s">
        <v>117</v>
      </c>
      <c r="R52" s="351" t="s">
        <v>118</v>
      </c>
    </row>
    <row r="53" spans="1:18">
      <c r="A53" s="358" t="s">
        <v>154</v>
      </c>
      <c r="B53" s="420" t="s">
        <v>155</v>
      </c>
      <c r="C53" s="403">
        <v>241</v>
      </c>
      <c r="D53" s="377">
        <v>59</v>
      </c>
      <c r="E53" s="360" t="s">
        <v>156</v>
      </c>
      <c r="F53" s="361">
        <v>59</v>
      </c>
      <c r="G53" s="359"/>
      <c r="H53" s="362">
        <v>59</v>
      </c>
      <c r="I53" s="361">
        <v>3</v>
      </c>
      <c r="J53" s="433">
        <v>0</v>
      </c>
      <c r="K53" s="363">
        <v>1</v>
      </c>
      <c r="L53" s="364">
        <v>10000</v>
      </c>
      <c r="M53" s="365" t="e">
        <f>AVERAGE(S51)</f>
        <v>#DIV/0!</v>
      </c>
      <c r="N53" s="361"/>
      <c r="O53" s="359"/>
      <c r="P53" s="438">
        <v>0</v>
      </c>
      <c r="Q53" s="382">
        <v>590000</v>
      </c>
      <c r="R53" s="401"/>
    </row>
    <row r="54" spans="1:18">
      <c r="A54" s="358" t="s">
        <v>157</v>
      </c>
      <c r="B54" s="420" t="s">
        <v>155</v>
      </c>
      <c r="C54" s="359">
        <v>228</v>
      </c>
      <c r="D54" s="404">
        <v>44</v>
      </c>
      <c r="E54" s="360" t="s">
        <v>158</v>
      </c>
      <c r="F54" s="361">
        <v>44</v>
      </c>
      <c r="G54" s="359"/>
      <c r="H54" s="362">
        <v>44</v>
      </c>
      <c r="I54" s="361">
        <v>2.5</v>
      </c>
      <c r="J54" s="433">
        <v>0</v>
      </c>
      <c r="K54" s="363">
        <v>1</v>
      </c>
      <c r="L54" s="364"/>
      <c r="M54" s="365">
        <v>0</v>
      </c>
      <c r="N54" s="361">
        <v>110</v>
      </c>
      <c r="O54" s="359">
        <v>12</v>
      </c>
      <c r="P54" s="439">
        <v>1320000</v>
      </c>
      <c r="Q54" s="382">
        <v>1320000</v>
      </c>
      <c r="R54" s="381"/>
    </row>
    <row r="55" spans="1:18">
      <c r="A55" s="358" t="s">
        <v>159</v>
      </c>
      <c r="B55" s="420" t="s">
        <v>155</v>
      </c>
      <c r="C55" s="359">
        <v>4</v>
      </c>
      <c r="D55" s="404">
        <v>21</v>
      </c>
      <c r="E55" s="360" t="s">
        <v>160</v>
      </c>
      <c r="F55" s="361">
        <v>21</v>
      </c>
      <c r="G55" s="359"/>
      <c r="H55" s="362">
        <v>21</v>
      </c>
      <c r="I55" s="361">
        <v>2.5</v>
      </c>
      <c r="J55" s="433">
        <v>0</v>
      </c>
      <c r="K55" s="363">
        <v>1</v>
      </c>
      <c r="L55" s="364">
        <v>22000</v>
      </c>
      <c r="M55" s="365">
        <v>462000</v>
      </c>
      <c r="N55" s="361"/>
      <c r="O55" s="359"/>
      <c r="P55" s="438">
        <v>0</v>
      </c>
      <c r="Q55" s="382">
        <v>462000</v>
      </c>
      <c r="R55" s="381"/>
    </row>
    <row r="56" spans="1:18">
      <c r="A56" s="358" t="s">
        <v>161</v>
      </c>
      <c r="B56" s="420" t="s">
        <v>155</v>
      </c>
      <c r="C56" s="359">
        <v>92</v>
      </c>
      <c r="D56" s="404">
        <v>23.5</v>
      </c>
      <c r="E56" s="360" t="s">
        <v>160</v>
      </c>
      <c r="F56" s="361">
        <v>23.5</v>
      </c>
      <c r="G56" s="359"/>
      <c r="H56" s="362">
        <v>23.5</v>
      </c>
      <c r="I56" s="361">
        <v>3</v>
      </c>
      <c r="J56" s="433">
        <v>0</v>
      </c>
      <c r="K56" s="363">
        <v>1</v>
      </c>
      <c r="L56" s="364">
        <v>22000</v>
      </c>
      <c r="M56" s="365">
        <v>517000</v>
      </c>
      <c r="N56" s="361"/>
      <c r="O56" s="359"/>
      <c r="P56" s="438">
        <v>0</v>
      </c>
      <c r="Q56" s="382">
        <v>517000</v>
      </c>
      <c r="R56" s="381"/>
    </row>
    <row r="57" spans="1:18">
      <c r="A57" s="357" t="s">
        <v>162</v>
      </c>
      <c r="B57" s="420" t="s">
        <v>155</v>
      </c>
      <c r="C57" s="366">
        <v>8</v>
      </c>
      <c r="D57" s="404">
        <v>7</v>
      </c>
      <c r="E57" s="367" t="s">
        <v>160</v>
      </c>
      <c r="F57" s="368">
        <v>7</v>
      </c>
      <c r="G57" s="369"/>
      <c r="H57" s="362">
        <v>7</v>
      </c>
      <c r="I57" s="361">
        <v>3</v>
      </c>
      <c r="J57" s="433">
        <v>0</v>
      </c>
      <c r="K57" s="370">
        <v>1</v>
      </c>
      <c r="L57" s="364">
        <v>22000</v>
      </c>
      <c r="M57" s="365">
        <v>154000</v>
      </c>
      <c r="N57" s="368"/>
      <c r="O57" s="369"/>
      <c r="P57" s="440">
        <v>0</v>
      </c>
      <c r="Q57" s="382">
        <v>154000</v>
      </c>
      <c r="R57" s="381"/>
    </row>
    <row r="58" spans="1:18">
      <c r="A58" s="357" t="s">
        <v>163</v>
      </c>
      <c r="B58" s="420" t="s">
        <v>155</v>
      </c>
      <c r="C58" s="366">
        <v>10</v>
      </c>
      <c r="D58" s="404">
        <v>11.25</v>
      </c>
      <c r="E58" s="367" t="s">
        <v>156</v>
      </c>
      <c r="F58" s="368">
        <v>11.25</v>
      </c>
      <c r="G58" s="369"/>
      <c r="H58" s="362">
        <v>11.25</v>
      </c>
      <c r="I58" s="361">
        <v>3</v>
      </c>
      <c r="J58" s="433">
        <v>0</v>
      </c>
      <c r="K58" s="370">
        <v>1</v>
      </c>
      <c r="L58" s="364">
        <v>10000</v>
      </c>
      <c r="M58" s="365">
        <v>112500</v>
      </c>
      <c r="N58" s="368"/>
      <c r="O58" s="369"/>
      <c r="P58" s="440">
        <v>0</v>
      </c>
      <c r="Q58" s="382">
        <v>112500</v>
      </c>
      <c r="R58" s="381"/>
    </row>
    <row r="59" spans="1:18">
      <c r="A59" s="357" t="s">
        <v>164</v>
      </c>
      <c r="B59" s="420" t="s">
        <v>155</v>
      </c>
      <c r="C59" s="369">
        <v>84</v>
      </c>
      <c r="D59" s="404">
        <v>84</v>
      </c>
      <c r="E59" s="367" t="s">
        <v>158</v>
      </c>
      <c r="F59" s="368">
        <v>84</v>
      </c>
      <c r="G59" s="369"/>
      <c r="H59" s="362">
        <v>84</v>
      </c>
      <c r="I59" s="361">
        <v>2.5</v>
      </c>
      <c r="J59" s="433">
        <v>0.5</v>
      </c>
      <c r="K59" s="370">
        <v>0.8</v>
      </c>
      <c r="L59" s="364"/>
      <c r="M59" s="365">
        <v>0</v>
      </c>
      <c r="N59" s="368">
        <v>210</v>
      </c>
      <c r="O59" s="369">
        <v>12</v>
      </c>
      <c r="P59" s="440">
        <v>2520000</v>
      </c>
      <c r="Q59" s="382">
        <v>2520000</v>
      </c>
      <c r="R59" s="406" t="e">
        <v>#REF!</v>
      </c>
    </row>
    <row r="60" spans="1:18">
      <c r="A60" s="357" t="s">
        <v>165</v>
      </c>
      <c r="B60" s="420" t="s">
        <v>155</v>
      </c>
      <c r="C60" s="359">
        <v>20</v>
      </c>
      <c r="D60" s="404">
        <v>19.5</v>
      </c>
      <c r="E60" s="367" t="s">
        <v>156</v>
      </c>
      <c r="F60" s="371">
        <v>19.5</v>
      </c>
      <c r="G60" s="369"/>
      <c r="H60" s="362">
        <v>19.5</v>
      </c>
      <c r="I60" s="368">
        <v>3</v>
      </c>
      <c r="J60" s="433">
        <v>0</v>
      </c>
      <c r="K60" s="370">
        <v>1</v>
      </c>
      <c r="L60" s="364">
        <v>10000</v>
      </c>
      <c r="M60" s="365">
        <v>195000</v>
      </c>
      <c r="N60" s="368"/>
      <c r="O60" s="369"/>
      <c r="P60" s="440">
        <v>0</v>
      </c>
      <c r="Q60" s="382">
        <v>195000</v>
      </c>
      <c r="R60" s="407"/>
    </row>
    <row r="61" spans="1:18">
      <c r="A61" s="357" t="s">
        <v>166</v>
      </c>
      <c r="B61" s="420" t="s">
        <v>155</v>
      </c>
      <c r="C61" s="366">
        <v>8</v>
      </c>
      <c r="D61" s="405">
        <v>7.82</v>
      </c>
      <c r="E61" s="367" t="s">
        <v>156</v>
      </c>
      <c r="F61" s="368">
        <v>7.82</v>
      </c>
      <c r="G61" s="369"/>
      <c r="H61" s="362">
        <v>7.82</v>
      </c>
      <c r="I61" s="368">
        <v>3</v>
      </c>
      <c r="J61" s="433">
        <v>0</v>
      </c>
      <c r="K61" s="370">
        <v>1</v>
      </c>
      <c r="L61" s="364">
        <v>10000</v>
      </c>
      <c r="M61" s="365">
        <v>78200</v>
      </c>
      <c r="N61" s="368"/>
      <c r="O61" s="369"/>
      <c r="P61" s="440">
        <v>0</v>
      </c>
      <c r="Q61" s="382">
        <v>78200</v>
      </c>
      <c r="R61" s="407"/>
    </row>
    <row r="62" spans="1:18">
      <c r="A62" s="372" t="s">
        <v>167</v>
      </c>
      <c r="B62" s="420" t="s">
        <v>155</v>
      </c>
      <c r="C62" s="373">
        <v>89</v>
      </c>
      <c r="D62" s="404">
        <v>434</v>
      </c>
      <c r="E62" s="367" t="s">
        <v>156</v>
      </c>
      <c r="F62" s="374">
        <v>434</v>
      </c>
      <c r="G62" s="375"/>
      <c r="H62" s="362">
        <v>434</v>
      </c>
      <c r="I62" s="374">
        <v>3</v>
      </c>
      <c r="J62" s="433">
        <v>0.59999999999999964</v>
      </c>
      <c r="K62" s="370">
        <v>0.8</v>
      </c>
      <c r="L62" s="364">
        <v>10000</v>
      </c>
      <c r="M62" s="365">
        <v>3472000.0000000005</v>
      </c>
      <c r="N62" s="374"/>
      <c r="O62" s="375"/>
      <c r="P62" s="441">
        <v>0</v>
      </c>
      <c r="Q62" s="382">
        <v>3472000.0000000005</v>
      </c>
      <c r="R62" s="407"/>
    </row>
    <row r="63" spans="1:18">
      <c r="A63" s="357" t="s">
        <v>168</v>
      </c>
      <c r="B63" s="420" t="s">
        <v>155</v>
      </c>
      <c r="C63" s="366">
        <v>240</v>
      </c>
      <c r="D63" s="404">
        <v>1800</v>
      </c>
      <c r="E63" s="367" t="s">
        <v>160</v>
      </c>
      <c r="F63" s="376">
        <v>1686</v>
      </c>
      <c r="G63" s="369"/>
      <c r="H63" s="444">
        <v>1686</v>
      </c>
      <c r="I63" s="368">
        <v>3.3</v>
      </c>
      <c r="J63" s="433">
        <v>0</v>
      </c>
      <c r="K63" s="370">
        <v>1</v>
      </c>
      <c r="L63" s="376">
        <v>22000</v>
      </c>
      <c r="M63" s="365">
        <v>37092000</v>
      </c>
      <c r="N63" s="368"/>
      <c r="O63" s="369"/>
      <c r="P63" s="442">
        <v>0</v>
      </c>
      <c r="Q63" s="382">
        <v>37092000</v>
      </c>
      <c r="R63" s="407"/>
    </row>
    <row r="64" spans="1:18">
      <c r="A64" s="357"/>
      <c r="B64" s="421" t="s">
        <v>169</v>
      </c>
      <c r="C64" s="366">
        <v>225</v>
      </c>
      <c r="D64" s="404">
        <v>4250</v>
      </c>
      <c r="E64" s="367" t="s">
        <v>160</v>
      </c>
      <c r="F64" s="376">
        <v>1575</v>
      </c>
      <c r="G64" s="369"/>
      <c r="H64" s="444">
        <v>1575</v>
      </c>
      <c r="I64" s="368">
        <v>5</v>
      </c>
      <c r="J64" s="433">
        <v>0</v>
      </c>
      <c r="K64" s="370">
        <v>1</v>
      </c>
      <c r="L64" s="376">
        <v>35000</v>
      </c>
      <c r="M64" s="365">
        <v>55125000</v>
      </c>
      <c r="N64" s="368"/>
      <c r="O64" s="369"/>
      <c r="P64" s="442">
        <v>0</v>
      </c>
      <c r="Q64" s="382">
        <v>55125000</v>
      </c>
      <c r="R64" s="407"/>
    </row>
    <row r="65" spans="1:18">
      <c r="A65" s="357"/>
      <c r="B65" s="421" t="s">
        <v>169</v>
      </c>
      <c r="C65" s="436">
        <v>338</v>
      </c>
      <c r="D65" s="404"/>
      <c r="E65" s="435" t="s">
        <v>170</v>
      </c>
      <c r="F65" s="376"/>
      <c r="G65" s="434">
        <v>2360</v>
      </c>
      <c r="H65" s="444">
        <v>2360</v>
      </c>
      <c r="I65" s="368">
        <v>5</v>
      </c>
      <c r="J65" s="433">
        <v>3</v>
      </c>
      <c r="K65" s="370">
        <v>0.4</v>
      </c>
      <c r="L65" s="376"/>
      <c r="M65" s="365"/>
      <c r="N65" s="437">
        <v>4720</v>
      </c>
      <c r="O65" s="369">
        <v>15</v>
      </c>
      <c r="P65" s="440">
        <v>70800000</v>
      </c>
      <c r="Q65" s="382">
        <v>70800000</v>
      </c>
      <c r="R65" s="407"/>
    </row>
    <row r="66" spans="1:18">
      <c r="A66" s="357" t="s">
        <v>127</v>
      </c>
      <c r="B66" s="421" t="s">
        <v>155</v>
      </c>
      <c r="C66" s="366">
        <v>10</v>
      </c>
      <c r="D66" s="404">
        <v>10</v>
      </c>
      <c r="E66" s="367" t="s">
        <v>158</v>
      </c>
      <c r="F66" s="368">
        <v>10</v>
      </c>
      <c r="G66" s="369"/>
      <c r="H66" s="362">
        <v>10</v>
      </c>
      <c r="I66" s="368">
        <v>3</v>
      </c>
      <c r="J66" s="433">
        <v>0</v>
      </c>
      <c r="K66" s="370">
        <v>1</v>
      </c>
      <c r="L66" s="376"/>
      <c r="M66" s="365">
        <v>0</v>
      </c>
      <c r="N66" s="368">
        <v>30</v>
      </c>
      <c r="O66" s="369">
        <v>12</v>
      </c>
      <c r="P66" s="440">
        <v>360000</v>
      </c>
      <c r="Q66" s="382">
        <v>360000</v>
      </c>
      <c r="R66" s="408" t="s">
        <v>125</v>
      </c>
    </row>
    <row r="67" spans="1:18">
      <c r="A67" s="357" t="s">
        <v>171</v>
      </c>
      <c r="B67" s="421" t="s">
        <v>155</v>
      </c>
      <c r="C67" s="366">
        <v>400</v>
      </c>
      <c r="D67" s="404">
        <v>449</v>
      </c>
      <c r="E67" s="367" t="s">
        <v>156</v>
      </c>
      <c r="F67" s="368"/>
      <c r="G67" s="368">
        <v>449</v>
      </c>
      <c r="H67" s="362">
        <v>449</v>
      </c>
      <c r="I67" s="368">
        <v>2.5</v>
      </c>
      <c r="J67" s="433">
        <v>0.5</v>
      </c>
      <c r="K67" s="370">
        <v>0.8</v>
      </c>
      <c r="L67" s="364">
        <v>9000</v>
      </c>
      <c r="M67" s="365">
        <v>3232800.0000000005</v>
      </c>
      <c r="N67" s="368"/>
      <c r="O67" s="369"/>
      <c r="P67" s="440">
        <v>0</v>
      </c>
      <c r="Q67" s="382">
        <v>3232800.0000000005</v>
      </c>
      <c r="R67" s="407"/>
    </row>
    <row r="68" spans="1:18">
      <c r="A68" s="357" t="s">
        <v>172</v>
      </c>
      <c r="B68" s="421" t="s">
        <v>155</v>
      </c>
      <c r="C68" s="366">
        <v>395</v>
      </c>
      <c r="D68" s="404">
        <v>512.65</v>
      </c>
      <c r="E68" s="367" t="s">
        <v>158</v>
      </c>
      <c r="F68" s="368"/>
      <c r="G68" s="368">
        <v>512.65</v>
      </c>
      <c r="H68" s="369">
        <v>512.65</v>
      </c>
      <c r="I68" s="368">
        <v>2.5</v>
      </c>
      <c r="J68" s="433">
        <v>0.5</v>
      </c>
      <c r="K68" s="370">
        <v>0.8</v>
      </c>
      <c r="L68" s="364"/>
      <c r="M68" s="365">
        <v>0</v>
      </c>
      <c r="N68" s="368">
        <v>1281.625</v>
      </c>
      <c r="O68" s="369">
        <v>12</v>
      </c>
      <c r="P68" s="440">
        <v>15379500</v>
      </c>
      <c r="Q68" s="382">
        <v>15379500</v>
      </c>
      <c r="R68" s="408" t="s">
        <v>125</v>
      </c>
    </row>
    <row r="69" spans="1:18">
      <c r="A69" s="372" t="s">
        <v>173</v>
      </c>
      <c r="B69" s="421" t="s">
        <v>155</v>
      </c>
      <c r="C69" s="366">
        <v>80</v>
      </c>
      <c r="D69" s="404">
        <v>86</v>
      </c>
      <c r="E69" s="378" t="s">
        <v>158</v>
      </c>
      <c r="F69" s="374">
        <v>86</v>
      </c>
      <c r="G69" s="375"/>
      <c r="H69" s="362">
        <v>86</v>
      </c>
      <c r="I69" s="374">
        <v>2</v>
      </c>
      <c r="J69" s="433">
        <v>0</v>
      </c>
      <c r="K69" s="379">
        <v>1</v>
      </c>
      <c r="L69" s="376"/>
      <c r="M69" s="365">
        <v>0</v>
      </c>
      <c r="N69" s="374">
        <v>172</v>
      </c>
      <c r="O69" s="375">
        <v>12</v>
      </c>
      <c r="P69" s="443">
        <v>2064000</v>
      </c>
      <c r="Q69" s="382">
        <v>2064000</v>
      </c>
      <c r="R69" s="408" t="s">
        <v>125</v>
      </c>
    </row>
    <row r="70" spans="1:18">
      <c r="A70" s="372" t="s">
        <v>174</v>
      </c>
      <c r="B70" s="421" t="s">
        <v>155</v>
      </c>
      <c r="C70" s="373">
        <v>86</v>
      </c>
      <c r="D70" s="409">
        <v>91.5</v>
      </c>
      <c r="E70" s="378" t="s">
        <v>160</v>
      </c>
      <c r="F70" s="374"/>
      <c r="G70" s="374">
        <v>91.5</v>
      </c>
      <c r="H70" s="362">
        <v>91.5</v>
      </c>
      <c r="I70" s="374">
        <v>2.5</v>
      </c>
      <c r="J70" s="433">
        <v>0.5</v>
      </c>
      <c r="K70" s="379">
        <v>0.8</v>
      </c>
      <c r="L70" s="364">
        <v>9000</v>
      </c>
      <c r="M70" s="365">
        <v>658800</v>
      </c>
      <c r="N70" s="374"/>
      <c r="O70" s="375"/>
      <c r="P70" s="443">
        <v>0</v>
      </c>
      <c r="Q70" s="382">
        <v>658800</v>
      </c>
      <c r="R70" s="408"/>
    </row>
    <row r="71" spans="1:18" ht="15.75" thickBot="1">
      <c r="A71" s="372" t="s">
        <v>175</v>
      </c>
      <c r="B71" s="422" t="s">
        <v>169</v>
      </c>
      <c r="C71" s="373">
        <v>159</v>
      </c>
      <c r="D71" s="380">
        <v>170.5</v>
      </c>
      <c r="E71" s="367" t="s">
        <v>160</v>
      </c>
      <c r="F71" s="374">
        <v>170.5</v>
      </c>
      <c r="G71" s="375"/>
      <c r="H71" s="362">
        <v>170.5</v>
      </c>
      <c r="I71" s="374">
        <v>5</v>
      </c>
      <c r="J71" s="433">
        <v>0</v>
      </c>
      <c r="K71" s="379">
        <v>1</v>
      </c>
      <c r="L71" s="364">
        <v>35000</v>
      </c>
      <c r="M71" s="365">
        <v>5967500</v>
      </c>
      <c r="N71" s="374"/>
      <c r="O71" s="375"/>
      <c r="P71" s="443">
        <v>0</v>
      </c>
      <c r="Q71" s="382">
        <v>5967500</v>
      </c>
      <c r="R71" s="381"/>
    </row>
    <row r="72" spans="1:18" ht="15.75" thickBot="1">
      <c r="A72" s="383" t="s">
        <v>25</v>
      </c>
      <c r="B72" s="423" t="s">
        <v>176</v>
      </c>
      <c r="C72" s="384">
        <v>2717</v>
      </c>
      <c r="D72" s="384">
        <v>8080.7199999999993</v>
      </c>
      <c r="E72" s="385"/>
      <c r="F72" s="410">
        <v>4238.57</v>
      </c>
      <c r="G72" s="410">
        <v>3413.15</v>
      </c>
      <c r="H72" s="410">
        <v>7651.7199999999993</v>
      </c>
      <c r="I72" s="386"/>
      <c r="J72" s="387"/>
      <c r="K72" s="388"/>
      <c r="L72" s="389"/>
      <c r="M72" s="390">
        <v>107656800</v>
      </c>
      <c r="N72" s="390">
        <v>6523.625</v>
      </c>
      <c r="O72" s="390"/>
      <c r="P72" s="390">
        <v>92443500</v>
      </c>
      <c r="Q72" s="391">
        <v>200100300</v>
      </c>
      <c r="R72" s="402"/>
    </row>
    <row r="73" spans="1:18" ht="16.5" thickBot="1">
      <c r="A73" s="397" t="s">
        <v>177</v>
      </c>
      <c r="B73" s="424"/>
      <c r="C73" s="1828">
        <v>200100300</v>
      </c>
      <c r="D73" s="1828"/>
      <c r="E73" s="1828"/>
      <c r="F73" s="398"/>
      <c r="G73" s="398"/>
      <c r="H73" s="398"/>
      <c r="I73" s="398"/>
      <c r="J73" s="398"/>
      <c r="K73" s="398"/>
      <c r="L73" s="399"/>
      <c r="M73" s="399"/>
      <c r="N73" s="399"/>
      <c r="O73" s="399"/>
      <c r="P73" s="399"/>
      <c r="Q73" s="399"/>
      <c r="R73" s="400"/>
    </row>
    <row r="74" spans="1:18" ht="30">
      <c r="A74" s="327" t="s">
        <v>128</v>
      </c>
      <c r="B74" s="319"/>
      <c r="C74" s="425"/>
      <c r="D74" s="324"/>
      <c r="E74" s="318"/>
      <c r="F74" s="327" t="s">
        <v>129</v>
      </c>
      <c r="G74" s="319"/>
      <c r="H74" s="319"/>
      <c r="I74" s="416"/>
      <c r="J74" s="322" t="s">
        <v>130</v>
      </c>
      <c r="K74" s="319"/>
      <c r="L74" s="319"/>
      <c r="M74" s="320"/>
      <c r="N74" s="327" t="s">
        <v>131</v>
      </c>
      <c r="O74" s="320"/>
      <c r="P74" s="320"/>
      <c r="Q74" s="320"/>
      <c r="R74" s="319"/>
    </row>
    <row r="75" spans="1:18" ht="30">
      <c r="A75" s="327"/>
      <c r="B75" s="319"/>
      <c r="C75" s="425"/>
      <c r="D75" s="324"/>
      <c r="E75" s="318"/>
      <c r="F75" s="327"/>
      <c r="G75" s="319"/>
      <c r="H75" s="319"/>
      <c r="I75" s="416"/>
      <c r="J75" s="322"/>
      <c r="K75" s="319"/>
      <c r="L75" s="319"/>
      <c r="M75" s="320"/>
      <c r="N75" s="327"/>
      <c r="O75" s="320"/>
      <c r="P75" s="320"/>
      <c r="Q75" s="320"/>
      <c r="R75" s="319"/>
    </row>
    <row r="76" spans="1:18" ht="15.75">
      <c r="A76" s="426"/>
      <c r="B76" s="325"/>
      <c r="C76" s="415" t="s">
        <v>178</v>
      </c>
      <c r="D76" s="326"/>
      <c r="E76" s="427"/>
      <c r="F76" s="426"/>
      <c r="G76" s="428" t="s">
        <v>133</v>
      </c>
      <c r="H76" s="429"/>
      <c r="I76" s="430"/>
      <c r="J76" s="426"/>
      <c r="K76" s="426"/>
      <c r="L76" s="432" t="s">
        <v>134</v>
      </c>
      <c r="M76" s="426"/>
      <c r="N76" s="426"/>
      <c r="O76" s="429"/>
      <c r="P76" s="431" t="s">
        <v>135</v>
      </c>
      <c r="Q76" s="429"/>
      <c r="R76" s="426"/>
    </row>
    <row r="77" spans="1:18">
      <c r="A77" s="327"/>
      <c r="B77" s="396"/>
      <c r="C77" s="395" t="s">
        <v>179</v>
      </c>
      <c r="D77" s="395"/>
      <c r="E77" s="327"/>
      <c r="F77" s="327"/>
      <c r="G77" s="325" t="s">
        <v>137</v>
      </c>
      <c r="H77" s="328"/>
      <c r="I77" s="417"/>
      <c r="J77" s="325"/>
      <c r="K77" s="327"/>
      <c r="L77" s="336" t="s">
        <v>138</v>
      </c>
      <c r="M77" s="325"/>
      <c r="N77" s="327"/>
      <c r="O77" s="328"/>
      <c r="P77" s="328" t="s">
        <v>139</v>
      </c>
      <c r="Q77" s="328"/>
      <c r="R77" s="325"/>
    </row>
    <row r="78" spans="1:18" ht="23.25">
      <c r="A78" s="330" t="s">
        <v>140</v>
      </c>
      <c r="B78" s="331"/>
      <c r="C78" s="321"/>
      <c r="D78" s="329"/>
      <c r="E78" s="330"/>
      <c r="F78" s="330" t="s">
        <v>141</v>
      </c>
      <c r="G78" s="331"/>
      <c r="H78" s="331"/>
      <c r="I78" s="418"/>
      <c r="J78" s="331"/>
      <c r="K78" s="330" t="s">
        <v>180</v>
      </c>
      <c r="L78" s="331"/>
      <c r="M78" s="332"/>
      <c r="N78" s="330" t="s">
        <v>143</v>
      </c>
      <c r="O78" s="332"/>
      <c r="P78" s="332" t="s">
        <v>144</v>
      </c>
      <c r="Q78" s="332"/>
      <c r="R78" s="331"/>
    </row>
    <row r="81" spans="1:23" ht="27">
      <c r="A81" s="1816" t="s">
        <v>181</v>
      </c>
      <c r="B81" s="1816"/>
      <c r="C81" s="1816"/>
      <c r="D81" s="1816"/>
      <c r="E81" s="1816"/>
      <c r="F81" s="1816"/>
      <c r="G81" s="1816"/>
      <c r="H81" s="1816"/>
      <c r="I81" s="1816"/>
      <c r="J81" s="1816"/>
      <c r="K81" s="1816"/>
      <c r="L81" s="1816"/>
      <c r="M81" s="1816"/>
      <c r="N81" s="1816"/>
      <c r="O81" s="1816"/>
      <c r="P81" s="1816"/>
      <c r="Q81" s="1816"/>
      <c r="R81" s="1816"/>
      <c r="S81" s="1816"/>
      <c r="T81" s="1816"/>
      <c r="U81" s="1816"/>
      <c r="V81" s="1816"/>
      <c r="W81" s="1816"/>
    </row>
    <row r="82" spans="1:23" ht="15.75">
      <c r="A82" s="1779" t="s">
        <v>182</v>
      </c>
      <c r="B82" s="1779"/>
      <c r="C82" s="1779"/>
      <c r="D82" s="1779"/>
      <c r="E82" s="1779"/>
      <c r="F82" s="1779"/>
      <c r="G82" s="1779"/>
      <c r="H82" s="1779"/>
      <c r="I82" s="1779"/>
      <c r="J82" s="1779"/>
      <c r="K82" s="1779"/>
      <c r="L82" s="1779"/>
      <c r="M82" s="1779"/>
      <c r="N82" s="1779"/>
      <c r="O82" s="1779"/>
      <c r="P82" s="1779"/>
      <c r="Q82" s="1779"/>
      <c r="R82" s="1779"/>
      <c r="S82" s="1779"/>
      <c r="T82" s="1779"/>
      <c r="U82" s="1779"/>
      <c r="V82" s="1779"/>
      <c r="W82" s="1779"/>
    </row>
    <row r="83" spans="1:23" ht="15.75">
      <c r="A83" s="1779" t="s">
        <v>183</v>
      </c>
      <c r="B83" s="1779"/>
      <c r="C83" s="1779"/>
      <c r="D83" s="1779"/>
      <c r="E83" s="1779"/>
      <c r="F83" s="1779"/>
      <c r="G83" s="1779"/>
      <c r="H83" s="1779"/>
      <c r="I83" s="1779"/>
      <c r="J83" s="1779"/>
      <c r="K83" s="1779"/>
      <c r="L83" s="1779"/>
      <c r="M83" s="1779"/>
      <c r="N83" s="1779"/>
      <c r="O83" s="1779"/>
      <c r="P83" s="1779"/>
      <c r="Q83" s="1779"/>
      <c r="R83" s="1779"/>
      <c r="S83" s="1779"/>
      <c r="T83" s="1779"/>
      <c r="U83" s="1779"/>
      <c r="V83" s="1779"/>
      <c r="W83" s="1779"/>
    </row>
    <row r="84" spans="1:23" ht="15.75">
      <c r="A84" s="1779" t="s">
        <v>184</v>
      </c>
      <c r="B84" s="1779"/>
      <c r="C84" s="1779"/>
      <c r="D84" s="1779"/>
      <c r="E84" s="1779"/>
      <c r="F84" s="1779"/>
      <c r="G84" s="1779"/>
      <c r="H84" s="1779"/>
      <c r="I84" s="1779"/>
      <c r="J84" s="1779"/>
      <c r="K84" s="1779"/>
      <c r="L84" s="1779"/>
      <c r="M84" s="1779"/>
      <c r="N84" s="1779"/>
      <c r="O84" s="1779"/>
      <c r="P84" s="1779"/>
      <c r="Q84" s="1779"/>
      <c r="R84" s="1779"/>
      <c r="S84" s="1779"/>
      <c r="T84" s="1779"/>
      <c r="U84" s="1779"/>
      <c r="V84" s="1779"/>
      <c r="W84" s="1779"/>
    </row>
    <row r="85" spans="1:23" ht="15.75">
      <c r="A85" s="1793" t="s">
        <v>185</v>
      </c>
      <c r="B85" s="1793"/>
      <c r="C85" s="1793"/>
      <c r="D85" s="1793"/>
      <c r="E85" s="1793"/>
      <c r="F85" s="1793"/>
      <c r="G85" s="1793"/>
      <c r="H85" s="1793"/>
      <c r="I85" s="1793"/>
      <c r="J85" s="1793"/>
      <c r="K85" s="1793"/>
      <c r="L85" s="1793"/>
      <c r="M85" s="1793"/>
      <c r="N85" s="1793"/>
      <c r="O85" s="1793"/>
      <c r="P85" s="1793"/>
      <c r="Q85" s="1793"/>
      <c r="R85" s="1793"/>
      <c r="S85" s="1793"/>
      <c r="T85" s="1793"/>
      <c r="U85" s="1793"/>
      <c r="V85" s="1793"/>
      <c r="W85" s="1793"/>
    </row>
    <row r="86" spans="1:23" ht="18.75" thickBot="1">
      <c r="A86" s="449"/>
      <c r="B86" s="528"/>
      <c r="C86" s="512"/>
      <c r="D86" s="512"/>
      <c r="E86" s="512"/>
      <c r="F86" s="512"/>
      <c r="G86" s="512"/>
      <c r="H86" s="512"/>
      <c r="I86" s="512"/>
      <c r="J86" s="512"/>
      <c r="K86" s="521"/>
      <c r="L86" s="521"/>
      <c r="M86" s="521"/>
      <c r="N86" s="449"/>
      <c r="O86" s="449"/>
      <c r="P86" s="449"/>
      <c r="Q86" s="449"/>
      <c r="R86" s="449"/>
      <c r="S86" s="449"/>
      <c r="T86" s="449"/>
      <c r="U86" s="449"/>
      <c r="V86" s="449"/>
      <c r="W86" s="449"/>
    </row>
    <row r="87" spans="1:23" ht="18">
      <c r="A87" s="459" t="s">
        <v>67</v>
      </c>
      <c r="B87" s="529"/>
      <c r="C87" s="513"/>
      <c r="D87" s="513"/>
      <c r="E87" s="513"/>
      <c r="F87" s="513"/>
      <c r="G87" s="513"/>
      <c r="H87" s="513"/>
      <c r="I87" s="513"/>
      <c r="J87" s="513"/>
      <c r="K87" s="522"/>
      <c r="L87" s="522"/>
      <c r="M87" s="522"/>
      <c r="N87" s="450"/>
      <c r="O87" s="450"/>
      <c r="P87" s="450"/>
      <c r="Q87" s="460"/>
      <c r="R87" s="461" t="s">
        <v>68</v>
      </c>
      <c r="S87" s="450"/>
      <c r="T87" s="450"/>
      <c r="U87" s="450"/>
      <c r="V87" s="450"/>
      <c r="W87" s="451"/>
    </row>
    <row r="88" spans="1:23" ht="18">
      <c r="A88" s="462" t="s">
        <v>186</v>
      </c>
      <c r="B88" s="530"/>
      <c r="C88" s="514"/>
      <c r="D88" s="514"/>
      <c r="E88" s="514"/>
      <c r="F88" s="514"/>
      <c r="G88" s="514"/>
      <c r="H88" s="514"/>
      <c r="I88" s="514"/>
      <c r="J88" s="514"/>
      <c r="K88" s="523"/>
      <c r="L88" s="523"/>
      <c r="M88" s="523"/>
      <c r="N88" s="453"/>
      <c r="O88" s="453"/>
      <c r="P88" s="453"/>
      <c r="Q88" s="463"/>
      <c r="R88" s="464" t="s">
        <v>70</v>
      </c>
      <c r="S88" s="452"/>
      <c r="T88" s="452" t="s">
        <v>71</v>
      </c>
      <c r="U88" s="453"/>
      <c r="V88" s="453"/>
      <c r="W88" s="454"/>
    </row>
    <row r="89" spans="1:23" ht="24.75">
      <c r="A89" s="581" t="s">
        <v>72</v>
      </c>
      <c r="B89" s="530"/>
      <c r="C89" s="514"/>
      <c r="D89" s="514"/>
      <c r="E89" s="514"/>
      <c r="F89" s="514"/>
      <c r="G89" s="514"/>
      <c r="H89" s="514"/>
      <c r="I89" s="514"/>
      <c r="J89" s="514"/>
      <c r="K89" s="523"/>
      <c r="L89" s="523"/>
      <c r="M89" s="523"/>
      <c r="N89" s="453"/>
      <c r="O89" s="453"/>
      <c r="P89" s="453"/>
      <c r="Q89" s="463"/>
      <c r="R89" s="474" t="s">
        <v>73</v>
      </c>
      <c r="S89" s="455"/>
      <c r="T89" s="453"/>
      <c r="U89" s="456" t="s">
        <v>74</v>
      </c>
      <c r="V89" s="456"/>
      <c r="W89" s="454"/>
    </row>
    <row r="90" spans="1:23" ht="18">
      <c r="A90" s="462" t="s">
        <v>187</v>
      </c>
      <c r="B90" s="530"/>
      <c r="C90" s="514"/>
      <c r="D90" s="514"/>
      <c r="E90" s="514"/>
      <c r="F90" s="514"/>
      <c r="G90" s="514"/>
      <c r="H90" s="514"/>
      <c r="I90" s="514"/>
      <c r="J90" s="514"/>
      <c r="K90" s="523"/>
      <c r="L90" s="523"/>
      <c r="M90" s="523"/>
      <c r="N90" s="453"/>
      <c r="O90" s="453"/>
      <c r="P90" s="453"/>
      <c r="Q90" s="463"/>
      <c r="R90" s="474" t="s">
        <v>75</v>
      </c>
      <c r="S90" s="455"/>
      <c r="T90" s="453"/>
      <c r="U90" s="456" t="s">
        <v>76</v>
      </c>
      <c r="V90" s="456"/>
      <c r="W90" s="454"/>
    </row>
    <row r="91" spans="1:23" ht="16.5">
      <c r="A91" s="465"/>
      <c r="B91" s="530"/>
      <c r="C91" s="514"/>
      <c r="D91" s="514"/>
      <c r="E91" s="514"/>
      <c r="F91" s="514"/>
      <c r="G91" s="514"/>
      <c r="H91" s="514"/>
      <c r="I91" s="514"/>
      <c r="J91" s="514"/>
      <c r="K91" s="523"/>
      <c r="L91" s="523"/>
      <c r="M91" s="523"/>
      <c r="N91" s="453"/>
      <c r="O91" s="453"/>
      <c r="P91" s="453"/>
      <c r="Q91" s="463"/>
      <c r="R91" s="474" t="s">
        <v>77</v>
      </c>
      <c r="S91" s="455"/>
      <c r="T91" s="453"/>
      <c r="U91" s="456" t="s">
        <v>78</v>
      </c>
      <c r="V91" s="456"/>
      <c r="W91" s="454"/>
    </row>
    <row r="92" spans="1:23" ht="17.25" thickBot="1">
      <c r="A92" s="466"/>
      <c r="B92" s="531"/>
      <c r="C92" s="515"/>
      <c r="D92" s="515"/>
      <c r="E92" s="515"/>
      <c r="F92" s="515"/>
      <c r="G92" s="515"/>
      <c r="H92" s="515"/>
      <c r="I92" s="515"/>
      <c r="J92" s="515"/>
      <c r="K92" s="524"/>
      <c r="L92" s="524"/>
      <c r="M92" s="524"/>
      <c r="N92" s="457"/>
      <c r="O92" s="457"/>
      <c r="P92" s="457"/>
      <c r="Q92" s="467"/>
      <c r="R92" s="468"/>
      <c r="S92" s="457"/>
      <c r="T92" s="457"/>
      <c r="U92" s="457"/>
      <c r="V92" s="457"/>
      <c r="W92" s="458"/>
    </row>
    <row r="93" spans="1:23">
      <c r="A93" s="1780" t="s">
        <v>79</v>
      </c>
      <c r="B93" s="1773" t="s">
        <v>188</v>
      </c>
      <c r="C93" s="1783" t="s">
        <v>189</v>
      </c>
      <c r="D93" s="1786" t="s">
        <v>190</v>
      </c>
      <c r="E93" s="1789" t="s">
        <v>191</v>
      </c>
      <c r="F93" s="1790"/>
      <c r="G93" s="1783" t="s">
        <v>84</v>
      </c>
      <c r="H93" s="1789" t="s">
        <v>85</v>
      </c>
      <c r="I93" s="1799"/>
      <c r="J93" s="1790"/>
      <c r="K93" s="1801" t="s">
        <v>192</v>
      </c>
      <c r="L93" s="1802"/>
      <c r="M93" s="1803"/>
      <c r="N93" s="1769" t="s">
        <v>86</v>
      </c>
      <c r="O93" s="1770"/>
      <c r="P93" s="1773" t="s">
        <v>87</v>
      </c>
      <c r="Q93" s="1776" t="s">
        <v>88</v>
      </c>
      <c r="R93" s="1777"/>
      <c r="S93" s="1777"/>
      <c r="T93" s="1777"/>
      <c r="U93" s="1777"/>
      <c r="V93" s="1778"/>
      <c r="W93" s="1794" t="s">
        <v>59</v>
      </c>
    </row>
    <row r="94" spans="1:23">
      <c r="A94" s="1781"/>
      <c r="B94" s="1774"/>
      <c r="C94" s="1784"/>
      <c r="D94" s="1787"/>
      <c r="E94" s="1791"/>
      <c r="F94" s="1792"/>
      <c r="G94" s="1784"/>
      <c r="H94" s="1791"/>
      <c r="I94" s="1800"/>
      <c r="J94" s="1792"/>
      <c r="K94" s="1804"/>
      <c r="L94" s="1805"/>
      <c r="M94" s="1806"/>
      <c r="N94" s="1771"/>
      <c r="O94" s="1772"/>
      <c r="P94" s="1774"/>
      <c r="Q94" s="1774" t="s">
        <v>90</v>
      </c>
      <c r="R94" s="1774"/>
      <c r="S94" s="1774" t="s">
        <v>91</v>
      </c>
      <c r="T94" s="1774"/>
      <c r="U94" s="1774"/>
      <c r="V94" s="1797" t="s">
        <v>89</v>
      </c>
      <c r="W94" s="1795"/>
    </row>
    <row r="95" spans="1:23" ht="39" thickBot="1">
      <c r="A95" s="1782"/>
      <c r="B95" s="1775"/>
      <c r="C95" s="1785"/>
      <c r="D95" s="1788"/>
      <c r="E95" s="516" t="s">
        <v>193</v>
      </c>
      <c r="F95" s="516" t="s">
        <v>194</v>
      </c>
      <c r="G95" s="1785"/>
      <c r="H95" s="516" t="s">
        <v>92</v>
      </c>
      <c r="I95" s="516" t="s">
        <v>93</v>
      </c>
      <c r="J95" s="516" t="s">
        <v>25</v>
      </c>
      <c r="K95" s="525" t="s">
        <v>92</v>
      </c>
      <c r="L95" s="525" t="s">
        <v>93</v>
      </c>
      <c r="M95" s="525" t="s">
        <v>25</v>
      </c>
      <c r="N95" s="488" t="s">
        <v>94</v>
      </c>
      <c r="O95" s="488" t="s">
        <v>95</v>
      </c>
      <c r="P95" s="1775"/>
      <c r="Q95" s="489" t="s">
        <v>96</v>
      </c>
      <c r="R95" s="489" t="s">
        <v>97</v>
      </c>
      <c r="S95" s="489" t="s">
        <v>98</v>
      </c>
      <c r="T95" s="489" t="s">
        <v>153</v>
      </c>
      <c r="U95" s="489" t="s">
        <v>100</v>
      </c>
      <c r="V95" s="1798"/>
      <c r="W95" s="1796"/>
    </row>
    <row r="96" spans="1:23" ht="16.5">
      <c r="A96" s="536" t="s">
        <v>101</v>
      </c>
      <c r="B96" s="537" t="s">
        <v>102</v>
      </c>
      <c r="C96" s="538"/>
      <c r="D96" s="538" t="s">
        <v>103</v>
      </c>
      <c r="E96" s="538" t="s">
        <v>104</v>
      </c>
      <c r="F96" s="538" t="s">
        <v>105</v>
      </c>
      <c r="G96" s="538" t="s">
        <v>106</v>
      </c>
      <c r="H96" s="538" t="s">
        <v>107</v>
      </c>
      <c r="I96" s="538" t="s">
        <v>108</v>
      </c>
      <c r="J96" s="538" t="s">
        <v>109</v>
      </c>
      <c r="K96" s="539" t="s">
        <v>110</v>
      </c>
      <c r="L96" s="539" t="s">
        <v>111</v>
      </c>
      <c r="M96" s="540" t="s">
        <v>112</v>
      </c>
      <c r="N96" s="541" t="s">
        <v>113</v>
      </c>
      <c r="O96" s="541" t="s">
        <v>114</v>
      </c>
      <c r="P96" s="542" t="s">
        <v>115</v>
      </c>
      <c r="Q96" s="541" t="s">
        <v>116</v>
      </c>
      <c r="R96" s="542" t="s">
        <v>117</v>
      </c>
      <c r="S96" s="542" t="s">
        <v>118</v>
      </c>
      <c r="T96" s="543" t="s">
        <v>119</v>
      </c>
      <c r="U96" s="544" t="s">
        <v>195</v>
      </c>
      <c r="V96" s="544" t="s">
        <v>196</v>
      </c>
      <c r="W96" s="545" t="s">
        <v>197</v>
      </c>
    </row>
    <row r="97" spans="1:23" ht="16.5">
      <c r="A97" s="535" t="s">
        <v>154</v>
      </c>
      <c r="B97" s="546" t="s">
        <v>198</v>
      </c>
      <c r="C97" s="558" t="s">
        <v>199</v>
      </c>
      <c r="D97" s="564">
        <v>494</v>
      </c>
      <c r="E97" s="564">
        <v>247</v>
      </c>
      <c r="F97" s="572">
        <v>74218</v>
      </c>
      <c r="G97" s="568" t="s">
        <v>200</v>
      </c>
      <c r="H97" s="548">
        <v>247</v>
      </c>
      <c r="I97" s="548"/>
      <c r="J97" s="548">
        <v>247</v>
      </c>
      <c r="K97" s="547">
        <v>74218</v>
      </c>
      <c r="L97" s="548"/>
      <c r="M97" s="565">
        <v>74218</v>
      </c>
      <c r="N97" s="579">
        <v>0.18</v>
      </c>
      <c r="O97" s="548">
        <v>0</v>
      </c>
      <c r="P97" s="563">
        <v>1</v>
      </c>
      <c r="Q97" s="548"/>
      <c r="R97" s="548"/>
      <c r="S97" s="492">
        <v>44.46</v>
      </c>
      <c r="T97" s="548">
        <v>15.67</v>
      </c>
      <c r="U97" s="550">
        <v>696688.2</v>
      </c>
      <c r="V97" s="492">
        <v>696688.2</v>
      </c>
      <c r="W97" s="548"/>
    </row>
    <row r="98" spans="1:23" ht="21">
      <c r="A98" s="535"/>
      <c r="B98" s="546" t="s">
        <v>201</v>
      </c>
      <c r="C98" s="561"/>
      <c r="D98" s="564">
        <v>19</v>
      </c>
      <c r="E98" s="564">
        <v>9.5</v>
      </c>
      <c r="F98" s="572"/>
      <c r="G98" s="568" t="s">
        <v>200</v>
      </c>
      <c r="H98" s="548">
        <v>9.5</v>
      </c>
      <c r="I98" s="548"/>
      <c r="J98" s="548">
        <v>9.5</v>
      </c>
      <c r="K98" s="547">
        <v>0</v>
      </c>
      <c r="L98" s="548"/>
      <c r="M98" s="565">
        <v>0</v>
      </c>
      <c r="N98" s="579">
        <v>15</v>
      </c>
      <c r="O98" s="548">
        <v>0</v>
      </c>
      <c r="P98" s="563">
        <v>1</v>
      </c>
      <c r="Q98" s="548"/>
      <c r="R98" s="548"/>
      <c r="S98" s="492">
        <v>142.5</v>
      </c>
      <c r="T98" s="548">
        <v>15</v>
      </c>
      <c r="U98" s="550">
        <v>2137500</v>
      </c>
      <c r="V98" s="551">
        <v>2137500</v>
      </c>
      <c r="W98" s="552" t="s">
        <v>202</v>
      </c>
    </row>
    <row r="99" spans="1:23" ht="15.75">
      <c r="A99" s="535"/>
      <c r="B99" s="546" t="s">
        <v>203</v>
      </c>
      <c r="C99" s="562"/>
      <c r="D99" s="564">
        <v>33</v>
      </c>
      <c r="E99" s="564">
        <v>66</v>
      </c>
      <c r="F99" s="572">
        <v>105000</v>
      </c>
      <c r="G99" s="553" t="s">
        <v>51</v>
      </c>
      <c r="H99" s="548">
        <v>15</v>
      </c>
      <c r="I99" s="548"/>
      <c r="J99" s="548">
        <v>15</v>
      </c>
      <c r="K99" s="549">
        <v>105000</v>
      </c>
      <c r="L99" s="548"/>
      <c r="M99" s="565">
        <v>105000</v>
      </c>
      <c r="N99" s="579">
        <v>18</v>
      </c>
      <c r="O99" s="548">
        <v>0</v>
      </c>
      <c r="P99" s="563">
        <v>1</v>
      </c>
      <c r="Q99" s="547">
        <v>211000</v>
      </c>
      <c r="R99" s="547">
        <v>3165000</v>
      </c>
      <c r="S99" s="492"/>
      <c r="T99" s="548"/>
      <c r="U99" s="550">
        <v>0</v>
      </c>
      <c r="V99" s="492">
        <v>3165000</v>
      </c>
      <c r="W99" s="548"/>
    </row>
    <row r="100" spans="1:23" ht="15.75">
      <c r="A100" s="535"/>
      <c r="B100" s="546" t="s">
        <v>204</v>
      </c>
      <c r="C100" s="562"/>
      <c r="D100" s="564">
        <v>70</v>
      </c>
      <c r="E100" s="564">
        <v>140</v>
      </c>
      <c r="F100" s="572">
        <v>14085</v>
      </c>
      <c r="G100" s="568" t="s">
        <v>200</v>
      </c>
      <c r="H100" s="548">
        <v>2</v>
      </c>
      <c r="I100" s="548"/>
      <c r="J100" s="548">
        <v>2</v>
      </c>
      <c r="K100" s="547">
        <v>14085</v>
      </c>
      <c r="L100" s="548"/>
      <c r="M100" s="565">
        <v>14085</v>
      </c>
      <c r="N100" s="579">
        <v>0.18</v>
      </c>
      <c r="O100" s="548">
        <v>0</v>
      </c>
      <c r="P100" s="563">
        <v>1</v>
      </c>
      <c r="Q100" s="548"/>
      <c r="R100" s="547"/>
      <c r="S100" s="492">
        <v>2535.2999999999997</v>
      </c>
      <c r="T100" s="548">
        <v>15.67</v>
      </c>
      <c r="U100" s="550">
        <v>39728150.999999993</v>
      </c>
      <c r="V100" s="550">
        <v>39728150.999999993</v>
      </c>
      <c r="W100" s="548"/>
    </row>
    <row r="101" spans="1:23" ht="16.5">
      <c r="A101" s="535" t="s">
        <v>163</v>
      </c>
      <c r="B101" s="546" t="s">
        <v>198</v>
      </c>
      <c r="C101" s="558" t="s">
        <v>199</v>
      </c>
      <c r="D101" s="570">
        <v>5</v>
      </c>
      <c r="E101" s="570">
        <v>20</v>
      </c>
      <c r="F101" s="573">
        <v>12000</v>
      </c>
      <c r="G101" s="553" t="s">
        <v>200</v>
      </c>
      <c r="H101" s="548">
        <v>10</v>
      </c>
      <c r="I101" s="548"/>
      <c r="J101" s="548">
        <v>10</v>
      </c>
      <c r="K101" s="549">
        <v>3000</v>
      </c>
      <c r="L101" s="490"/>
      <c r="M101" s="565">
        <v>3000</v>
      </c>
      <c r="N101" s="579">
        <v>0.18</v>
      </c>
      <c r="O101" s="548">
        <v>0</v>
      </c>
      <c r="P101" s="563">
        <v>1</v>
      </c>
      <c r="Q101" s="490"/>
      <c r="R101" s="578"/>
      <c r="S101" s="492">
        <v>1.7999999999999998</v>
      </c>
      <c r="T101" s="548">
        <v>15.67</v>
      </c>
      <c r="U101" s="550">
        <v>28205.999999999996</v>
      </c>
      <c r="V101" s="550">
        <v>28205.999999999996</v>
      </c>
      <c r="W101" s="555" t="s">
        <v>205</v>
      </c>
    </row>
    <row r="102" spans="1:23" ht="16.5">
      <c r="A102" s="535" t="s">
        <v>172</v>
      </c>
      <c r="B102" s="546" t="s">
        <v>198</v>
      </c>
      <c r="C102" s="558" t="s">
        <v>206</v>
      </c>
      <c r="D102" s="570">
        <v>21</v>
      </c>
      <c r="E102" s="570">
        <v>40</v>
      </c>
      <c r="F102" s="573">
        <v>12000</v>
      </c>
      <c r="G102" s="553" t="s">
        <v>200</v>
      </c>
      <c r="H102" s="548">
        <v>30.6</v>
      </c>
      <c r="I102" s="490"/>
      <c r="J102" s="548">
        <v>30.6</v>
      </c>
      <c r="K102" s="547">
        <v>12000</v>
      </c>
      <c r="L102" s="490"/>
      <c r="M102" s="565">
        <v>12000</v>
      </c>
      <c r="N102" s="579">
        <v>0.18</v>
      </c>
      <c r="O102" s="548">
        <v>0</v>
      </c>
      <c r="P102" s="563">
        <v>1</v>
      </c>
      <c r="Q102" s="490"/>
      <c r="R102" s="578"/>
      <c r="S102" s="492">
        <v>5.508</v>
      </c>
      <c r="T102" s="548">
        <v>15.67</v>
      </c>
      <c r="U102" s="550">
        <v>86310.36</v>
      </c>
      <c r="V102" s="550">
        <v>86310.36</v>
      </c>
      <c r="W102" s="490"/>
    </row>
    <row r="103" spans="1:23" ht="16.5">
      <c r="A103" s="535" t="s">
        <v>165</v>
      </c>
      <c r="B103" s="546" t="s">
        <v>198</v>
      </c>
      <c r="C103" s="558" t="s">
        <v>206</v>
      </c>
      <c r="D103" s="564">
        <v>408</v>
      </c>
      <c r="E103" s="564">
        <v>612.5</v>
      </c>
      <c r="F103" s="572">
        <v>183750</v>
      </c>
      <c r="G103" s="553" t="s">
        <v>200</v>
      </c>
      <c r="H103" s="548">
        <v>612.5</v>
      </c>
      <c r="I103" s="547"/>
      <c r="J103" s="548">
        <v>612.5</v>
      </c>
      <c r="K103" s="547">
        <v>183750</v>
      </c>
      <c r="L103" s="547"/>
      <c r="M103" s="565">
        <v>183750</v>
      </c>
      <c r="N103" s="579">
        <v>0.18</v>
      </c>
      <c r="O103" s="548">
        <v>0</v>
      </c>
      <c r="P103" s="563">
        <v>1</v>
      </c>
      <c r="Q103" s="548"/>
      <c r="R103" s="547"/>
      <c r="S103" s="492">
        <v>110.25</v>
      </c>
      <c r="T103" s="548">
        <v>15.67</v>
      </c>
      <c r="U103" s="550">
        <v>1727617.5</v>
      </c>
      <c r="V103" s="492">
        <v>1727617.5</v>
      </c>
      <c r="W103" s="554"/>
    </row>
    <row r="104" spans="1:23" ht="38.25">
      <c r="A104" s="535"/>
      <c r="B104" s="546" t="s">
        <v>203</v>
      </c>
      <c r="C104" s="562"/>
      <c r="D104" s="570">
        <v>5</v>
      </c>
      <c r="E104" s="570">
        <v>10</v>
      </c>
      <c r="F104" s="573">
        <v>4000</v>
      </c>
      <c r="G104" s="553" t="s">
        <v>51</v>
      </c>
      <c r="H104" s="548">
        <v>10</v>
      </c>
      <c r="I104" s="548"/>
      <c r="J104" s="548">
        <v>10</v>
      </c>
      <c r="K104" s="547">
        <v>4000</v>
      </c>
      <c r="L104" s="490"/>
      <c r="M104" s="565">
        <v>4000</v>
      </c>
      <c r="N104" s="579">
        <v>18</v>
      </c>
      <c r="O104" s="548">
        <v>0</v>
      </c>
      <c r="P104" s="563">
        <v>1</v>
      </c>
      <c r="Q104" s="547">
        <v>211000</v>
      </c>
      <c r="R104" s="547">
        <v>2110000</v>
      </c>
      <c r="S104" s="492"/>
      <c r="T104" s="548"/>
      <c r="U104" s="550">
        <v>0</v>
      </c>
      <c r="V104" s="492">
        <v>2110000</v>
      </c>
      <c r="W104" s="554" t="s">
        <v>207</v>
      </c>
    </row>
    <row r="105" spans="1:23" ht="15.75">
      <c r="A105" s="535"/>
      <c r="B105" s="546" t="s">
        <v>204</v>
      </c>
      <c r="C105" s="561"/>
      <c r="D105" s="570">
        <v>2</v>
      </c>
      <c r="E105" s="570">
        <v>145</v>
      </c>
      <c r="F105" s="573">
        <v>14515</v>
      </c>
      <c r="G105" s="553" t="s">
        <v>200</v>
      </c>
      <c r="H105" s="548">
        <v>1.4</v>
      </c>
      <c r="I105" s="490"/>
      <c r="J105" s="548">
        <v>30.6</v>
      </c>
      <c r="K105" s="547">
        <v>14515</v>
      </c>
      <c r="L105" s="490"/>
      <c r="M105" s="565">
        <v>14515</v>
      </c>
      <c r="N105" s="579">
        <v>0.18</v>
      </c>
      <c r="O105" s="548">
        <v>0</v>
      </c>
      <c r="P105" s="563">
        <v>1</v>
      </c>
      <c r="Q105" s="578"/>
      <c r="R105" s="578"/>
      <c r="S105" s="492">
        <v>2612.6999999999998</v>
      </c>
      <c r="T105" s="548">
        <v>15.67</v>
      </c>
      <c r="U105" s="550">
        <v>40941009</v>
      </c>
      <c r="V105" s="550">
        <v>40941009</v>
      </c>
      <c r="W105" s="490"/>
    </row>
    <row r="106" spans="1:23" ht="15.75">
      <c r="A106" s="535"/>
      <c r="B106" s="546" t="s">
        <v>208</v>
      </c>
      <c r="C106" s="562"/>
      <c r="D106" s="571">
        <v>1</v>
      </c>
      <c r="E106" s="576">
        <v>0.8</v>
      </c>
      <c r="F106" s="574"/>
      <c r="G106" s="491" t="s">
        <v>51</v>
      </c>
      <c r="H106" s="492">
        <v>0.8</v>
      </c>
      <c r="I106" s="493"/>
      <c r="J106" s="492">
        <v>0.8</v>
      </c>
      <c r="K106" s="550">
        <v>0.8</v>
      </c>
      <c r="L106" s="493"/>
      <c r="M106" s="577">
        <v>0.8</v>
      </c>
      <c r="N106" s="577">
        <v>1</v>
      </c>
      <c r="O106" s="492">
        <v>0</v>
      </c>
      <c r="P106" s="563">
        <v>1</v>
      </c>
      <c r="Q106" s="551">
        <v>319762</v>
      </c>
      <c r="R106" s="551">
        <v>255809.6</v>
      </c>
      <c r="S106" s="492"/>
      <c r="T106" s="492"/>
      <c r="U106" s="550"/>
      <c r="V106" s="550">
        <v>255809.6</v>
      </c>
      <c r="W106" s="492" t="s">
        <v>207</v>
      </c>
    </row>
    <row r="107" spans="1:23" ht="16.5">
      <c r="A107" s="535" t="s">
        <v>209</v>
      </c>
      <c r="B107" s="546" t="s">
        <v>198</v>
      </c>
      <c r="C107" s="558"/>
      <c r="D107" s="564">
        <v>18</v>
      </c>
      <c r="E107" s="564">
        <v>27.5</v>
      </c>
      <c r="F107" s="572">
        <v>5265</v>
      </c>
      <c r="G107" s="553" t="s">
        <v>200</v>
      </c>
      <c r="H107" s="548">
        <v>27.5</v>
      </c>
      <c r="I107" s="547"/>
      <c r="J107" s="548">
        <v>27.5</v>
      </c>
      <c r="K107" s="547">
        <v>5265</v>
      </c>
      <c r="L107" s="547"/>
      <c r="M107" s="565">
        <v>5265</v>
      </c>
      <c r="N107" s="579">
        <v>0.18</v>
      </c>
      <c r="O107" s="548">
        <v>0</v>
      </c>
      <c r="P107" s="563">
        <v>1</v>
      </c>
      <c r="Q107" s="547"/>
      <c r="R107" s="547"/>
      <c r="S107" s="492">
        <v>4.95</v>
      </c>
      <c r="T107" s="548">
        <v>15.67</v>
      </c>
      <c r="U107" s="550">
        <v>77566.5</v>
      </c>
      <c r="V107" s="492">
        <v>77566.5</v>
      </c>
      <c r="W107" s="554"/>
    </row>
    <row r="108" spans="1:23" ht="15.75">
      <c r="A108" s="535"/>
      <c r="B108" s="546" t="s">
        <v>201</v>
      </c>
      <c r="C108" s="561"/>
      <c r="D108" s="564">
        <v>9</v>
      </c>
      <c r="E108" s="564">
        <v>21.6</v>
      </c>
      <c r="F108" s="572"/>
      <c r="G108" s="553" t="s">
        <v>51</v>
      </c>
      <c r="H108" s="548">
        <v>18</v>
      </c>
      <c r="I108" s="547"/>
      <c r="J108" s="548">
        <v>18</v>
      </c>
      <c r="K108" s="547">
        <v>0</v>
      </c>
      <c r="L108" s="547"/>
      <c r="M108" s="565">
        <v>0</v>
      </c>
      <c r="N108" s="579">
        <v>15</v>
      </c>
      <c r="O108" s="548">
        <v>0</v>
      </c>
      <c r="P108" s="563">
        <v>1</v>
      </c>
      <c r="Q108" s="547"/>
      <c r="R108" s="547"/>
      <c r="S108" s="492">
        <v>270</v>
      </c>
      <c r="T108" s="548">
        <v>15</v>
      </c>
      <c r="U108" s="550">
        <v>4050000</v>
      </c>
      <c r="V108" s="551">
        <v>4050000</v>
      </c>
      <c r="W108" s="554"/>
    </row>
    <row r="109" spans="1:23" ht="15.75">
      <c r="A109" s="535"/>
      <c r="B109" s="546" t="s">
        <v>208</v>
      </c>
      <c r="C109" s="562"/>
      <c r="D109" s="571">
        <v>1</v>
      </c>
      <c r="E109" s="571"/>
      <c r="F109" s="574"/>
      <c r="G109" s="569" t="s">
        <v>51</v>
      </c>
      <c r="H109" s="492">
        <v>1</v>
      </c>
      <c r="I109" s="492"/>
      <c r="J109" s="492">
        <v>1</v>
      </c>
      <c r="K109" s="547">
        <v>2500</v>
      </c>
      <c r="L109" s="493"/>
      <c r="M109" s="566">
        <v>2500</v>
      </c>
      <c r="N109" s="577">
        <v>1</v>
      </c>
      <c r="O109" s="492">
        <v>0</v>
      </c>
      <c r="P109" s="563">
        <v>1</v>
      </c>
      <c r="Q109" s="551">
        <v>319762</v>
      </c>
      <c r="R109" s="551">
        <v>319762</v>
      </c>
      <c r="S109" s="492"/>
      <c r="T109" s="492"/>
      <c r="U109" s="550">
        <v>0</v>
      </c>
      <c r="V109" s="550">
        <v>319762</v>
      </c>
      <c r="W109" s="492" t="s">
        <v>207</v>
      </c>
    </row>
    <row r="110" spans="1:23" ht="16.5">
      <c r="A110" s="535" t="s">
        <v>168</v>
      </c>
      <c r="B110" s="546" t="s">
        <v>198</v>
      </c>
      <c r="C110" s="558" t="s">
        <v>210</v>
      </c>
      <c r="D110" s="564">
        <v>60</v>
      </c>
      <c r="E110" s="564">
        <v>120</v>
      </c>
      <c r="F110" s="572">
        <v>38173</v>
      </c>
      <c r="G110" s="553" t="s">
        <v>200</v>
      </c>
      <c r="H110" s="548">
        <v>120</v>
      </c>
      <c r="I110" s="547"/>
      <c r="J110" s="548">
        <v>120</v>
      </c>
      <c r="K110" s="547">
        <v>38173</v>
      </c>
      <c r="L110" s="547"/>
      <c r="M110" s="565">
        <v>38173</v>
      </c>
      <c r="N110" s="579">
        <v>0.18</v>
      </c>
      <c r="O110" s="548">
        <v>0</v>
      </c>
      <c r="P110" s="563">
        <v>1</v>
      </c>
      <c r="Q110" s="547"/>
      <c r="R110" s="547"/>
      <c r="S110" s="492">
        <v>21.599999999999998</v>
      </c>
      <c r="T110" s="548">
        <v>15.67</v>
      </c>
      <c r="U110" s="550">
        <v>338471.99999999994</v>
      </c>
      <c r="V110" s="492">
        <v>338471.99999999994</v>
      </c>
      <c r="W110" s="554"/>
    </row>
    <row r="111" spans="1:23" ht="15.75">
      <c r="A111" s="535"/>
      <c r="B111" s="546" t="s">
        <v>201</v>
      </c>
      <c r="C111" s="562"/>
      <c r="D111" s="570">
        <v>5</v>
      </c>
      <c r="E111" s="570">
        <v>17</v>
      </c>
      <c r="F111" s="573">
        <v>1780</v>
      </c>
      <c r="G111" s="553" t="s">
        <v>200</v>
      </c>
      <c r="H111" s="548">
        <v>10</v>
      </c>
      <c r="I111" s="548"/>
      <c r="J111" s="548">
        <v>10</v>
      </c>
      <c r="K111" s="547">
        <v>1780</v>
      </c>
      <c r="L111" s="490"/>
      <c r="M111" s="565">
        <v>1780</v>
      </c>
      <c r="N111" s="579">
        <v>0.18</v>
      </c>
      <c r="O111" s="548">
        <v>0</v>
      </c>
      <c r="P111" s="563">
        <v>1</v>
      </c>
      <c r="Q111" s="578"/>
      <c r="R111" s="578"/>
      <c r="S111" s="492">
        <v>320.39999999999998</v>
      </c>
      <c r="T111" s="548">
        <v>15.67</v>
      </c>
      <c r="U111" s="550">
        <v>5020668</v>
      </c>
      <c r="V111" s="492">
        <v>5020668</v>
      </c>
      <c r="W111" s="555"/>
    </row>
    <row r="112" spans="1:23" ht="42">
      <c r="A112" s="535"/>
      <c r="B112" s="546" t="s">
        <v>204</v>
      </c>
      <c r="C112" s="561"/>
      <c r="D112" s="570">
        <v>25</v>
      </c>
      <c r="E112" s="570">
        <v>100</v>
      </c>
      <c r="F112" s="573"/>
      <c r="G112" s="553" t="s">
        <v>200</v>
      </c>
      <c r="H112" s="548">
        <v>50</v>
      </c>
      <c r="I112" s="490"/>
      <c r="J112" s="548">
        <v>50</v>
      </c>
      <c r="K112" s="547">
        <v>50000</v>
      </c>
      <c r="L112" s="490"/>
      <c r="M112" s="565">
        <v>50000</v>
      </c>
      <c r="N112" s="579">
        <v>15</v>
      </c>
      <c r="O112" s="548">
        <v>0</v>
      </c>
      <c r="P112" s="563">
        <v>1</v>
      </c>
      <c r="Q112" s="578"/>
      <c r="R112" s="578"/>
      <c r="S112" s="492">
        <v>750</v>
      </c>
      <c r="T112" s="548">
        <v>15</v>
      </c>
      <c r="U112" s="550">
        <v>11250000</v>
      </c>
      <c r="V112" s="551">
        <v>11250000</v>
      </c>
      <c r="W112" s="552" t="s">
        <v>211</v>
      </c>
    </row>
    <row r="113" spans="1:23" ht="21">
      <c r="A113" s="535" t="s">
        <v>171</v>
      </c>
      <c r="B113" s="546" t="s">
        <v>201</v>
      </c>
      <c r="C113" s="561"/>
      <c r="D113" s="570">
        <v>5</v>
      </c>
      <c r="E113" s="564">
        <v>9</v>
      </c>
      <c r="F113" s="573"/>
      <c r="G113" s="553" t="s">
        <v>200</v>
      </c>
      <c r="H113" s="548">
        <v>9</v>
      </c>
      <c r="I113" s="548"/>
      <c r="J113" s="548">
        <v>9</v>
      </c>
      <c r="K113" s="547">
        <v>0</v>
      </c>
      <c r="L113" s="490"/>
      <c r="M113" s="565"/>
      <c r="N113" s="579">
        <v>15</v>
      </c>
      <c r="O113" s="548">
        <v>0</v>
      </c>
      <c r="P113" s="563">
        <v>1</v>
      </c>
      <c r="Q113" s="578"/>
      <c r="R113" s="578"/>
      <c r="S113" s="492">
        <v>135</v>
      </c>
      <c r="T113" s="548">
        <v>15</v>
      </c>
      <c r="U113" s="550">
        <v>2025000</v>
      </c>
      <c r="V113" s="551">
        <v>2025000</v>
      </c>
      <c r="W113" s="552" t="s">
        <v>202</v>
      </c>
    </row>
    <row r="114" spans="1:23" ht="15.75">
      <c r="A114" s="535"/>
      <c r="B114" s="546" t="s">
        <v>208</v>
      </c>
      <c r="C114" s="562"/>
      <c r="D114" s="567">
        <v>3</v>
      </c>
      <c r="E114" s="567">
        <v>10</v>
      </c>
      <c r="F114" s="575"/>
      <c r="G114" s="569" t="s">
        <v>51</v>
      </c>
      <c r="H114" s="492">
        <v>6.5</v>
      </c>
      <c r="I114" s="492"/>
      <c r="J114" s="492">
        <v>6.5</v>
      </c>
      <c r="K114" s="547">
        <v>13000</v>
      </c>
      <c r="L114" s="492"/>
      <c r="M114" s="566">
        <v>13000</v>
      </c>
      <c r="N114" s="577">
        <v>1</v>
      </c>
      <c r="O114" s="492">
        <v>0</v>
      </c>
      <c r="P114" s="563">
        <v>1</v>
      </c>
      <c r="Q114" s="551">
        <v>319762</v>
      </c>
      <c r="R114" s="551">
        <v>2078453</v>
      </c>
      <c r="S114" s="492"/>
      <c r="T114" s="492"/>
      <c r="U114" s="550">
        <v>0</v>
      </c>
      <c r="V114" s="550">
        <v>2078453</v>
      </c>
      <c r="W114" s="492" t="s">
        <v>207</v>
      </c>
    </row>
    <row r="115" spans="1:23" ht="15.75">
      <c r="A115" s="535" t="s">
        <v>164</v>
      </c>
      <c r="B115" s="546" t="s">
        <v>201</v>
      </c>
      <c r="C115" s="561"/>
      <c r="D115" s="564">
        <v>3</v>
      </c>
      <c r="E115" s="564">
        <v>23</v>
      </c>
      <c r="F115" s="572"/>
      <c r="G115" s="553" t="s">
        <v>51</v>
      </c>
      <c r="H115" s="548">
        <v>6</v>
      </c>
      <c r="I115" s="547"/>
      <c r="J115" s="548">
        <v>6</v>
      </c>
      <c r="K115" s="547">
        <v>0</v>
      </c>
      <c r="L115" s="547"/>
      <c r="M115" s="565">
        <v>0</v>
      </c>
      <c r="N115" s="579">
        <v>15</v>
      </c>
      <c r="O115" s="548">
        <v>0</v>
      </c>
      <c r="P115" s="563">
        <v>1</v>
      </c>
      <c r="Q115" s="547"/>
      <c r="R115" s="547"/>
      <c r="S115" s="492">
        <v>90</v>
      </c>
      <c r="T115" s="548">
        <v>15</v>
      </c>
      <c r="U115" s="550">
        <v>1350000</v>
      </c>
      <c r="V115" s="551">
        <v>1350000</v>
      </c>
      <c r="W115" s="554"/>
    </row>
    <row r="116" spans="1:23" ht="15.75">
      <c r="A116" s="535"/>
      <c r="B116" s="553" t="s">
        <v>204</v>
      </c>
      <c r="C116" s="561"/>
      <c r="D116" s="564">
        <v>5</v>
      </c>
      <c r="E116" s="564">
        <v>15</v>
      </c>
      <c r="F116" s="572">
        <v>289</v>
      </c>
      <c r="G116" s="553" t="s">
        <v>200</v>
      </c>
      <c r="H116" s="548">
        <v>10</v>
      </c>
      <c r="I116" s="547"/>
      <c r="J116" s="548">
        <v>10</v>
      </c>
      <c r="K116" s="547">
        <v>289</v>
      </c>
      <c r="L116" s="547"/>
      <c r="M116" s="565">
        <v>289</v>
      </c>
      <c r="N116" s="579">
        <v>0.18</v>
      </c>
      <c r="O116" s="548">
        <v>0</v>
      </c>
      <c r="P116" s="563">
        <v>1</v>
      </c>
      <c r="Q116" s="547"/>
      <c r="R116" s="547"/>
      <c r="S116" s="492">
        <v>52.019999999999996</v>
      </c>
      <c r="T116" s="548">
        <v>15.67</v>
      </c>
      <c r="U116" s="550">
        <v>815153.39999999991</v>
      </c>
      <c r="V116" s="492">
        <v>815153.39999999991</v>
      </c>
      <c r="W116" s="554"/>
    </row>
    <row r="117" spans="1:23" ht="15.75">
      <c r="A117" s="535" t="s">
        <v>157</v>
      </c>
      <c r="B117" s="553" t="s">
        <v>201</v>
      </c>
      <c r="C117" s="561"/>
      <c r="D117" s="564">
        <v>2</v>
      </c>
      <c r="E117" s="564">
        <v>4.5</v>
      </c>
      <c r="F117" s="572"/>
      <c r="G117" s="553" t="s">
        <v>200</v>
      </c>
      <c r="H117" s="548">
        <v>4.5</v>
      </c>
      <c r="I117" s="547"/>
      <c r="J117" s="548">
        <v>4.5</v>
      </c>
      <c r="K117" s="547">
        <v>0</v>
      </c>
      <c r="L117" s="547"/>
      <c r="M117" s="565">
        <v>0</v>
      </c>
      <c r="N117" s="579">
        <v>15</v>
      </c>
      <c r="O117" s="548">
        <v>0</v>
      </c>
      <c r="P117" s="563">
        <v>1</v>
      </c>
      <c r="Q117" s="547"/>
      <c r="R117" s="547"/>
      <c r="S117" s="492">
        <v>67.5</v>
      </c>
      <c r="T117" s="548">
        <v>15</v>
      </c>
      <c r="U117" s="550">
        <v>1012500</v>
      </c>
      <c r="V117" s="551">
        <v>1012500</v>
      </c>
      <c r="W117" s="554"/>
    </row>
    <row r="118" spans="1:23" ht="18.75" thickBot="1">
      <c r="A118" s="508"/>
      <c r="B118" s="556"/>
      <c r="C118" s="558"/>
      <c r="D118" s="580">
        <v>1194</v>
      </c>
      <c r="E118" s="557"/>
      <c r="F118" s="518"/>
      <c r="G118" s="557"/>
      <c r="H118" s="517"/>
      <c r="I118" s="517"/>
      <c r="J118" s="517"/>
      <c r="K118" s="526"/>
      <c r="L118" s="526"/>
      <c r="M118" s="526"/>
      <c r="N118" s="508"/>
      <c r="O118" s="508"/>
      <c r="P118" s="509"/>
      <c r="Q118" s="508"/>
      <c r="R118" s="508"/>
      <c r="S118" s="508"/>
      <c r="T118" s="508"/>
      <c r="U118" s="508"/>
      <c r="V118" s="508"/>
      <c r="W118" s="508"/>
    </row>
    <row r="119" spans="1:23" ht="18.75" thickBot="1">
      <c r="A119" s="469" t="s">
        <v>25</v>
      </c>
      <c r="B119" s="532"/>
      <c r="C119" s="519"/>
      <c r="D119" s="519"/>
      <c r="E119" s="519"/>
      <c r="F119" s="519"/>
      <c r="G119" s="519"/>
      <c r="H119" s="519"/>
      <c r="I119" s="519"/>
      <c r="J119" s="519"/>
      <c r="K119" s="527"/>
      <c r="L119" s="527"/>
      <c r="M119" s="527"/>
      <c r="N119" s="510"/>
      <c r="O119" s="510"/>
      <c r="P119" s="510"/>
      <c r="Q119" s="510"/>
      <c r="R119" s="510">
        <v>7929024.5999999996</v>
      </c>
      <c r="S119" s="510"/>
      <c r="T119" s="510"/>
      <c r="U119" s="510">
        <v>111284841.96000001</v>
      </c>
      <c r="V119" s="510">
        <v>119213866.56</v>
      </c>
      <c r="W119" s="511"/>
    </row>
    <row r="121" spans="1:23" ht="30">
      <c r="A121" s="475"/>
      <c r="B121" s="478" t="s">
        <v>128</v>
      </c>
      <c r="C121" s="475"/>
      <c r="D121" s="498"/>
      <c r="E121" s="475"/>
      <c r="F121" s="446"/>
      <c r="G121" s="477" t="s">
        <v>129</v>
      </c>
      <c r="H121" s="447"/>
      <c r="I121" s="447"/>
      <c r="J121" s="495"/>
      <c r="K121" s="473" t="s">
        <v>212</v>
      </c>
      <c r="L121" s="447"/>
      <c r="M121" s="447"/>
      <c r="N121" s="448"/>
      <c r="O121" s="448"/>
      <c r="P121" s="478" t="s">
        <v>131</v>
      </c>
      <c r="Q121" s="448"/>
      <c r="R121" s="448"/>
      <c r="S121" s="448"/>
      <c r="T121" s="447"/>
      <c r="U121" s="447"/>
      <c r="V121" s="447"/>
      <c r="W121" s="447"/>
    </row>
    <row r="122" spans="1:23" ht="30">
      <c r="A122" s="475"/>
      <c r="B122" s="478"/>
      <c r="C122" s="475"/>
      <c r="D122" s="498"/>
      <c r="E122" s="475"/>
      <c r="F122" s="446"/>
      <c r="G122" s="477"/>
      <c r="H122" s="447"/>
      <c r="I122" s="447"/>
      <c r="J122" s="495"/>
      <c r="K122" s="473"/>
      <c r="L122" s="447"/>
      <c r="M122" s="447"/>
      <c r="N122" s="448"/>
      <c r="O122" s="448"/>
      <c r="P122" s="478"/>
      <c r="Q122" s="448"/>
      <c r="R122" s="448"/>
      <c r="S122" s="448"/>
      <c r="T122" s="447"/>
      <c r="U122" s="447"/>
      <c r="V122" s="447"/>
      <c r="W122" s="447"/>
    </row>
    <row r="123" spans="1:23" ht="15.75">
      <c r="A123" s="499"/>
      <c r="B123" s="500"/>
      <c r="C123" s="494" t="s">
        <v>213</v>
      </c>
      <c r="D123" s="500"/>
      <c r="E123" s="477"/>
      <c r="F123" s="501"/>
      <c r="G123" s="499"/>
      <c r="H123" s="502" t="s">
        <v>133</v>
      </c>
      <c r="I123" s="503"/>
      <c r="J123" s="504"/>
      <c r="K123" s="500"/>
      <c r="L123" s="500"/>
      <c r="M123" s="507" t="s">
        <v>134</v>
      </c>
      <c r="N123" s="500"/>
      <c r="O123" s="500"/>
      <c r="P123" s="500"/>
      <c r="Q123" s="503"/>
      <c r="R123" s="505" t="s">
        <v>135</v>
      </c>
      <c r="S123" s="503"/>
      <c r="T123" s="500"/>
      <c r="U123" s="506"/>
      <c r="V123" s="500"/>
      <c r="W123" s="500"/>
    </row>
    <row r="124" spans="1:23">
      <c r="A124" s="477"/>
      <c r="B124" s="478"/>
      <c r="C124" s="487" t="s">
        <v>214</v>
      </c>
      <c r="D124" s="476"/>
      <c r="E124" s="487"/>
      <c r="F124" s="478"/>
      <c r="G124" s="477"/>
      <c r="H124" s="476" t="s">
        <v>137</v>
      </c>
      <c r="I124" s="479"/>
      <c r="J124" s="496"/>
      <c r="K124" s="476"/>
      <c r="L124" s="478"/>
      <c r="M124" s="486" t="s">
        <v>138</v>
      </c>
      <c r="N124" s="476"/>
      <c r="O124" s="476"/>
      <c r="P124" s="478"/>
      <c r="Q124" s="479"/>
      <c r="R124" s="479" t="s">
        <v>139</v>
      </c>
      <c r="S124" s="479"/>
      <c r="T124" s="476"/>
      <c r="U124" s="480"/>
      <c r="V124" s="476"/>
      <c r="W124" s="476"/>
    </row>
    <row r="125" spans="1:23" ht="23.25">
      <c r="A125" s="481"/>
      <c r="B125" s="482" t="s">
        <v>215</v>
      </c>
      <c r="C125" s="481"/>
      <c r="D125" s="472"/>
      <c r="E125" s="481"/>
      <c r="F125" s="482"/>
      <c r="G125" s="481" t="s">
        <v>141</v>
      </c>
      <c r="H125" s="483"/>
      <c r="I125" s="483"/>
      <c r="J125" s="497"/>
      <c r="K125" s="483"/>
      <c r="L125" s="482" t="s">
        <v>216</v>
      </c>
      <c r="M125" s="483"/>
      <c r="N125" s="484"/>
      <c r="O125" s="483"/>
      <c r="P125" s="482" t="s">
        <v>143</v>
      </c>
      <c r="Q125" s="484"/>
      <c r="R125" s="484" t="s">
        <v>144</v>
      </c>
      <c r="S125" s="484"/>
      <c r="T125" s="483"/>
      <c r="U125" s="485"/>
      <c r="V125" s="483"/>
      <c r="W125" s="483"/>
    </row>
    <row r="126" spans="1:23">
      <c r="A126" s="470"/>
      <c r="B126" s="533"/>
      <c r="C126" s="559"/>
      <c r="D126" s="520"/>
      <c r="E126" s="445"/>
      <c r="F126" s="520"/>
      <c r="G126" s="445"/>
      <c r="H126" s="445"/>
      <c r="I126" s="445"/>
      <c r="J126" s="445"/>
      <c r="K126" s="445"/>
      <c r="L126" s="445"/>
      <c r="M126" s="445"/>
      <c r="N126" s="445"/>
      <c r="O126" s="445"/>
      <c r="P126" s="445"/>
      <c r="Q126" s="445"/>
      <c r="R126" s="445"/>
      <c r="S126" s="445"/>
      <c r="T126" s="445"/>
      <c r="U126" s="445"/>
      <c r="V126" s="445"/>
      <c r="W126" s="445"/>
    </row>
    <row r="127" spans="1:23">
      <c r="A127" s="471"/>
      <c r="B127" s="534"/>
      <c r="C127" s="560"/>
      <c r="D127" s="520"/>
      <c r="E127" s="445"/>
      <c r="F127" s="520"/>
      <c r="G127" s="445"/>
      <c r="H127" s="445"/>
      <c r="I127" s="445"/>
      <c r="J127" s="445"/>
      <c r="K127" s="445"/>
      <c r="L127" s="445"/>
      <c r="M127" s="445"/>
      <c r="N127" s="445"/>
      <c r="O127" s="445"/>
      <c r="P127" s="445"/>
      <c r="Q127" s="445"/>
      <c r="R127" s="445"/>
      <c r="S127" s="445"/>
      <c r="T127" s="445"/>
      <c r="U127" s="445"/>
      <c r="V127" s="445"/>
      <c r="W127" s="445"/>
    </row>
    <row r="142" ht="23.25" customHeight="1"/>
    <row r="143" ht="23.25" customHeight="1"/>
    <row r="144" ht="93.75" customHeight="1"/>
    <row r="255" ht="25.5" customHeight="1"/>
    <row r="256" ht="25.5" customHeight="1"/>
    <row r="368" spans="1:19" ht="25.5">
      <c r="A368" s="988"/>
      <c r="B368" s="989"/>
      <c r="C368" s="990"/>
      <c r="D368" s="991"/>
      <c r="E368" s="992"/>
      <c r="F368" s="989"/>
      <c r="G368" s="991"/>
      <c r="H368" s="991"/>
      <c r="I368" s="991"/>
      <c r="J368" s="991"/>
      <c r="K368" s="991"/>
      <c r="L368" s="993"/>
      <c r="M368" s="993"/>
      <c r="N368" s="994"/>
      <c r="O368" s="993"/>
      <c r="P368" s="993"/>
      <c r="Q368" s="993"/>
      <c r="R368" s="994"/>
      <c r="S368" s="989"/>
    </row>
  </sheetData>
  <mergeCells count="58">
    <mergeCell ref="A1:S1"/>
    <mergeCell ref="A2:S2"/>
    <mergeCell ref="A3:S3"/>
    <mergeCell ref="A4:S4"/>
    <mergeCell ref="A5:S5"/>
    <mergeCell ref="R12:R14"/>
    <mergeCell ref="M12:Q12"/>
    <mergeCell ref="S12:S14"/>
    <mergeCell ref="M13:N13"/>
    <mergeCell ref="O13:Q13"/>
    <mergeCell ref="I49:J50"/>
    <mergeCell ref="K49:K51"/>
    <mergeCell ref="A12:A14"/>
    <mergeCell ref="B12:B14"/>
    <mergeCell ref="C12:C14"/>
    <mergeCell ref="J12:K13"/>
    <mergeCell ref="A37:R37"/>
    <mergeCell ref="A38:R38"/>
    <mergeCell ref="A39:R39"/>
    <mergeCell ref="A40:R40"/>
    <mergeCell ref="A41:R41"/>
    <mergeCell ref="L12:L14"/>
    <mergeCell ref="D12:D14"/>
    <mergeCell ref="E12:E14"/>
    <mergeCell ref="F12:F14"/>
    <mergeCell ref="G12:I13"/>
    <mergeCell ref="G93:G95"/>
    <mergeCell ref="H93:J94"/>
    <mergeCell ref="K93:M94"/>
    <mergeCell ref="A49:A51"/>
    <mergeCell ref="B49:B51"/>
    <mergeCell ref="C49:C51"/>
    <mergeCell ref="D49:D51"/>
    <mergeCell ref="A81:W81"/>
    <mergeCell ref="L49:Q49"/>
    <mergeCell ref="R49:R51"/>
    <mergeCell ref="L50:M50"/>
    <mergeCell ref="N50:P50"/>
    <mergeCell ref="Q50:Q51"/>
    <mergeCell ref="C73:E73"/>
    <mergeCell ref="E49:E51"/>
    <mergeCell ref="F49:H50"/>
    <mergeCell ref="N93:O94"/>
    <mergeCell ref="P93:P95"/>
    <mergeCell ref="Q93:V93"/>
    <mergeCell ref="A82:W82"/>
    <mergeCell ref="A83:W83"/>
    <mergeCell ref="A84:W84"/>
    <mergeCell ref="A93:A95"/>
    <mergeCell ref="B93:B95"/>
    <mergeCell ref="C93:C95"/>
    <mergeCell ref="D93:D95"/>
    <mergeCell ref="E93:F94"/>
    <mergeCell ref="A85:W85"/>
    <mergeCell ref="W93:W95"/>
    <mergeCell ref="Q94:R94"/>
    <mergeCell ref="S94:U94"/>
    <mergeCell ref="V94:V9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S94"/>
  <sheetViews>
    <sheetView zoomScale="70" zoomScaleNormal="70" workbookViewId="0">
      <selection activeCell="E65" sqref="E65"/>
    </sheetView>
  </sheetViews>
  <sheetFormatPr defaultRowHeight="15"/>
  <cols>
    <col min="1" max="1" width="18.140625" customWidth="1"/>
    <col min="2" max="2" width="17.42578125" customWidth="1"/>
    <col min="3" max="3" width="22.140625" customWidth="1"/>
    <col min="4" max="4" width="15.5703125" customWidth="1"/>
    <col min="5" max="5" width="19.85546875" customWidth="1"/>
    <col min="6" max="6" width="12.7109375" customWidth="1"/>
    <col min="7" max="7" width="13.85546875" customWidth="1"/>
    <col min="9" max="9" width="11.5703125" customWidth="1"/>
    <col min="10" max="10" width="15.7109375" customWidth="1"/>
    <col min="11" max="11" width="18.7109375" customWidth="1"/>
    <col min="12" max="12" width="22.28515625" customWidth="1"/>
    <col min="13" max="13" width="18.28515625" customWidth="1"/>
    <col min="14" max="14" width="13.5703125" customWidth="1"/>
    <col min="15" max="15" width="11.28515625" customWidth="1"/>
    <col min="16" max="16" width="19.28515625" customWidth="1"/>
    <col min="17" max="17" width="15.5703125" customWidth="1"/>
    <col min="18" max="18" width="15.42578125" customWidth="1"/>
  </cols>
  <sheetData>
    <row r="3" spans="1:19" ht="18">
      <c r="A3" s="1884" t="s">
        <v>217</v>
      </c>
      <c r="B3" s="1885"/>
      <c r="C3" s="1885"/>
      <c r="D3" s="1885"/>
      <c r="E3" s="1885"/>
      <c r="F3" s="1885"/>
      <c r="G3" s="1885"/>
      <c r="H3" s="1885"/>
      <c r="I3" s="1885"/>
      <c r="J3" s="1885"/>
      <c r="K3" s="1885"/>
      <c r="L3" s="1885"/>
      <c r="M3" s="1885"/>
      <c r="N3" s="1885"/>
      <c r="O3" s="1885"/>
      <c r="P3" s="1885"/>
      <c r="Q3" s="1885"/>
      <c r="R3" s="1885"/>
      <c r="S3" s="589"/>
    </row>
    <row r="4" spans="1:19" ht="18">
      <c r="A4" s="1886" t="s">
        <v>218</v>
      </c>
      <c r="B4" s="1885"/>
      <c r="C4" s="1885"/>
      <c r="D4" s="1885"/>
      <c r="E4" s="1885"/>
      <c r="F4" s="1885"/>
      <c r="G4" s="1885"/>
      <c r="H4" s="1885"/>
      <c r="I4" s="1885"/>
      <c r="J4" s="1885"/>
      <c r="K4" s="1885"/>
      <c r="L4" s="1885"/>
      <c r="M4" s="1885"/>
      <c r="N4" s="1885"/>
      <c r="O4" s="1885"/>
      <c r="P4" s="1885"/>
      <c r="Q4" s="1885"/>
      <c r="R4" s="1885"/>
      <c r="S4" s="589"/>
    </row>
    <row r="5" spans="1:19" ht="18">
      <c r="A5" s="1884" t="s">
        <v>219</v>
      </c>
      <c r="B5" s="1885"/>
      <c r="C5" s="1885"/>
      <c r="D5" s="1885"/>
      <c r="E5" s="1885"/>
      <c r="F5" s="1885"/>
      <c r="G5" s="1885"/>
      <c r="H5" s="1885"/>
      <c r="I5" s="1885"/>
      <c r="J5" s="1885"/>
      <c r="K5" s="1885"/>
      <c r="L5" s="1885"/>
      <c r="M5" s="1885"/>
      <c r="N5" s="1885"/>
      <c r="O5" s="1885"/>
      <c r="P5" s="1885"/>
      <c r="Q5" s="1885"/>
      <c r="R5" s="1885"/>
      <c r="S5" s="589"/>
    </row>
    <row r="6" spans="1:19" ht="18">
      <c r="A6" s="1887" t="s">
        <v>220</v>
      </c>
      <c r="B6" s="1888"/>
      <c r="C6" s="1888"/>
      <c r="D6" s="1888"/>
      <c r="E6" s="1888"/>
      <c r="F6" s="1888"/>
      <c r="G6" s="1888"/>
      <c r="H6" s="1888"/>
      <c r="I6" s="1888"/>
      <c r="J6" s="1888"/>
      <c r="K6" s="1888"/>
      <c r="L6" s="1888"/>
      <c r="M6" s="1888"/>
      <c r="N6" s="1888"/>
      <c r="O6" s="1888"/>
      <c r="P6" s="1888"/>
      <c r="Q6" s="1888"/>
      <c r="R6" s="1888"/>
      <c r="S6" s="1888"/>
    </row>
    <row r="7" spans="1:19" ht="18">
      <c r="A7" s="1884" t="s">
        <v>221</v>
      </c>
      <c r="B7" s="1885"/>
      <c r="C7" s="1885"/>
      <c r="D7" s="1885"/>
      <c r="E7" s="1885"/>
      <c r="F7" s="1885"/>
      <c r="G7" s="1885"/>
      <c r="H7" s="1885"/>
      <c r="I7" s="1885"/>
      <c r="J7" s="1885"/>
      <c r="K7" s="1885"/>
      <c r="L7" s="1885"/>
      <c r="M7" s="1885"/>
      <c r="N7" s="1885"/>
      <c r="O7" s="1885"/>
      <c r="P7" s="1885"/>
      <c r="Q7" s="1885"/>
      <c r="R7" s="1885"/>
      <c r="S7" s="589"/>
    </row>
    <row r="8" spans="1:19" ht="18">
      <c r="A8" s="590"/>
      <c r="B8" s="590"/>
      <c r="C8" s="590"/>
      <c r="D8" s="590"/>
      <c r="E8" s="590"/>
      <c r="F8" s="590"/>
      <c r="G8" s="590"/>
      <c r="H8" s="590"/>
      <c r="I8" s="591"/>
      <c r="J8" s="592"/>
      <c r="K8" s="590"/>
      <c r="L8" s="590"/>
      <c r="M8" s="590"/>
      <c r="N8" s="593"/>
      <c r="O8" s="590"/>
      <c r="P8" s="590"/>
      <c r="Q8" s="590"/>
      <c r="R8" s="590"/>
      <c r="S8" s="589"/>
    </row>
    <row r="9" spans="1:19" ht="18">
      <c r="A9" s="1881" t="s">
        <v>67</v>
      </c>
      <c r="B9" s="1882"/>
      <c r="C9" s="594"/>
      <c r="D9" s="594"/>
      <c r="E9" s="594"/>
      <c r="F9" s="594"/>
      <c r="G9" s="594"/>
      <c r="H9" s="594"/>
      <c r="I9" s="595"/>
      <c r="J9" s="596"/>
      <c r="K9" s="594"/>
      <c r="L9" s="594"/>
      <c r="M9" s="597"/>
      <c r="N9" s="1883" t="s">
        <v>222</v>
      </c>
      <c r="O9" s="1882"/>
      <c r="P9" s="1882"/>
      <c r="Q9" s="1882"/>
      <c r="R9" s="598"/>
      <c r="S9" s="589"/>
    </row>
    <row r="10" spans="1:19" ht="18">
      <c r="A10" s="1889" t="s">
        <v>223</v>
      </c>
      <c r="B10" s="1885"/>
      <c r="C10" s="1885"/>
      <c r="D10" s="590"/>
      <c r="E10" s="590"/>
      <c r="F10" s="590"/>
      <c r="G10" s="590"/>
      <c r="H10" s="590"/>
      <c r="I10" s="591"/>
      <c r="J10" s="592"/>
      <c r="K10" s="590"/>
      <c r="L10" s="590"/>
      <c r="M10" s="599"/>
      <c r="N10" s="593" t="s">
        <v>70</v>
      </c>
      <c r="O10" s="600"/>
      <c r="P10" s="1890" t="s">
        <v>71</v>
      </c>
      <c r="Q10" s="1885"/>
      <c r="R10" s="599"/>
      <c r="S10" s="589"/>
    </row>
    <row r="11" spans="1:19" ht="15" customHeight="1">
      <c r="A11" s="1889" t="s">
        <v>224</v>
      </c>
      <c r="B11" s="1885"/>
      <c r="C11" s="1885"/>
      <c r="D11" s="590"/>
      <c r="E11" s="590"/>
      <c r="F11" s="590"/>
      <c r="G11" s="590"/>
      <c r="H11" s="590"/>
      <c r="I11" s="591"/>
      <c r="J11" s="592"/>
      <c r="K11" s="590"/>
      <c r="L11" s="590"/>
      <c r="M11" s="599"/>
      <c r="N11" s="601"/>
      <c r="O11" s="602" t="s">
        <v>73</v>
      </c>
      <c r="P11" s="590"/>
      <c r="Q11" s="600" t="s">
        <v>74</v>
      </c>
      <c r="R11" s="603"/>
      <c r="S11" s="589"/>
    </row>
    <row r="12" spans="1:19" ht="15" customHeight="1">
      <c r="A12" s="604" t="s">
        <v>225</v>
      </c>
      <c r="B12" s="584"/>
      <c r="C12" s="584"/>
      <c r="D12" s="590"/>
      <c r="E12" s="590"/>
      <c r="F12" s="590"/>
      <c r="G12" s="590"/>
      <c r="H12" s="590"/>
      <c r="I12" s="591"/>
      <c r="J12" s="592"/>
      <c r="K12" s="590"/>
      <c r="L12" s="590"/>
      <c r="M12" s="599"/>
      <c r="N12" s="605"/>
      <c r="O12" s="602" t="s">
        <v>75</v>
      </c>
      <c r="P12" s="590"/>
      <c r="Q12" s="600" t="s">
        <v>76</v>
      </c>
      <c r="R12" s="603"/>
      <c r="S12" s="589"/>
    </row>
    <row r="13" spans="1:19" ht="18">
      <c r="A13" s="1889" t="s">
        <v>226</v>
      </c>
      <c r="B13" s="1891"/>
      <c r="C13" s="1891"/>
      <c r="D13" s="1891"/>
      <c r="E13" s="1891"/>
      <c r="F13" s="1891"/>
      <c r="G13" s="1891"/>
      <c r="H13" s="1891"/>
      <c r="I13" s="591"/>
      <c r="J13" s="592"/>
      <c r="K13" s="590"/>
      <c r="L13" s="590"/>
      <c r="M13" s="599"/>
      <c r="N13" s="601"/>
      <c r="O13" s="602" t="s">
        <v>77</v>
      </c>
      <c r="P13" s="606"/>
      <c r="Q13" s="600" t="s">
        <v>78</v>
      </c>
      <c r="R13" s="603"/>
      <c r="S13" s="589"/>
    </row>
    <row r="14" spans="1:19" ht="18.75" thickBot="1">
      <c r="A14" s="607"/>
      <c r="B14" s="608"/>
      <c r="C14" s="609"/>
      <c r="D14" s="609"/>
      <c r="E14" s="609"/>
      <c r="F14" s="609"/>
      <c r="G14" s="609"/>
      <c r="H14" s="609"/>
      <c r="I14" s="610"/>
      <c r="J14" s="611"/>
      <c r="K14" s="609"/>
      <c r="L14" s="609"/>
      <c r="M14" s="612"/>
      <c r="N14" s="613"/>
      <c r="O14" s="609"/>
      <c r="P14" s="609"/>
      <c r="Q14" s="609"/>
      <c r="R14" s="614"/>
      <c r="S14" s="589"/>
    </row>
    <row r="15" spans="1:19" ht="18">
      <c r="A15" s="1892" t="s">
        <v>79</v>
      </c>
      <c r="B15" s="1895" t="s">
        <v>80</v>
      </c>
      <c r="C15" s="1898" t="s">
        <v>82</v>
      </c>
      <c r="D15" s="1898" t="s">
        <v>83</v>
      </c>
      <c r="E15" s="1901" t="s">
        <v>84</v>
      </c>
      <c r="F15" s="1904" t="s">
        <v>85</v>
      </c>
      <c r="G15" s="1905"/>
      <c r="H15" s="1906"/>
      <c r="I15" s="1904" t="s">
        <v>86</v>
      </c>
      <c r="J15" s="1906"/>
      <c r="K15" s="1912" t="s">
        <v>87</v>
      </c>
      <c r="L15" s="1915" t="s">
        <v>88</v>
      </c>
      <c r="M15" s="1916"/>
      <c r="N15" s="1916"/>
      <c r="O15" s="1916"/>
      <c r="P15" s="1916"/>
      <c r="Q15" s="1917"/>
      <c r="R15" s="1918" t="s">
        <v>59</v>
      </c>
      <c r="S15" s="615"/>
    </row>
    <row r="16" spans="1:19" ht="18">
      <c r="A16" s="1893"/>
      <c r="B16" s="1896"/>
      <c r="C16" s="1899"/>
      <c r="D16" s="1899"/>
      <c r="E16" s="1902"/>
      <c r="F16" s="1907"/>
      <c r="G16" s="1908"/>
      <c r="H16" s="1909"/>
      <c r="I16" s="1907"/>
      <c r="J16" s="1909"/>
      <c r="K16" s="1913"/>
      <c r="L16" s="1921" t="s">
        <v>90</v>
      </c>
      <c r="M16" s="1922"/>
      <c r="N16" s="1921" t="s">
        <v>91</v>
      </c>
      <c r="O16" s="1923"/>
      <c r="P16" s="1924"/>
      <c r="Q16" s="1925" t="s">
        <v>89</v>
      </c>
      <c r="R16" s="1919"/>
      <c r="S16" s="615"/>
    </row>
    <row r="17" spans="1:19" ht="54.75" thickBot="1">
      <c r="A17" s="1894"/>
      <c r="B17" s="1897"/>
      <c r="C17" s="1900"/>
      <c r="D17" s="1900"/>
      <c r="E17" s="1903"/>
      <c r="F17" s="616" t="s">
        <v>92</v>
      </c>
      <c r="G17" s="617" t="s">
        <v>93</v>
      </c>
      <c r="H17" s="618" t="s">
        <v>25</v>
      </c>
      <c r="I17" s="619" t="s">
        <v>94</v>
      </c>
      <c r="J17" s="620" t="s">
        <v>95</v>
      </c>
      <c r="K17" s="1914"/>
      <c r="L17" s="621" t="s">
        <v>96</v>
      </c>
      <c r="M17" s="622" t="s">
        <v>97</v>
      </c>
      <c r="N17" s="623" t="s">
        <v>98</v>
      </c>
      <c r="O17" s="624" t="s">
        <v>153</v>
      </c>
      <c r="P17" s="625" t="s">
        <v>100</v>
      </c>
      <c r="Q17" s="1926"/>
      <c r="R17" s="1920"/>
      <c r="S17" s="615"/>
    </row>
    <row r="18" spans="1:19" ht="18">
      <c r="A18" s="626" t="s">
        <v>101</v>
      </c>
      <c r="B18" s="627" t="s">
        <v>102</v>
      </c>
      <c r="C18" s="628" t="s">
        <v>103</v>
      </c>
      <c r="D18" s="628" t="s">
        <v>104</v>
      </c>
      <c r="E18" s="629" t="s">
        <v>105</v>
      </c>
      <c r="F18" s="630" t="s">
        <v>106</v>
      </c>
      <c r="G18" s="628" t="s">
        <v>107</v>
      </c>
      <c r="H18" s="631" t="s">
        <v>108</v>
      </c>
      <c r="I18" s="632" t="s">
        <v>109</v>
      </c>
      <c r="J18" s="633" t="s">
        <v>110</v>
      </c>
      <c r="K18" s="634" t="s">
        <v>111</v>
      </c>
      <c r="L18" s="630" t="s">
        <v>112</v>
      </c>
      <c r="M18" s="629" t="s">
        <v>113</v>
      </c>
      <c r="N18" s="635" t="s">
        <v>114</v>
      </c>
      <c r="O18" s="628" t="s">
        <v>115</v>
      </c>
      <c r="P18" s="631" t="s">
        <v>116</v>
      </c>
      <c r="Q18" s="636" t="s">
        <v>117</v>
      </c>
      <c r="R18" s="636" t="s">
        <v>118</v>
      </c>
      <c r="S18" s="637"/>
    </row>
    <row r="19" spans="1:19" ht="18">
      <c r="A19" s="638" t="s">
        <v>61</v>
      </c>
      <c r="B19" s="639"/>
      <c r="C19" s="639"/>
      <c r="D19" s="639"/>
      <c r="E19" s="639"/>
      <c r="F19" s="640"/>
      <c r="G19" s="639"/>
      <c r="H19" s="639"/>
      <c r="I19" s="641"/>
      <c r="J19" s="642"/>
      <c r="K19" s="639"/>
      <c r="L19" s="639"/>
      <c r="M19" s="639"/>
      <c r="N19" s="640"/>
      <c r="O19" s="639"/>
      <c r="P19" s="639"/>
      <c r="Q19" s="639"/>
      <c r="R19" s="639"/>
      <c r="S19" s="582"/>
    </row>
    <row r="20" spans="1:19" ht="18">
      <c r="A20" s="643" t="s">
        <v>227</v>
      </c>
      <c r="B20" s="643" t="s">
        <v>228</v>
      </c>
      <c r="C20" s="701">
        <v>24</v>
      </c>
      <c r="D20" s="644">
        <v>27.9</v>
      </c>
      <c r="E20" s="645" t="s">
        <v>170</v>
      </c>
      <c r="F20" s="646"/>
      <c r="G20" s="647">
        <v>18.149999999999999</v>
      </c>
      <c r="H20" s="648">
        <v>18.149999999999999</v>
      </c>
      <c r="I20" s="649">
        <v>12</v>
      </c>
      <c r="J20" s="647">
        <v>10</v>
      </c>
      <c r="K20" s="650">
        <v>0.8</v>
      </c>
      <c r="L20" s="643"/>
      <c r="M20" s="643"/>
      <c r="N20" s="648">
        <v>174.24</v>
      </c>
      <c r="O20" s="647">
        <v>30</v>
      </c>
      <c r="P20" s="651">
        <v>5227200.0000000009</v>
      </c>
      <c r="Q20" s="651">
        <v>5227200.0000000009</v>
      </c>
      <c r="R20" s="643"/>
      <c r="S20" s="582"/>
    </row>
    <row r="21" spans="1:19" ht="18">
      <c r="A21" s="643" t="s">
        <v>229</v>
      </c>
      <c r="B21" s="643" t="s">
        <v>230</v>
      </c>
      <c r="C21" s="701">
        <v>9</v>
      </c>
      <c r="D21" s="644">
        <v>10.5</v>
      </c>
      <c r="E21" s="645" t="s">
        <v>170</v>
      </c>
      <c r="F21" s="648">
        <v>8.4</v>
      </c>
      <c r="G21" s="647">
        <v>2.1</v>
      </c>
      <c r="H21" s="648">
        <v>10.5</v>
      </c>
      <c r="I21" s="649">
        <v>28</v>
      </c>
      <c r="J21" s="647">
        <v>14</v>
      </c>
      <c r="K21" s="650">
        <v>0.8</v>
      </c>
      <c r="L21" s="643"/>
      <c r="M21" s="643"/>
      <c r="N21" s="648">
        <v>235.20000000000002</v>
      </c>
      <c r="O21" s="647">
        <v>3.34</v>
      </c>
      <c r="P21" s="651">
        <v>785568</v>
      </c>
      <c r="Q21" s="651">
        <v>785568</v>
      </c>
      <c r="R21" s="651"/>
      <c r="S21" s="582"/>
    </row>
    <row r="22" spans="1:19" ht="18">
      <c r="A22" s="652" t="s">
        <v>231</v>
      </c>
      <c r="B22" s="652"/>
      <c r="C22" s="702">
        <v>33</v>
      </c>
      <c r="D22" s="653">
        <v>38.4</v>
      </c>
      <c r="E22" s="654"/>
      <c r="F22" s="655">
        <v>8.4</v>
      </c>
      <c r="G22" s="656">
        <v>20.25</v>
      </c>
      <c r="H22" s="655">
        <v>28.65</v>
      </c>
      <c r="I22" s="657"/>
      <c r="J22" s="656"/>
      <c r="K22" s="658"/>
      <c r="L22" s="652"/>
      <c r="M22" s="652"/>
      <c r="N22" s="655">
        <v>409.44000000000005</v>
      </c>
      <c r="O22" s="656"/>
      <c r="P22" s="659">
        <v>6012768.0000000009</v>
      </c>
      <c r="Q22" s="659">
        <v>6012768.0000000009</v>
      </c>
      <c r="R22" s="659"/>
      <c r="S22" s="582"/>
    </row>
    <row r="23" spans="1:19" ht="18">
      <c r="A23" s="660" t="s">
        <v>232</v>
      </c>
      <c r="B23" s="643"/>
      <c r="C23" s="701"/>
      <c r="D23" s="644"/>
      <c r="E23" s="645"/>
      <c r="F23" s="648"/>
      <c r="G23" s="647"/>
      <c r="H23" s="648"/>
      <c r="I23" s="649"/>
      <c r="J23" s="647"/>
      <c r="K23" s="650"/>
      <c r="L23" s="643"/>
      <c r="M23" s="643"/>
      <c r="N23" s="648"/>
      <c r="O23" s="647"/>
      <c r="P23" s="651"/>
      <c r="Q23" s="651"/>
      <c r="R23" s="651"/>
      <c r="S23" s="582"/>
    </row>
    <row r="24" spans="1:19" ht="18">
      <c r="A24" s="643" t="s">
        <v>233</v>
      </c>
      <c r="B24" s="643" t="s">
        <v>230</v>
      </c>
      <c r="C24" s="701">
        <v>14</v>
      </c>
      <c r="D24" s="644">
        <v>6.75</v>
      </c>
      <c r="E24" s="645" t="s">
        <v>170</v>
      </c>
      <c r="F24" s="648"/>
      <c r="G24" s="648">
        <v>6.75</v>
      </c>
      <c r="H24" s="648">
        <v>6.75</v>
      </c>
      <c r="I24" s="649">
        <v>28</v>
      </c>
      <c r="J24" s="647">
        <v>5.6</v>
      </c>
      <c r="K24" s="650">
        <v>0.8</v>
      </c>
      <c r="L24" s="643"/>
      <c r="M24" s="643"/>
      <c r="N24" s="648">
        <v>189</v>
      </c>
      <c r="O24" s="647">
        <v>3.34</v>
      </c>
      <c r="P24" s="651">
        <v>631260</v>
      </c>
      <c r="Q24" s="651">
        <v>631260</v>
      </c>
      <c r="R24" s="651"/>
      <c r="S24" s="582"/>
    </row>
    <row r="25" spans="1:19" ht="18">
      <c r="A25" s="643"/>
      <c r="B25" s="643" t="s">
        <v>234</v>
      </c>
      <c r="C25" s="701">
        <v>2</v>
      </c>
      <c r="D25" s="644">
        <v>0.75</v>
      </c>
      <c r="E25" s="645" t="s">
        <v>170</v>
      </c>
      <c r="F25" s="648"/>
      <c r="G25" s="648">
        <v>0.75</v>
      </c>
      <c r="H25" s="648">
        <v>0.75</v>
      </c>
      <c r="I25" s="649">
        <v>15</v>
      </c>
      <c r="J25" s="647">
        <v>3</v>
      </c>
      <c r="K25" s="650">
        <v>0.8</v>
      </c>
      <c r="L25" s="643"/>
      <c r="M25" s="643"/>
      <c r="N25" s="648">
        <v>11.25</v>
      </c>
      <c r="O25" s="647">
        <v>8.83</v>
      </c>
      <c r="P25" s="651">
        <v>99337.5</v>
      </c>
      <c r="Q25" s="651">
        <v>99337.5</v>
      </c>
      <c r="R25" s="651"/>
      <c r="S25" s="582"/>
    </row>
    <row r="26" spans="1:19" ht="18">
      <c r="A26" s="643"/>
      <c r="B26" s="643" t="s">
        <v>235</v>
      </c>
      <c r="C26" s="701">
        <v>4</v>
      </c>
      <c r="D26" s="644">
        <v>1</v>
      </c>
      <c r="E26" s="645" t="s">
        <v>170</v>
      </c>
      <c r="F26" s="648"/>
      <c r="G26" s="648">
        <v>1</v>
      </c>
      <c r="H26" s="648">
        <v>1</v>
      </c>
      <c r="I26" s="649">
        <v>18</v>
      </c>
      <c r="J26" s="647">
        <v>3.6</v>
      </c>
      <c r="K26" s="650">
        <v>0.8</v>
      </c>
      <c r="L26" s="643"/>
      <c r="M26" s="643"/>
      <c r="N26" s="648">
        <v>18</v>
      </c>
      <c r="O26" s="647">
        <v>6.67</v>
      </c>
      <c r="P26" s="651">
        <v>120060</v>
      </c>
      <c r="Q26" s="651">
        <v>120060</v>
      </c>
      <c r="R26" s="651"/>
      <c r="S26" s="582"/>
    </row>
    <row r="27" spans="1:19" ht="18">
      <c r="A27" s="643"/>
      <c r="B27" s="643" t="s">
        <v>236</v>
      </c>
      <c r="C27" s="701">
        <v>2</v>
      </c>
      <c r="D27" s="644">
        <v>0.5</v>
      </c>
      <c r="E27" s="645" t="s">
        <v>170</v>
      </c>
      <c r="F27" s="648"/>
      <c r="G27" s="648">
        <v>0.5</v>
      </c>
      <c r="H27" s="648">
        <v>0.5</v>
      </c>
      <c r="I27" s="649">
        <v>18</v>
      </c>
      <c r="J27" s="647">
        <v>3.6</v>
      </c>
      <c r="K27" s="650">
        <v>0.8</v>
      </c>
      <c r="L27" s="643"/>
      <c r="M27" s="643"/>
      <c r="N27" s="648">
        <v>9</v>
      </c>
      <c r="O27" s="647">
        <v>6.67</v>
      </c>
      <c r="P27" s="651">
        <v>60030</v>
      </c>
      <c r="Q27" s="651">
        <v>60030</v>
      </c>
      <c r="R27" s="651"/>
      <c r="S27" s="582"/>
    </row>
    <row r="28" spans="1:19" ht="18">
      <c r="A28" s="643" t="s">
        <v>237</v>
      </c>
      <c r="B28" s="643" t="s">
        <v>230</v>
      </c>
      <c r="C28" s="701">
        <v>16</v>
      </c>
      <c r="D28" s="644">
        <v>22.5</v>
      </c>
      <c r="E28" s="645" t="s">
        <v>170</v>
      </c>
      <c r="F28" s="648"/>
      <c r="G28" s="647">
        <v>22.5</v>
      </c>
      <c r="H28" s="648">
        <v>22.5</v>
      </c>
      <c r="I28" s="649">
        <v>10</v>
      </c>
      <c r="J28" s="647">
        <v>3</v>
      </c>
      <c r="K28" s="650">
        <v>0.8</v>
      </c>
      <c r="L28" s="643"/>
      <c r="M28" s="643"/>
      <c r="N28" s="648">
        <v>107.5</v>
      </c>
      <c r="O28" s="647">
        <v>33</v>
      </c>
      <c r="P28" s="651">
        <v>3547500</v>
      </c>
      <c r="Q28" s="651">
        <v>3547500</v>
      </c>
      <c r="R28" s="651"/>
      <c r="S28" s="582"/>
    </row>
    <row r="29" spans="1:19" ht="18">
      <c r="A29" s="643"/>
      <c r="B29" s="643"/>
      <c r="C29" s="701">
        <v>2</v>
      </c>
      <c r="D29" s="644">
        <v>3</v>
      </c>
      <c r="E29" s="645" t="s">
        <v>160</v>
      </c>
      <c r="F29" s="648"/>
      <c r="G29" s="648">
        <v>3</v>
      </c>
      <c r="H29" s="648">
        <v>3</v>
      </c>
      <c r="I29" s="649">
        <v>10</v>
      </c>
      <c r="J29" s="647">
        <v>3</v>
      </c>
      <c r="K29" s="650">
        <v>0.8</v>
      </c>
      <c r="L29" s="661">
        <v>60000</v>
      </c>
      <c r="M29" s="661">
        <v>90000</v>
      </c>
      <c r="N29" s="648"/>
      <c r="O29" s="647"/>
      <c r="P29" s="651"/>
      <c r="Q29" s="651">
        <v>90000</v>
      </c>
      <c r="R29" s="651"/>
      <c r="S29" s="582"/>
    </row>
    <row r="30" spans="1:19" ht="18">
      <c r="A30" s="643"/>
      <c r="B30" s="643" t="s">
        <v>238</v>
      </c>
      <c r="C30" s="701">
        <v>4</v>
      </c>
      <c r="D30" s="644">
        <v>2.25</v>
      </c>
      <c r="E30" s="645" t="s">
        <v>170</v>
      </c>
      <c r="F30" s="648"/>
      <c r="G30" s="647">
        <v>2.25</v>
      </c>
      <c r="H30" s="648">
        <v>2.25</v>
      </c>
      <c r="I30" s="649">
        <v>15</v>
      </c>
      <c r="J30" s="647">
        <v>3.75</v>
      </c>
      <c r="K30" s="650">
        <v>0.7</v>
      </c>
      <c r="L30" s="661"/>
      <c r="M30" s="661"/>
      <c r="N30" s="648">
        <v>24.38</v>
      </c>
      <c r="O30" s="647">
        <v>8</v>
      </c>
      <c r="P30" s="651">
        <v>195040</v>
      </c>
      <c r="Q30" s="651">
        <v>195040</v>
      </c>
      <c r="R30" s="651"/>
      <c r="S30" s="582"/>
    </row>
    <row r="31" spans="1:19" ht="18">
      <c r="A31" s="643"/>
      <c r="B31" s="643"/>
      <c r="C31" s="701">
        <v>1</v>
      </c>
      <c r="D31" s="644">
        <v>0.5</v>
      </c>
      <c r="E31" s="645" t="s">
        <v>158</v>
      </c>
      <c r="F31" s="648"/>
      <c r="G31" s="647">
        <v>0.5</v>
      </c>
      <c r="H31" s="648">
        <v>0.5</v>
      </c>
      <c r="I31" s="649">
        <v>15</v>
      </c>
      <c r="J31" s="647">
        <v>4.5</v>
      </c>
      <c r="K31" s="650">
        <v>0.7</v>
      </c>
      <c r="L31" s="661"/>
      <c r="M31" s="661"/>
      <c r="N31" s="648">
        <v>5.25</v>
      </c>
      <c r="O31" s="647">
        <v>7.45</v>
      </c>
      <c r="P31" s="651">
        <v>39112.500000000007</v>
      </c>
      <c r="Q31" s="651">
        <v>39112.500000000007</v>
      </c>
      <c r="R31" s="651"/>
      <c r="S31" s="582"/>
    </row>
    <row r="32" spans="1:19" ht="18">
      <c r="A32" s="643"/>
      <c r="B32" s="643" t="s">
        <v>239</v>
      </c>
      <c r="C32" s="701">
        <v>1</v>
      </c>
      <c r="D32" s="644">
        <v>1.5</v>
      </c>
      <c r="E32" s="645" t="s">
        <v>160</v>
      </c>
      <c r="F32" s="648"/>
      <c r="G32" s="648">
        <v>1.5</v>
      </c>
      <c r="H32" s="648">
        <v>1.5</v>
      </c>
      <c r="I32" s="649">
        <v>20</v>
      </c>
      <c r="J32" s="647"/>
      <c r="K32" s="650">
        <v>1</v>
      </c>
      <c r="L32" s="661">
        <v>30000</v>
      </c>
      <c r="M32" s="661">
        <v>45000</v>
      </c>
      <c r="N32" s="648"/>
      <c r="O32" s="647"/>
      <c r="P32" s="651"/>
      <c r="Q32" s="651">
        <v>45000</v>
      </c>
      <c r="R32" s="651"/>
      <c r="S32" s="582"/>
    </row>
    <row r="33" spans="1:19" ht="18">
      <c r="A33" s="643"/>
      <c r="B33" s="643"/>
      <c r="C33" s="701">
        <v>3</v>
      </c>
      <c r="D33" s="644">
        <v>3</v>
      </c>
      <c r="E33" s="645" t="s">
        <v>170</v>
      </c>
      <c r="F33" s="648"/>
      <c r="G33" s="647">
        <v>3</v>
      </c>
      <c r="H33" s="648">
        <v>3</v>
      </c>
      <c r="I33" s="649">
        <v>20</v>
      </c>
      <c r="J33" s="647">
        <v>4</v>
      </c>
      <c r="K33" s="650">
        <v>0.8</v>
      </c>
      <c r="L33" s="661"/>
      <c r="M33" s="661"/>
      <c r="N33" s="648">
        <v>48</v>
      </c>
      <c r="O33" s="647">
        <v>7</v>
      </c>
      <c r="P33" s="651">
        <v>336000</v>
      </c>
      <c r="Q33" s="651">
        <v>336000</v>
      </c>
      <c r="R33" s="651"/>
      <c r="S33" s="582"/>
    </row>
    <row r="34" spans="1:19" ht="18">
      <c r="A34" s="643"/>
      <c r="B34" s="643" t="s">
        <v>240</v>
      </c>
      <c r="C34" s="701">
        <v>3</v>
      </c>
      <c r="D34" s="644">
        <v>1.5</v>
      </c>
      <c r="E34" s="645" t="s">
        <v>160</v>
      </c>
      <c r="F34" s="648"/>
      <c r="G34" s="648">
        <v>1.5</v>
      </c>
      <c r="H34" s="648">
        <v>1.5</v>
      </c>
      <c r="I34" s="649">
        <v>18</v>
      </c>
      <c r="J34" s="647"/>
      <c r="K34" s="650">
        <v>1</v>
      </c>
      <c r="L34" s="661">
        <v>70000</v>
      </c>
      <c r="M34" s="661">
        <v>105000</v>
      </c>
      <c r="N34" s="648"/>
      <c r="O34" s="647"/>
      <c r="P34" s="651"/>
      <c r="Q34" s="651"/>
      <c r="R34" s="651"/>
      <c r="S34" s="582"/>
    </row>
    <row r="35" spans="1:19" ht="18">
      <c r="A35" s="582"/>
      <c r="B35" s="643"/>
      <c r="C35" s="701">
        <v>4</v>
      </c>
      <c r="D35" s="644">
        <v>4.63</v>
      </c>
      <c r="E35" s="645" t="s">
        <v>170</v>
      </c>
      <c r="F35" s="648"/>
      <c r="G35" s="647">
        <v>4.63</v>
      </c>
      <c r="H35" s="648">
        <v>4.63</v>
      </c>
      <c r="I35" s="649">
        <v>18</v>
      </c>
      <c r="J35" s="647"/>
      <c r="K35" s="650">
        <v>0.8</v>
      </c>
      <c r="L35" s="661"/>
      <c r="M35" s="661"/>
      <c r="N35" s="648">
        <v>32.85</v>
      </c>
      <c r="O35" s="647">
        <v>20</v>
      </c>
      <c r="P35" s="651">
        <v>657000</v>
      </c>
      <c r="Q35" s="651">
        <v>657000</v>
      </c>
      <c r="R35" s="651"/>
      <c r="S35" s="582"/>
    </row>
    <row r="36" spans="1:19" ht="18">
      <c r="A36" s="582"/>
      <c r="B36" s="643"/>
      <c r="C36" s="701">
        <v>3</v>
      </c>
      <c r="D36" s="644">
        <v>1.5</v>
      </c>
      <c r="E36" s="645" t="s">
        <v>158</v>
      </c>
      <c r="F36" s="648"/>
      <c r="G36" s="647">
        <v>1.5</v>
      </c>
      <c r="H36" s="648">
        <v>1.5</v>
      </c>
      <c r="I36" s="649">
        <v>18</v>
      </c>
      <c r="J36" s="647"/>
      <c r="K36" s="650">
        <v>0.5</v>
      </c>
      <c r="L36" s="661"/>
      <c r="M36" s="661"/>
      <c r="N36" s="648">
        <v>13.5</v>
      </c>
      <c r="O36" s="647">
        <v>20</v>
      </c>
      <c r="P36" s="651">
        <v>230000</v>
      </c>
      <c r="Q36" s="651">
        <v>230000</v>
      </c>
      <c r="R36" s="651"/>
      <c r="S36" s="582"/>
    </row>
    <row r="37" spans="1:19" ht="18">
      <c r="A37" s="582"/>
      <c r="B37" s="643" t="s">
        <v>241</v>
      </c>
      <c r="C37" s="701">
        <v>15</v>
      </c>
      <c r="D37" s="644">
        <v>8.75</v>
      </c>
      <c r="E37" s="645" t="s">
        <v>170</v>
      </c>
      <c r="F37" s="648"/>
      <c r="G37" s="647">
        <v>8.75</v>
      </c>
      <c r="H37" s="648">
        <v>8.75</v>
      </c>
      <c r="I37" s="649">
        <v>28</v>
      </c>
      <c r="J37" s="647">
        <v>5.6</v>
      </c>
      <c r="K37" s="650">
        <v>0.8</v>
      </c>
      <c r="L37" s="661"/>
      <c r="M37" s="661"/>
      <c r="N37" s="648">
        <v>147</v>
      </c>
      <c r="O37" s="647">
        <v>45</v>
      </c>
      <c r="P37" s="651">
        <v>6615000</v>
      </c>
      <c r="Q37" s="651">
        <v>6615000</v>
      </c>
      <c r="R37" s="651"/>
      <c r="S37" s="582"/>
    </row>
    <row r="38" spans="1:19" ht="18">
      <c r="A38" s="582"/>
      <c r="B38" s="643"/>
      <c r="C38" s="701">
        <v>1</v>
      </c>
      <c r="D38" s="644">
        <v>0.25</v>
      </c>
      <c r="E38" s="645" t="s">
        <v>160</v>
      </c>
      <c r="F38" s="648"/>
      <c r="G38" s="648">
        <v>0.25</v>
      </c>
      <c r="H38" s="648">
        <v>0.25</v>
      </c>
      <c r="I38" s="649">
        <v>28</v>
      </c>
      <c r="J38" s="647"/>
      <c r="K38" s="650">
        <v>1</v>
      </c>
      <c r="L38" s="661">
        <v>233000</v>
      </c>
      <c r="M38" s="661">
        <v>58250</v>
      </c>
      <c r="N38" s="648"/>
      <c r="O38" s="647"/>
      <c r="P38" s="651"/>
      <c r="Q38" s="651">
        <v>58250</v>
      </c>
      <c r="R38" s="651"/>
      <c r="S38" s="582"/>
    </row>
    <row r="39" spans="1:19" ht="18">
      <c r="A39" s="582"/>
      <c r="B39" s="643" t="s">
        <v>242</v>
      </c>
      <c r="C39" s="701">
        <v>1</v>
      </c>
      <c r="D39" s="644">
        <v>0.25</v>
      </c>
      <c r="E39" s="645" t="s">
        <v>160</v>
      </c>
      <c r="F39" s="648"/>
      <c r="G39" s="648">
        <v>0.25</v>
      </c>
      <c r="H39" s="648">
        <v>0.25</v>
      </c>
      <c r="I39" s="649">
        <v>10</v>
      </c>
      <c r="J39" s="647"/>
      <c r="K39" s="650">
        <v>1</v>
      </c>
      <c r="L39" s="661">
        <v>200000</v>
      </c>
      <c r="M39" s="661">
        <v>50000</v>
      </c>
      <c r="N39" s="648"/>
      <c r="O39" s="647"/>
      <c r="P39" s="651"/>
      <c r="Q39" s="651"/>
      <c r="R39" s="651"/>
      <c r="S39" s="582"/>
    </row>
    <row r="40" spans="1:19" ht="18">
      <c r="A40" s="582"/>
      <c r="B40" s="643"/>
      <c r="C40" s="701">
        <v>3</v>
      </c>
      <c r="D40" s="644">
        <v>1.5</v>
      </c>
      <c r="E40" s="645" t="s">
        <v>170</v>
      </c>
      <c r="F40" s="648"/>
      <c r="G40" s="647">
        <v>1.5</v>
      </c>
      <c r="H40" s="648">
        <v>1.5</v>
      </c>
      <c r="I40" s="649">
        <v>10</v>
      </c>
      <c r="J40" s="647">
        <v>5</v>
      </c>
      <c r="K40" s="650">
        <v>0.5</v>
      </c>
      <c r="L40" s="661"/>
      <c r="M40" s="661"/>
      <c r="N40" s="648">
        <v>7.5</v>
      </c>
      <c r="O40" s="647">
        <v>1000</v>
      </c>
      <c r="P40" s="651">
        <v>7500000</v>
      </c>
      <c r="Q40" s="651">
        <v>7500000</v>
      </c>
      <c r="R40" s="651"/>
      <c r="S40" s="582"/>
    </row>
    <row r="41" spans="1:19" ht="18">
      <c r="A41" s="582"/>
      <c r="B41" s="643"/>
      <c r="C41" s="701">
        <v>3</v>
      </c>
      <c r="D41" s="644">
        <v>1</v>
      </c>
      <c r="E41" s="645" t="s">
        <v>158</v>
      </c>
      <c r="F41" s="648"/>
      <c r="G41" s="647">
        <v>1</v>
      </c>
      <c r="H41" s="648">
        <v>1</v>
      </c>
      <c r="I41" s="649">
        <v>10</v>
      </c>
      <c r="J41" s="647">
        <v>5</v>
      </c>
      <c r="K41" s="650">
        <v>0.6</v>
      </c>
      <c r="L41" s="661"/>
      <c r="M41" s="661"/>
      <c r="N41" s="648">
        <v>5</v>
      </c>
      <c r="O41" s="647">
        <v>1000</v>
      </c>
      <c r="P41" s="651">
        <v>5000000</v>
      </c>
      <c r="Q41" s="651">
        <v>5000000</v>
      </c>
      <c r="R41" s="651"/>
      <c r="S41" s="582"/>
    </row>
    <row r="42" spans="1:19" ht="18">
      <c r="A42" s="582"/>
      <c r="B42" s="643" t="s">
        <v>243</v>
      </c>
      <c r="C42" s="701">
        <v>1</v>
      </c>
      <c r="D42" s="644">
        <v>1</v>
      </c>
      <c r="E42" s="645" t="s">
        <v>170</v>
      </c>
      <c r="F42" s="648"/>
      <c r="G42" s="647">
        <v>1</v>
      </c>
      <c r="H42" s="648">
        <v>1</v>
      </c>
      <c r="I42" s="649">
        <v>52</v>
      </c>
      <c r="J42" s="647">
        <v>20.8</v>
      </c>
      <c r="K42" s="650">
        <v>0.6</v>
      </c>
      <c r="L42" s="661"/>
      <c r="M42" s="661"/>
      <c r="N42" s="648">
        <v>32.200000000000003</v>
      </c>
      <c r="O42" s="647">
        <v>10</v>
      </c>
      <c r="P42" s="651">
        <v>312000</v>
      </c>
      <c r="Q42" s="651">
        <v>312000</v>
      </c>
      <c r="R42" s="651"/>
      <c r="S42" s="582"/>
    </row>
    <row r="43" spans="1:19" ht="18">
      <c r="A43" s="582"/>
      <c r="B43" s="643" t="s">
        <v>244</v>
      </c>
      <c r="C43" s="701">
        <v>3</v>
      </c>
      <c r="D43" s="644">
        <v>1</v>
      </c>
      <c r="E43" s="645" t="s">
        <v>170</v>
      </c>
      <c r="F43" s="648"/>
      <c r="G43" s="647">
        <v>1</v>
      </c>
      <c r="H43" s="648">
        <v>1</v>
      </c>
      <c r="I43" s="649">
        <v>11</v>
      </c>
      <c r="J43" s="647">
        <v>4.4000000000000004</v>
      </c>
      <c r="K43" s="650">
        <v>0.6</v>
      </c>
      <c r="L43" s="661"/>
      <c r="M43" s="661"/>
      <c r="N43" s="648">
        <v>7.7</v>
      </c>
      <c r="O43" s="647">
        <v>30</v>
      </c>
      <c r="P43" s="651">
        <v>231000</v>
      </c>
      <c r="Q43" s="651">
        <v>231000</v>
      </c>
      <c r="R43" s="651"/>
      <c r="S43" s="582"/>
    </row>
    <row r="44" spans="1:19" ht="18">
      <c r="A44" s="582"/>
      <c r="B44" s="643" t="s">
        <v>245</v>
      </c>
      <c r="C44" s="701">
        <v>1</v>
      </c>
      <c r="D44" s="644">
        <v>0.5</v>
      </c>
      <c r="E44" s="645" t="s">
        <v>170</v>
      </c>
      <c r="F44" s="648"/>
      <c r="G44" s="647">
        <v>0.5</v>
      </c>
      <c r="H44" s="648">
        <v>0.5</v>
      </c>
      <c r="I44" s="649">
        <v>11</v>
      </c>
      <c r="J44" s="647">
        <v>4.4000000000000004</v>
      </c>
      <c r="K44" s="650">
        <v>0.6</v>
      </c>
      <c r="L44" s="661"/>
      <c r="M44" s="661"/>
      <c r="N44" s="648">
        <v>3.3</v>
      </c>
      <c r="O44" s="647">
        <v>30</v>
      </c>
      <c r="P44" s="651">
        <v>99000</v>
      </c>
      <c r="Q44" s="651">
        <v>99000</v>
      </c>
      <c r="R44" s="651"/>
      <c r="S44" s="582"/>
    </row>
    <row r="45" spans="1:19" ht="18">
      <c r="A45" s="582"/>
      <c r="B45" s="643" t="s">
        <v>246</v>
      </c>
      <c r="C45" s="701">
        <v>6</v>
      </c>
      <c r="D45" s="644">
        <v>3</v>
      </c>
      <c r="E45" s="645" t="s">
        <v>170</v>
      </c>
      <c r="F45" s="648"/>
      <c r="G45" s="647">
        <v>3</v>
      </c>
      <c r="H45" s="648">
        <v>3</v>
      </c>
      <c r="I45" s="649">
        <v>13</v>
      </c>
      <c r="J45" s="647">
        <v>4</v>
      </c>
      <c r="K45" s="650">
        <v>0.6</v>
      </c>
      <c r="L45" s="661"/>
      <c r="M45" s="661"/>
      <c r="N45" s="648">
        <v>29.25</v>
      </c>
      <c r="O45" s="647">
        <v>10</v>
      </c>
      <c r="P45" s="651">
        <v>292500</v>
      </c>
      <c r="Q45" s="651">
        <v>292500</v>
      </c>
      <c r="R45" s="651"/>
      <c r="S45" s="582"/>
    </row>
    <row r="46" spans="1:19" ht="18">
      <c r="A46" s="582"/>
      <c r="B46" s="643" t="s">
        <v>235</v>
      </c>
      <c r="C46" s="701">
        <v>6</v>
      </c>
      <c r="D46" s="644">
        <v>3.75</v>
      </c>
      <c r="E46" s="645" t="s">
        <v>170</v>
      </c>
      <c r="F46" s="648"/>
      <c r="G46" s="647">
        <v>3.75</v>
      </c>
      <c r="H46" s="648">
        <v>3.75</v>
      </c>
      <c r="I46" s="649">
        <v>18</v>
      </c>
      <c r="J46" s="647">
        <v>5.4</v>
      </c>
      <c r="K46" s="650">
        <v>0.6</v>
      </c>
      <c r="L46" s="661"/>
      <c r="M46" s="661"/>
      <c r="N46" s="648">
        <v>45.9</v>
      </c>
      <c r="O46" s="647">
        <v>15</v>
      </c>
      <c r="P46" s="651">
        <v>688500</v>
      </c>
      <c r="Q46" s="651">
        <v>688500</v>
      </c>
      <c r="R46" s="651"/>
      <c r="S46" s="582"/>
    </row>
    <row r="47" spans="1:19" ht="18">
      <c r="A47" s="582"/>
      <c r="B47" s="643" t="s">
        <v>247</v>
      </c>
      <c r="C47" s="701">
        <v>2</v>
      </c>
      <c r="D47" s="644">
        <v>0.75</v>
      </c>
      <c r="E47" s="645" t="s">
        <v>170</v>
      </c>
      <c r="F47" s="648"/>
      <c r="G47" s="647">
        <v>0.75</v>
      </c>
      <c r="H47" s="648">
        <v>0.75</v>
      </c>
      <c r="I47" s="649">
        <v>9</v>
      </c>
      <c r="J47" s="647">
        <v>3.6</v>
      </c>
      <c r="K47" s="650">
        <v>0.6</v>
      </c>
      <c r="L47" s="661"/>
      <c r="M47" s="661"/>
      <c r="N47" s="648">
        <v>4.05</v>
      </c>
      <c r="O47" s="647">
        <v>15</v>
      </c>
      <c r="P47" s="651">
        <v>60750</v>
      </c>
      <c r="Q47" s="651">
        <v>60750</v>
      </c>
      <c r="R47" s="651"/>
      <c r="S47" s="582"/>
    </row>
    <row r="48" spans="1:19" ht="18">
      <c r="A48" s="582"/>
      <c r="B48" s="643" t="s">
        <v>234</v>
      </c>
      <c r="C48" s="701">
        <v>13</v>
      </c>
      <c r="D48" s="644">
        <v>4.75</v>
      </c>
      <c r="E48" s="645" t="s">
        <v>170</v>
      </c>
      <c r="F48" s="648"/>
      <c r="G48" s="647">
        <v>4.75</v>
      </c>
      <c r="H48" s="648">
        <v>4.75</v>
      </c>
      <c r="I48" s="649">
        <v>15</v>
      </c>
      <c r="J48" s="647">
        <v>6</v>
      </c>
      <c r="K48" s="650">
        <v>0.6</v>
      </c>
      <c r="L48" s="661"/>
      <c r="M48" s="661"/>
      <c r="N48" s="648">
        <v>43.5</v>
      </c>
      <c r="O48" s="647">
        <v>15</v>
      </c>
      <c r="P48" s="651">
        <v>652500</v>
      </c>
      <c r="Q48" s="651">
        <v>652500</v>
      </c>
      <c r="R48" s="651"/>
      <c r="S48" s="582"/>
    </row>
    <row r="49" spans="1:19" ht="18">
      <c r="A49" s="582"/>
      <c r="B49" s="643" t="s">
        <v>248</v>
      </c>
      <c r="C49" s="701">
        <v>3</v>
      </c>
      <c r="D49" s="644">
        <v>1.75</v>
      </c>
      <c r="E49" s="645" t="s">
        <v>170</v>
      </c>
      <c r="F49" s="648"/>
      <c r="G49" s="647">
        <v>1.75</v>
      </c>
      <c r="H49" s="648">
        <v>1.75</v>
      </c>
      <c r="I49" s="649">
        <v>4</v>
      </c>
      <c r="J49" s="647">
        <v>0.8</v>
      </c>
      <c r="K49" s="650">
        <v>0.8</v>
      </c>
      <c r="L49" s="661"/>
      <c r="M49" s="661"/>
      <c r="N49" s="648">
        <v>5.6</v>
      </c>
      <c r="O49" s="647">
        <v>18</v>
      </c>
      <c r="P49" s="651">
        <v>100800</v>
      </c>
      <c r="Q49" s="651">
        <v>100800</v>
      </c>
      <c r="R49" s="651"/>
      <c r="S49" s="582"/>
    </row>
    <row r="50" spans="1:19" ht="18">
      <c r="A50" s="582"/>
      <c r="B50" s="643" t="s">
        <v>249</v>
      </c>
      <c r="C50" s="701">
        <v>1</v>
      </c>
      <c r="D50" s="644">
        <v>0.5</v>
      </c>
      <c r="E50" s="645" t="s">
        <v>170</v>
      </c>
      <c r="F50" s="648"/>
      <c r="G50" s="647">
        <v>0.5</v>
      </c>
      <c r="H50" s="648">
        <v>0.5</v>
      </c>
      <c r="I50" s="649">
        <v>1</v>
      </c>
      <c r="J50" s="647">
        <v>0.2</v>
      </c>
      <c r="K50" s="650">
        <v>0.8</v>
      </c>
      <c r="L50" s="661"/>
      <c r="M50" s="661"/>
      <c r="N50" s="648">
        <v>0.4</v>
      </c>
      <c r="O50" s="647">
        <v>60</v>
      </c>
      <c r="P50" s="651">
        <v>24000</v>
      </c>
      <c r="Q50" s="651">
        <v>24000</v>
      </c>
      <c r="R50" s="651"/>
      <c r="S50" s="582"/>
    </row>
    <row r="51" spans="1:19" ht="18">
      <c r="A51" s="643"/>
      <c r="B51" s="643" t="s">
        <v>250</v>
      </c>
      <c r="C51" s="701">
        <v>2</v>
      </c>
      <c r="D51" s="644">
        <v>1</v>
      </c>
      <c r="E51" s="645" t="s">
        <v>170</v>
      </c>
      <c r="F51" s="648"/>
      <c r="G51" s="647">
        <v>1</v>
      </c>
      <c r="H51" s="648">
        <v>1</v>
      </c>
      <c r="I51" s="649">
        <v>10</v>
      </c>
      <c r="J51" s="647">
        <v>2</v>
      </c>
      <c r="K51" s="650">
        <v>0.8</v>
      </c>
      <c r="L51" s="661"/>
      <c r="M51" s="661"/>
      <c r="N51" s="648">
        <v>8</v>
      </c>
      <c r="O51" s="647">
        <v>3</v>
      </c>
      <c r="P51" s="651">
        <v>240000</v>
      </c>
      <c r="Q51" s="651">
        <v>240000</v>
      </c>
      <c r="R51" s="651"/>
      <c r="S51" s="643" t="s">
        <v>251</v>
      </c>
    </row>
    <row r="52" spans="1:19" ht="18">
      <c r="A52" s="643"/>
      <c r="B52" s="643" t="s">
        <v>252</v>
      </c>
      <c r="C52" s="701">
        <v>2</v>
      </c>
      <c r="D52" s="644">
        <v>0.75</v>
      </c>
      <c r="E52" s="645" t="s">
        <v>160</v>
      </c>
      <c r="F52" s="648"/>
      <c r="G52" s="648">
        <v>0.75</v>
      </c>
      <c r="H52" s="648">
        <v>0.75</v>
      </c>
      <c r="I52" s="649">
        <v>0.23</v>
      </c>
      <c r="J52" s="647">
        <v>0.05</v>
      </c>
      <c r="K52" s="650">
        <v>0.8</v>
      </c>
      <c r="L52" s="661"/>
      <c r="M52" s="661"/>
      <c r="N52" s="648">
        <v>0.14000000000000001</v>
      </c>
      <c r="O52" s="647">
        <v>35</v>
      </c>
      <c r="P52" s="651">
        <v>4900</v>
      </c>
      <c r="Q52" s="651">
        <v>4900</v>
      </c>
      <c r="R52" s="651"/>
      <c r="S52" s="643"/>
    </row>
    <row r="53" spans="1:19" ht="18">
      <c r="A53" s="643" t="s">
        <v>253</v>
      </c>
      <c r="B53" s="643" t="s">
        <v>240</v>
      </c>
      <c r="C53" s="701">
        <v>41</v>
      </c>
      <c r="D53" s="644">
        <v>10.75</v>
      </c>
      <c r="E53" s="645" t="s">
        <v>160</v>
      </c>
      <c r="F53" s="648"/>
      <c r="G53" s="648">
        <v>10.75</v>
      </c>
      <c r="H53" s="648">
        <v>10.75</v>
      </c>
      <c r="I53" s="649">
        <v>18</v>
      </c>
      <c r="J53" s="647">
        <v>9</v>
      </c>
      <c r="K53" s="650">
        <v>0.5</v>
      </c>
      <c r="L53" s="661">
        <v>70000</v>
      </c>
      <c r="M53" s="661">
        <v>376425</v>
      </c>
      <c r="N53" s="648"/>
      <c r="O53" s="647"/>
      <c r="P53" s="651"/>
      <c r="Q53" s="651"/>
      <c r="R53" s="651"/>
      <c r="S53" s="643"/>
    </row>
    <row r="54" spans="1:19" ht="18">
      <c r="A54" s="643"/>
      <c r="B54" s="643"/>
      <c r="C54" s="701">
        <v>6</v>
      </c>
      <c r="D54" s="644">
        <v>4.5</v>
      </c>
      <c r="E54" s="645" t="s">
        <v>170</v>
      </c>
      <c r="F54" s="648"/>
      <c r="G54" s="647">
        <v>4.5</v>
      </c>
      <c r="H54" s="648">
        <v>4.5</v>
      </c>
      <c r="I54" s="649">
        <v>18</v>
      </c>
      <c r="J54" s="647">
        <v>9</v>
      </c>
      <c r="K54" s="650">
        <v>0.5</v>
      </c>
      <c r="L54" s="661"/>
      <c r="M54" s="661"/>
      <c r="N54" s="648">
        <v>40.5</v>
      </c>
      <c r="O54" s="647">
        <v>9</v>
      </c>
      <c r="P54" s="651">
        <v>364500</v>
      </c>
      <c r="Q54" s="651">
        <v>364500</v>
      </c>
      <c r="R54" s="651"/>
      <c r="S54" s="643"/>
    </row>
    <row r="55" spans="1:19" ht="18">
      <c r="A55" s="643"/>
      <c r="B55" s="643" t="s">
        <v>254</v>
      </c>
      <c r="C55" s="701">
        <v>5</v>
      </c>
      <c r="D55" s="644">
        <v>1.5</v>
      </c>
      <c r="E55" s="645" t="s">
        <v>160</v>
      </c>
      <c r="F55" s="643"/>
      <c r="G55" s="648">
        <v>1.5</v>
      </c>
      <c r="H55" s="648">
        <v>1.5</v>
      </c>
      <c r="I55" s="649">
        <v>18</v>
      </c>
      <c r="J55" s="647"/>
      <c r="K55" s="650">
        <v>0.5</v>
      </c>
      <c r="L55" s="661">
        <v>40000</v>
      </c>
      <c r="M55" s="661">
        <v>60000</v>
      </c>
      <c r="N55" s="648"/>
      <c r="O55" s="647"/>
      <c r="P55" s="651"/>
      <c r="Q55" s="651">
        <v>60000</v>
      </c>
      <c r="R55" s="651"/>
      <c r="S55" s="643"/>
    </row>
    <row r="56" spans="1:19" ht="36">
      <c r="A56" s="643"/>
      <c r="B56" s="697" t="s">
        <v>255</v>
      </c>
      <c r="C56" s="701">
        <v>6</v>
      </c>
      <c r="D56" s="644">
        <v>5.25</v>
      </c>
      <c r="E56" s="645" t="s">
        <v>160</v>
      </c>
      <c r="F56" s="643"/>
      <c r="G56" s="648">
        <v>5.25</v>
      </c>
      <c r="H56" s="648">
        <v>5.25</v>
      </c>
      <c r="I56" s="649">
        <v>18</v>
      </c>
      <c r="J56" s="647"/>
      <c r="K56" s="650">
        <v>0.5</v>
      </c>
      <c r="L56" s="661">
        <v>92000</v>
      </c>
      <c r="M56" s="661">
        <v>241000</v>
      </c>
      <c r="N56" s="648"/>
      <c r="O56" s="647"/>
      <c r="P56" s="651"/>
      <c r="Q56" s="651">
        <v>241000</v>
      </c>
      <c r="R56" s="651"/>
      <c r="S56" s="643"/>
    </row>
    <row r="57" spans="1:19" ht="18">
      <c r="A57" s="652" t="s">
        <v>231</v>
      </c>
      <c r="B57" s="652"/>
      <c r="C57" s="702">
        <v>180</v>
      </c>
      <c r="D57" s="653">
        <v>101.88</v>
      </c>
      <c r="E57" s="654"/>
      <c r="F57" s="655">
        <v>0</v>
      </c>
      <c r="G57" s="656">
        <v>101.88</v>
      </c>
      <c r="H57" s="655">
        <v>101.88</v>
      </c>
      <c r="I57" s="657"/>
      <c r="J57" s="656"/>
      <c r="K57" s="658"/>
      <c r="L57" s="698">
        <v>795000</v>
      </c>
      <c r="M57" s="698">
        <v>1025675</v>
      </c>
      <c r="N57" s="655">
        <v>838.77</v>
      </c>
      <c r="O57" s="656"/>
      <c r="P57" s="659">
        <v>28100790</v>
      </c>
      <c r="Q57" s="659">
        <v>28595040</v>
      </c>
      <c r="R57" s="659"/>
      <c r="S57" s="652"/>
    </row>
    <row r="58" spans="1:19" ht="18.75" thickBot="1">
      <c r="A58" s="588" t="s">
        <v>25</v>
      </c>
      <c r="B58" s="662"/>
      <c r="C58" s="699">
        <v>213</v>
      </c>
      <c r="D58" s="663">
        <v>140.28</v>
      </c>
      <c r="E58" s="664"/>
      <c r="F58" s="665">
        <v>8.4</v>
      </c>
      <c r="G58" s="666">
        <v>122.13</v>
      </c>
      <c r="H58" s="667">
        <v>130.53</v>
      </c>
      <c r="I58" s="668"/>
      <c r="J58" s="669"/>
      <c r="K58" s="670"/>
      <c r="L58" s="671">
        <v>795000</v>
      </c>
      <c r="M58" s="672">
        <v>1025675</v>
      </c>
      <c r="N58" s="673">
        <v>1248.21</v>
      </c>
      <c r="O58" s="674"/>
      <c r="P58" s="675">
        <v>34113558</v>
      </c>
      <c r="Q58" s="676">
        <v>34607808</v>
      </c>
      <c r="R58" s="677"/>
      <c r="S58" s="678"/>
    </row>
    <row r="59" spans="1:19" ht="18">
      <c r="A59" s="703"/>
      <c r="B59" s="679"/>
      <c r="C59" s="704"/>
      <c r="D59" s="705"/>
      <c r="E59" s="587"/>
      <c r="F59" s="681"/>
      <c r="G59" s="706"/>
      <c r="H59" s="706"/>
      <c r="I59" s="682"/>
      <c r="J59" s="683"/>
      <c r="K59" s="587"/>
      <c r="L59" s="684"/>
      <c r="M59" s="684"/>
      <c r="N59" s="706"/>
      <c r="O59" s="587"/>
      <c r="P59" s="707"/>
      <c r="Q59" s="707"/>
      <c r="R59" s="680"/>
      <c r="S59" s="678"/>
    </row>
    <row r="60" spans="1:19" ht="18">
      <c r="A60" s="703"/>
      <c r="B60" s="679"/>
      <c r="C60" s="704"/>
      <c r="D60" s="705"/>
      <c r="E60" s="587"/>
      <c r="F60" s="681"/>
      <c r="G60" s="706"/>
      <c r="H60" s="706"/>
      <c r="I60" s="682"/>
      <c r="J60" s="683"/>
      <c r="K60" s="587"/>
      <c r="L60" s="684"/>
      <c r="M60" s="684"/>
      <c r="N60" s="706"/>
      <c r="O60" s="587"/>
      <c r="P60" s="707"/>
      <c r="Q60" s="707"/>
      <c r="R60" s="680"/>
      <c r="S60" s="678"/>
    </row>
    <row r="61" spans="1:19" ht="18">
      <c r="A61" s="703"/>
      <c r="B61" s="679"/>
      <c r="C61" s="704"/>
      <c r="D61" s="705"/>
      <c r="E61" s="587"/>
      <c r="F61" s="681"/>
      <c r="G61" s="706"/>
      <c r="H61" s="706"/>
      <c r="I61" s="682"/>
      <c r="J61" s="683"/>
      <c r="K61" s="587"/>
      <c r="L61" s="684"/>
      <c r="M61" s="684"/>
      <c r="N61" s="706"/>
      <c r="O61" s="587"/>
      <c r="P61" s="707"/>
      <c r="Q61" s="707"/>
      <c r="R61" s="680"/>
      <c r="S61" s="678"/>
    </row>
    <row r="62" spans="1:19" ht="18">
      <c r="A62" s="587"/>
      <c r="B62" s="679"/>
      <c r="C62" s="587"/>
      <c r="D62" s="680"/>
      <c r="E62" s="587"/>
      <c r="F62" s="681"/>
      <c r="G62" s="586"/>
      <c r="H62" s="586"/>
      <c r="I62" s="682"/>
      <c r="J62" s="683"/>
      <c r="K62" s="587"/>
      <c r="L62" s="684"/>
      <c r="M62" s="684"/>
      <c r="N62" s="586"/>
      <c r="O62" s="587"/>
      <c r="P62" s="585"/>
      <c r="Q62" s="585"/>
      <c r="R62" s="685"/>
      <c r="S62" s="615"/>
    </row>
    <row r="63" spans="1:19" ht="18">
      <c r="A63" s="587"/>
      <c r="B63" s="679"/>
      <c r="C63" s="587"/>
      <c r="D63" s="680"/>
      <c r="E63" s="587"/>
      <c r="F63" s="681"/>
      <c r="G63" s="586"/>
      <c r="H63" s="586"/>
      <c r="I63" s="682"/>
      <c r="J63" s="683"/>
      <c r="K63" s="587"/>
      <c r="L63" s="684"/>
      <c r="M63" s="684"/>
      <c r="N63" s="586"/>
      <c r="O63" s="587"/>
      <c r="P63" s="585"/>
      <c r="Q63" s="585"/>
      <c r="R63" s="685"/>
      <c r="S63" s="615"/>
    </row>
    <row r="64" spans="1:19" ht="18">
      <c r="A64" s="587"/>
      <c r="B64" s="679"/>
      <c r="C64" s="587"/>
      <c r="D64" s="680"/>
      <c r="E64" s="587"/>
      <c r="F64" s="681"/>
      <c r="G64" s="586"/>
      <c r="H64" s="586"/>
      <c r="I64" s="682"/>
      <c r="J64" s="683"/>
      <c r="K64" s="587"/>
      <c r="L64" s="684"/>
      <c r="M64" s="684"/>
      <c r="N64" s="586"/>
      <c r="O64" s="587"/>
      <c r="P64" s="585"/>
      <c r="Q64" s="585"/>
      <c r="R64" s="685"/>
      <c r="S64" s="615"/>
    </row>
    <row r="65" spans="1:19" ht="18">
      <c r="A65" s="587"/>
      <c r="B65" s="679"/>
      <c r="C65" s="587"/>
      <c r="D65" s="680"/>
      <c r="E65" s="587"/>
      <c r="F65" s="681"/>
      <c r="G65" s="586"/>
      <c r="H65" s="586"/>
      <c r="I65" s="682"/>
      <c r="J65" s="683"/>
      <c r="K65" s="587"/>
      <c r="L65" s="684"/>
      <c r="M65" s="684"/>
      <c r="N65" s="586"/>
      <c r="O65" s="587"/>
      <c r="P65" s="585"/>
      <c r="Q65" s="585"/>
      <c r="R65" s="685"/>
      <c r="S65" s="615"/>
    </row>
    <row r="66" spans="1:19" ht="18">
      <c r="A66" s="587"/>
      <c r="B66" s="679"/>
      <c r="C66" s="587"/>
      <c r="D66" s="680"/>
      <c r="E66" s="587"/>
      <c r="F66" s="681"/>
      <c r="G66" s="586"/>
      <c r="H66" s="586"/>
      <c r="I66" s="682"/>
      <c r="J66" s="683"/>
      <c r="K66" s="587"/>
      <c r="L66" s="684"/>
      <c r="M66" s="684"/>
      <c r="N66" s="586"/>
      <c r="O66" s="587"/>
      <c r="P66" s="585"/>
      <c r="Q66" s="585"/>
      <c r="R66" s="685"/>
      <c r="S66" s="615"/>
    </row>
    <row r="67" spans="1:19" ht="18">
      <c r="A67" s="589"/>
      <c r="B67" s="589"/>
      <c r="C67" s="696"/>
      <c r="D67" s="589"/>
      <c r="E67" s="589"/>
      <c r="F67" s="589"/>
      <c r="G67" s="589"/>
      <c r="H67" s="589"/>
      <c r="I67" s="686"/>
      <c r="J67" s="687"/>
      <c r="K67" s="589"/>
      <c r="L67" s="589"/>
      <c r="M67" s="589"/>
      <c r="N67" s="688"/>
      <c r="O67" s="589"/>
      <c r="P67" s="589"/>
      <c r="Q67" s="589"/>
      <c r="R67" s="589"/>
      <c r="S67" s="589"/>
    </row>
    <row r="68" spans="1:19" ht="18">
      <c r="A68" s="689" t="s">
        <v>256</v>
      </c>
      <c r="B68" s="615"/>
      <c r="C68" s="700"/>
      <c r="D68" s="690"/>
      <c r="E68" s="690"/>
      <c r="F68" s="615"/>
      <c r="G68" s="615"/>
      <c r="H68" s="615"/>
      <c r="I68" s="691"/>
      <c r="J68" s="692"/>
      <c r="K68" s="615"/>
      <c r="L68" s="693"/>
      <c r="M68" s="689" t="s">
        <v>257</v>
      </c>
      <c r="N68" s="694"/>
      <c r="O68" s="693"/>
      <c r="P68" s="693"/>
      <c r="Q68" s="693"/>
      <c r="R68" s="615"/>
      <c r="S68" s="615"/>
    </row>
    <row r="69" spans="1:19" ht="18">
      <c r="A69" s="1910" t="s">
        <v>258</v>
      </c>
      <c r="B69" s="1910"/>
      <c r="C69" s="700"/>
      <c r="D69" s="690"/>
      <c r="E69" s="690"/>
      <c r="F69" s="615"/>
      <c r="G69" s="615"/>
      <c r="H69" s="615"/>
      <c r="I69" s="691"/>
      <c r="J69" s="692"/>
      <c r="K69" s="615"/>
      <c r="L69" s="1911" t="s">
        <v>259</v>
      </c>
      <c r="M69" s="1911"/>
      <c r="N69" s="1911"/>
      <c r="O69" s="1911"/>
      <c r="P69" s="1911"/>
      <c r="Q69" s="695"/>
      <c r="R69" s="615"/>
      <c r="S69" s="615"/>
    </row>
    <row r="70" spans="1:19" ht="18">
      <c r="A70" s="689" t="s">
        <v>260</v>
      </c>
      <c r="B70" s="615"/>
      <c r="C70" s="700"/>
      <c r="D70" s="690"/>
      <c r="E70" s="690"/>
      <c r="F70" s="615"/>
      <c r="G70" s="615"/>
      <c r="H70" s="615"/>
      <c r="I70" s="691"/>
      <c r="J70" s="692"/>
      <c r="K70" s="615"/>
      <c r="L70" s="693"/>
      <c r="M70" s="689" t="s">
        <v>260</v>
      </c>
      <c r="N70" s="694"/>
      <c r="O70" s="693"/>
      <c r="P70" s="693"/>
      <c r="Q70" s="693"/>
      <c r="R70" s="615"/>
      <c r="S70" s="615"/>
    </row>
    <row r="75" spans="1:19" ht="23.25">
      <c r="A75" s="734"/>
      <c r="B75" s="734"/>
      <c r="C75" s="734"/>
      <c r="D75" s="744"/>
      <c r="E75" s="745"/>
      <c r="F75" s="744"/>
      <c r="G75" s="744"/>
      <c r="H75" s="744"/>
      <c r="I75" s="744"/>
      <c r="J75" s="734"/>
      <c r="K75" s="734"/>
    </row>
    <row r="76" spans="1:19" ht="23.25">
      <c r="A76" s="747"/>
      <c r="B76" s="1879"/>
      <c r="C76" s="1879"/>
      <c r="D76" s="1879"/>
      <c r="E76" s="1879"/>
      <c r="F76" s="1879"/>
      <c r="G76" s="744"/>
      <c r="H76" s="746"/>
      <c r="I76" s="744"/>
      <c r="J76" s="734"/>
      <c r="K76" s="734"/>
    </row>
    <row r="77" spans="1:19" ht="23.25">
      <c r="A77" s="734"/>
      <c r="B77" s="1880"/>
      <c r="C77" s="1880"/>
      <c r="D77" s="1880"/>
      <c r="E77" s="1880"/>
      <c r="F77" s="1880"/>
      <c r="G77" s="744"/>
      <c r="H77" s="744"/>
      <c r="I77" s="744"/>
      <c r="J77" s="734"/>
      <c r="K77" s="734"/>
    </row>
    <row r="84" ht="18.75" customHeight="1"/>
    <row r="85" ht="18.75" customHeight="1"/>
    <row r="86" ht="16.5" customHeight="1"/>
    <row r="87" ht="15" customHeight="1"/>
    <row r="88" ht="15.75" customHeight="1"/>
    <row r="90" ht="23.25" customHeight="1"/>
    <row r="91" ht="23.25" customHeight="1"/>
    <row r="92" ht="23.25" customHeight="1"/>
    <row r="93" ht="23.25" customHeight="1"/>
    <row r="94" ht="23.25" customHeight="1"/>
  </sheetData>
  <mergeCells count="28">
    <mergeCell ref="L69:P69"/>
    <mergeCell ref="K15:K17"/>
    <mergeCell ref="L15:Q15"/>
    <mergeCell ref="R15:R17"/>
    <mergeCell ref="L16:M16"/>
    <mergeCell ref="N16:P16"/>
    <mergeCell ref="Q16:Q17"/>
    <mergeCell ref="D15:D17"/>
    <mergeCell ref="E15:E17"/>
    <mergeCell ref="F15:H16"/>
    <mergeCell ref="A69:B69"/>
    <mergeCell ref="I15:J16"/>
    <mergeCell ref="B76:F76"/>
    <mergeCell ref="B77:F77"/>
    <mergeCell ref="A9:B9"/>
    <mergeCell ref="N9:Q9"/>
    <mergeCell ref="A3:R3"/>
    <mergeCell ref="A4:R4"/>
    <mergeCell ref="A5:R5"/>
    <mergeCell ref="A7:R7"/>
    <mergeCell ref="A6:S6"/>
    <mergeCell ref="A10:C10"/>
    <mergeCell ref="P10:Q10"/>
    <mergeCell ref="A11:C11"/>
    <mergeCell ref="A13:H13"/>
    <mergeCell ref="A15:A17"/>
    <mergeCell ref="B15:B17"/>
    <mergeCell ref="C15:C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73"/>
  <sheetViews>
    <sheetView tabSelected="1" zoomScale="71" zoomScaleNormal="71" workbookViewId="0">
      <selection activeCell="J190" sqref="J190"/>
    </sheetView>
  </sheetViews>
  <sheetFormatPr defaultRowHeight="15"/>
  <cols>
    <col min="1" max="1" width="26.42578125" customWidth="1"/>
    <col min="2" max="2" width="14.140625" customWidth="1"/>
    <col min="3" max="3" width="16.7109375" customWidth="1"/>
    <col min="4" max="4" width="12.5703125" customWidth="1"/>
    <col min="5" max="5" width="15.5703125" customWidth="1"/>
    <col min="6" max="6" width="18.5703125" customWidth="1"/>
    <col min="7" max="8" width="13.140625" customWidth="1"/>
    <col min="9" max="9" width="11.5703125" customWidth="1"/>
    <col min="10" max="10" width="19.42578125" customWidth="1"/>
    <col min="11" max="11" width="23.5703125" customWidth="1"/>
    <col min="12" max="12" width="13.140625" customWidth="1"/>
    <col min="13" max="13" width="17.85546875" customWidth="1"/>
    <col min="14" max="14" width="19.7109375" customWidth="1"/>
    <col min="15" max="15" width="17.42578125" customWidth="1"/>
    <col min="16" max="16" width="14.5703125" customWidth="1"/>
    <col min="17" max="17" width="21.140625" customWidth="1"/>
    <col min="18" max="18" width="18.42578125" customWidth="1"/>
    <col min="19" max="19" width="25.5703125" customWidth="1"/>
  </cols>
  <sheetData>
    <row r="1" spans="1:19" ht="27">
      <c r="A1" s="1936" t="s">
        <v>520</v>
      </c>
      <c r="B1" s="1936"/>
      <c r="C1" s="1936"/>
      <c r="D1" s="1936"/>
      <c r="E1" s="1936"/>
      <c r="F1" s="1936"/>
      <c r="G1" s="1936"/>
      <c r="H1" s="1936"/>
      <c r="I1" s="1936"/>
      <c r="J1" s="1936"/>
      <c r="K1" s="1936"/>
      <c r="L1" s="1936"/>
      <c r="M1" s="1936"/>
      <c r="N1" s="1936"/>
      <c r="O1" s="1936"/>
      <c r="P1" s="1936"/>
      <c r="Q1" s="1936"/>
      <c r="R1" s="1936"/>
      <c r="S1" s="1936"/>
    </row>
    <row r="2" spans="1:19" ht="18">
      <c r="A2" s="1937" t="s">
        <v>521</v>
      </c>
      <c r="B2" s="1937"/>
      <c r="C2" s="1937"/>
      <c r="D2" s="1937"/>
      <c r="E2" s="1937"/>
      <c r="F2" s="1937"/>
      <c r="G2" s="1937"/>
      <c r="H2" s="1937"/>
      <c r="I2" s="1937"/>
      <c r="J2" s="1937"/>
      <c r="K2" s="1937"/>
      <c r="L2" s="1937"/>
      <c r="M2" s="1937"/>
      <c r="N2" s="1937"/>
      <c r="O2" s="1937"/>
      <c r="P2" s="1937"/>
      <c r="Q2" s="1937"/>
      <c r="R2" s="1937"/>
      <c r="S2" s="1937"/>
    </row>
    <row r="3" spans="1:19" ht="18">
      <c r="A3" s="1937" t="s">
        <v>522</v>
      </c>
      <c r="B3" s="1937"/>
      <c r="C3" s="1937"/>
      <c r="D3" s="1937"/>
      <c r="E3" s="1937"/>
      <c r="F3" s="1937"/>
      <c r="G3" s="1937"/>
      <c r="H3" s="1937"/>
      <c r="I3" s="1937"/>
      <c r="J3" s="1937"/>
      <c r="K3" s="1937"/>
      <c r="L3" s="1937"/>
      <c r="M3" s="1937"/>
      <c r="N3" s="1937"/>
      <c r="O3" s="1937"/>
      <c r="P3" s="1937"/>
      <c r="Q3" s="1937"/>
      <c r="R3" s="1937"/>
      <c r="S3" s="1937"/>
    </row>
    <row r="4" spans="1:19" ht="18">
      <c r="A4" s="1937" t="s">
        <v>523</v>
      </c>
      <c r="B4" s="1937"/>
      <c r="C4" s="1937"/>
      <c r="D4" s="1937"/>
      <c r="E4" s="1937"/>
      <c r="F4" s="1937"/>
      <c r="G4" s="1937"/>
      <c r="H4" s="1937"/>
      <c r="I4" s="1937"/>
      <c r="J4" s="1937"/>
      <c r="K4" s="1937"/>
      <c r="L4" s="1937"/>
      <c r="M4" s="1937"/>
      <c r="N4" s="1937"/>
      <c r="O4" s="1937"/>
      <c r="P4" s="1937"/>
      <c r="Q4" s="1937"/>
      <c r="R4" s="1937"/>
      <c r="S4" s="1937"/>
    </row>
    <row r="5" spans="1:19" ht="18">
      <c r="A5" s="1938" t="s">
        <v>524</v>
      </c>
      <c r="B5" s="1938"/>
      <c r="C5" s="1938"/>
      <c r="D5" s="1938"/>
      <c r="E5" s="1938"/>
      <c r="F5" s="1938"/>
      <c r="G5" s="1938"/>
      <c r="H5" s="1938"/>
      <c r="I5" s="1938"/>
      <c r="J5" s="1938"/>
      <c r="K5" s="1938"/>
      <c r="L5" s="1938"/>
      <c r="M5" s="1938"/>
      <c r="N5" s="1938"/>
      <c r="O5" s="1938"/>
      <c r="P5" s="1938"/>
      <c r="Q5" s="1938"/>
      <c r="R5" s="1938"/>
      <c r="S5" s="1938"/>
    </row>
    <row r="6" spans="1:19" ht="24" thickBot="1">
      <c r="A6" s="1196"/>
      <c r="B6" s="1196"/>
      <c r="C6" s="1340"/>
      <c r="D6" s="1196"/>
      <c r="E6" s="1196"/>
      <c r="F6" s="1196"/>
      <c r="G6" s="1196"/>
      <c r="H6" s="1196"/>
      <c r="I6" s="1196"/>
      <c r="J6" s="1196"/>
      <c r="K6" s="1196"/>
      <c r="L6" s="1196"/>
      <c r="M6" s="1196"/>
      <c r="N6" s="1196"/>
      <c r="O6" s="1196"/>
      <c r="P6" s="1196"/>
      <c r="Q6" s="1196"/>
      <c r="R6" s="1196"/>
      <c r="S6" s="1196"/>
    </row>
    <row r="7" spans="1:19" ht="23.25">
      <c r="A7" s="808" t="s">
        <v>67</v>
      </c>
      <c r="B7" s="809"/>
      <c r="C7" s="1341"/>
      <c r="D7" s="810"/>
      <c r="E7" s="810"/>
      <c r="F7" s="810"/>
      <c r="G7" s="810"/>
      <c r="H7" s="810"/>
      <c r="I7" s="810"/>
      <c r="J7" s="810"/>
      <c r="K7" s="810"/>
      <c r="L7" s="810"/>
      <c r="M7" s="159"/>
      <c r="N7" s="811" t="s">
        <v>68</v>
      </c>
      <c r="O7" s="810"/>
      <c r="P7" s="810"/>
      <c r="Q7" s="810"/>
      <c r="R7" s="810"/>
      <c r="S7" s="812"/>
    </row>
    <row r="8" spans="1:19" ht="23.25">
      <c r="A8" s="813" t="s">
        <v>525</v>
      </c>
      <c r="B8" s="814"/>
      <c r="C8" s="1342"/>
      <c r="D8" s="1196"/>
      <c r="E8" s="1196"/>
      <c r="F8" s="1196"/>
      <c r="G8" s="1196"/>
      <c r="H8" s="1196"/>
      <c r="I8" s="1196"/>
      <c r="J8" s="1196"/>
      <c r="K8" s="1196"/>
      <c r="L8" s="1196"/>
      <c r="M8" s="815"/>
      <c r="N8" s="816" t="s">
        <v>70</v>
      </c>
      <c r="O8" s="817"/>
      <c r="P8" s="817" t="s">
        <v>71</v>
      </c>
      <c r="Q8" s="1196"/>
      <c r="R8" s="1196"/>
      <c r="S8" s="818"/>
    </row>
    <row r="9" spans="1:19" ht="25.5">
      <c r="A9" s="813" t="s">
        <v>526</v>
      </c>
      <c r="B9" s="814"/>
      <c r="C9" s="1342"/>
      <c r="D9" s="1196"/>
      <c r="E9" s="1196"/>
      <c r="F9" s="1196"/>
      <c r="G9" s="1196"/>
      <c r="H9" s="1196"/>
      <c r="I9" s="1196"/>
      <c r="J9" s="1196"/>
      <c r="K9" s="1196"/>
      <c r="L9" s="1196"/>
      <c r="M9" s="815"/>
      <c r="N9" s="819" t="s">
        <v>73</v>
      </c>
      <c r="O9" s="160"/>
      <c r="P9" s="1195"/>
      <c r="Q9" s="821" t="s">
        <v>74</v>
      </c>
      <c r="R9" s="821"/>
      <c r="S9" s="818"/>
    </row>
    <row r="10" spans="1:19" ht="23.25">
      <c r="A10" s="1343" t="s">
        <v>225</v>
      </c>
      <c r="B10" s="814"/>
      <c r="C10" s="1342"/>
      <c r="D10" s="1196"/>
      <c r="E10" s="1196"/>
      <c r="F10" s="1196"/>
      <c r="G10" s="1196"/>
      <c r="H10" s="1196"/>
      <c r="I10" s="1196"/>
      <c r="J10" s="1196"/>
      <c r="K10" s="1196"/>
      <c r="L10" s="1196"/>
      <c r="M10" s="815"/>
      <c r="N10" s="819" t="s">
        <v>75</v>
      </c>
      <c r="O10" s="160"/>
      <c r="P10" s="1196"/>
      <c r="Q10" s="821" t="s">
        <v>76</v>
      </c>
      <c r="R10" s="821"/>
      <c r="S10" s="818"/>
    </row>
    <row r="11" spans="1:19" ht="23.25">
      <c r="A11" s="813"/>
      <c r="B11" s="814"/>
      <c r="C11" s="1342"/>
      <c r="D11" s="1196"/>
      <c r="E11" s="1196"/>
      <c r="F11" s="1196"/>
      <c r="G11" s="1196"/>
      <c r="H11" s="1196"/>
      <c r="I11" s="1196"/>
      <c r="J11" s="1196"/>
      <c r="K11" s="1196"/>
      <c r="L11" s="1196"/>
      <c r="M11" s="815"/>
      <c r="N11" s="819" t="s">
        <v>77</v>
      </c>
      <c r="O11" s="160"/>
      <c r="P11" s="1196"/>
      <c r="Q11" s="821" t="s">
        <v>78</v>
      </c>
      <c r="R11" s="821"/>
      <c r="S11" s="818"/>
    </row>
    <row r="12" spans="1:19" ht="24" thickBot="1">
      <c r="A12" s="822"/>
      <c r="B12" s="823"/>
      <c r="C12" s="134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826"/>
      <c r="O12" s="824"/>
      <c r="P12" s="824"/>
      <c r="Q12" s="824"/>
      <c r="R12" s="824"/>
      <c r="S12" s="827"/>
    </row>
    <row r="13" spans="1:19" ht="15.75" thickBot="1">
      <c r="A13" s="1939" t="s">
        <v>527</v>
      </c>
      <c r="B13" s="1942" t="s">
        <v>309</v>
      </c>
      <c r="C13" s="1945" t="s">
        <v>81</v>
      </c>
      <c r="D13" s="1948" t="s">
        <v>310</v>
      </c>
      <c r="E13" s="1948" t="s">
        <v>83</v>
      </c>
      <c r="F13" s="1951" t="s">
        <v>84</v>
      </c>
      <c r="G13" s="1954" t="s">
        <v>85</v>
      </c>
      <c r="H13" s="1955"/>
      <c r="I13" s="1956"/>
      <c r="J13" s="1954" t="s">
        <v>86</v>
      </c>
      <c r="K13" s="1956"/>
      <c r="L13" s="1960" t="s">
        <v>87</v>
      </c>
      <c r="M13" s="1963" t="s">
        <v>88</v>
      </c>
      <c r="N13" s="1964"/>
      <c r="O13" s="1964"/>
      <c r="P13" s="1964"/>
      <c r="Q13" s="1964"/>
      <c r="R13" s="1965"/>
      <c r="S13" s="1927" t="s">
        <v>59</v>
      </c>
    </row>
    <row r="14" spans="1:19">
      <c r="A14" s="1940"/>
      <c r="B14" s="1943"/>
      <c r="C14" s="1946"/>
      <c r="D14" s="1949"/>
      <c r="E14" s="1949"/>
      <c r="F14" s="1952"/>
      <c r="G14" s="1957"/>
      <c r="H14" s="1958"/>
      <c r="I14" s="1959"/>
      <c r="J14" s="1957"/>
      <c r="K14" s="1959"/>
      <c r="L14" s="1961"/>
      <c r="M14" s="1930" t="s">
        <v>90</v>
      </c>
      <c r="N14" s="1931"/>
      <c r="O14" s="1930" t="s">
        <v>91</v>
      </c>
      <c r="P14" s="1932"/>
      <c r="Q14" s="1933"/>
      <c r="R14" s="1934" t="s">
        <v>89</v>
      </c>
      <c r="S14" s="1928"/>
    </row>
    <row r="15" spans="1:19" ht="39" thickBot="1">
      <c r="A15" s="1941"/>
      <c r="B15" s="1944"/>
      <c r="C15" s="1947"/>
      <c r="D15" s="1950"/>
      <c r="E15" s="1950"/>
      <c r="F15" s="1953"/>
      <c r="G15" s="1345" t="s">
        <v>92</v>
      </c>
      <c r="H15" s="1346" t="s">
        <v>93</v>
      </c>
      <c r="I15" s="1347" t="s">
        <v>25</v>
      </c>
      <c r="J15" s="1345" t="s">
        <v>94</v>
      </c>
      <c r="K15" s="1347" t="s">
        <v>95</v>
      </c>
      <c r="L15" s="1962"/>
      <c r="M15" s="1348" t="s">
        <v>96</v>
      </c>
      <c r="N15" s="1349" t="s">
        <v>97</v>
      </c>
      <c r="O15" s="1348" t="s">
        <v>98</v>
      </c>
      <c r="P15" s="1350" t="s">
        <v>153</v>
      </c>
      <c r="Q15" s="1351" t="s">
        <v>100</v>
      </c>
      <c r="R15" s="1935"/>
      <c r="S15" s="1929"/>
    </row>
    <row r="16" spans="1:19" ht="18">
      <c r="A16" s="1352" t="s">
        <v>101</v>
      </c>
      <c r="B16" s="1353" t="s">
        <v>102</v>
      </c>
      <c r="C16" s="1354" t="s">
        <v>103</v>
      </c>
      <c r="D16" s="1355" t="s">
        <v>104</v>
      </c>
      <c r="E16" s="1355" t="s">
        <v>105</v>
      </c>
      <c r="F16" s="1356" t="s">
        <v>106</v>
      </c>
      <c r="G16" s="1357" t="s">
        <v>107</v>
      </c>
      <c r="H16" s="1356" t="s">
        <v>108</v>
      </c>
      <c r="I16" s="1353" t="s">
        <v>109</v>
      </c>
      <c r="J16" s="1356" t="s">
        <v>110</v>
      </c>
      <c r="K16" s="1358" t="s">
        <v>111</v>
      </c>
      <c r="L16" s="1359" t="s">
        <v>112</v>
      </c>
      <c r="M16" s="1359" t="s">
        <v>113</v>
      </c>
      <c r="N16" s="1352" t="s">
        <v>114</v>
      </c>
      <c r="O16" s="1353" t="s">
        <v>115</v>
      </c>
      <c r="P16" s="1356" t="s">
        <v>116</v>
      </c>
      <c r="Q16" s="1358" t="s">
        <v>117</v>
      </c>
      <c r="R16" s="1352" t="s">
        <v>118</v>
      </c>
      <c r="S16" s="1360" t="s">
        <v>119</v>
      </c>
    </row>
    <row r="17" spans="1:19" ht="18">
      <c r="A17" s="1361" t="s">
        <v>175</v>
      </c>
      <c r="B17" s="1362" t="s">
        <v>121</v>
      </c>
      <c r="C17" s="1363" t="s">
        <v>381</v>
      </c>
      <c r="D17" s="1364">
        <v>73</v>
      </c>
      <c r="E17" s="1365">
        <v>73.8</v>
      </c>
      <c r="F17" s="1366" t="s">
        <v>51</v>
      </c>
      <c r="G17" s="1367"/>
      <c r="H17" s="1368">
        <v>73.8</v>
      </c>
      <c r="I17" s="1369">
        <f>SUM(G17:H17)</f>
        <v>73.8</v>
      </c>
      <c r="J17" s="1370">
        <v>5.4</v>
      </c>
      <c r="K17" s="1371">
        <f>J17-(J17*L17)</f>
        <v>4.32</v>
      </c>
      <c r="L17" s="1372">
        <v>0.2</v>
      </c>
      <c r="M17" s="1373">
        <v>31390</v>
      </c>
      <c r="N17" s="1374">
        <f>I17*J17*L17*M17</f>
        <v>2501908.56</v>
      </c>
      <c r="O17" s="1373"/>
      <c r="P17" s="1375"/>
      <c r="Q17" s="1376"/>
      <c r="R17" s="1377">
        <f>N17+Q17</f>
        <v>2501908.56</v>
      </c>
      <c r="S17" s="1378" t="s">
        <v>528</v>
      </c>
    </row>
    <row r="18" spans="1:19" ht="18">
      <c r="A18" s="1361" t="s">
        <v>120</v>
      </c>
      <c r="B18" s="1362" t="s">
        <v>529</v>
      </c>
      <c r="C18" s="1363" t="s">
        <v>381</v>
      </c>
      <c r="D18" s="1364">
        <v>362</v>
      </c>
      <c r="E18" s="1365">
        <v>643.65</v>
      </c>
      <c r="F18" s="1366" t="s">
        <v>123</v>
      </c>
      <c r="G18" s="1367"/>
      <c r="H18" s="1368">
        <f>141.1+108.68+31.6+3.2+2.1+2+21.7+2.4</f>
        <v>312.77999999999997</v>
      </c>
      <c r="I18" s="1369">
        <f t="shared" ref="I18:I26" si="0">SUM(G18:H18)</f>
        <v>312.77999999999997</v>
      </c>
      <c r="J18" s="1370">
        <v>5.54</v>
      </c>
      <c r="K18" s="1371">
        <f>J18-(J18*L18)</f>
        <v>4.4320000000000004</v>
      </c>
      <c r="L18" s="1372">
        <v>0.2</v>
      </c>
      <c r="M18" s="1373">
        <v>14200</v>
      </c>
      <c r="N18" s="1374">
        <f t="shared" ref="N18:N24" si="1">I18*J18*L18*M18</f>
        <v>4921155.4080000008</v>
      </c>
      <c r="O18" s="1373"/>
      <c r="P18" s="1375"/>
      <c r="Q18" s="1376"/>
      <c r="R18" s="1377">
        <f t="shared" ref="R18:R26" si="2">N18+Q18</f>
        <v>4921155.4080000008</v>
      </c>
      <c r="S18" s="1378" t="s">
        <v>528</v>
      </c>
    </row>
    <row r="19" spans="1:19" ht="18">
      <c r="A19" s="1361"/>
      <c r="B19" s="1362"/>
      <c r="C19" s="1363"/>
      <c r="D19" s="1364"/>
      <c r="E19" s="1365"/>
      <c r="F19" s="1366" t="s">
        <v>123</v>
      </c>
      <c r="G19" s="1367">
        <f>15.29+41.85</f>
        <v>57.14</v>
      </c>
      <c r="H19" s="1368"/>
      <c r="I19" s="1369">
        <f t="shared" si="0"/>
        <v>57.14</v>
      </c>
      <c r="J19" s="1370">
        <v>5.54</v>
      </c>
      <c r="K19" s="1371">
        <f>J19-(J19*L19)</f>
        <v>0</v>
      </c>
      <c r="L19" s="1372">
        <v>1</v>
      </c>
      <c r="M19" s="1373">
        <v>14200</v>
      </c>
      <c r="N19" s="1374">
        <f t="shared" si="1"/>
        <v>4495089.5200000005</v>
      </c>
      <c r="O19" s="1373"/>
      <c r="P19" s="1375"/>
      <c r="Q19" s="1376"/>
      <c r="R19" s="1377">
        <f t="shared" si="2"/>
        <v>4495089.5200000005</v>
      </c>
      <c r="S19" s="1378" t="s">
        <v>528</v>
      </c>
    </row>
    <row r="20" spans="1:19" ht="18">
      <c r="A20" s="1361"/>
      <c r="B20" s="1362"/>
      <c r="C20" s="1363"/>
      <c r="D20" s="1364"/>
      <c r="E20" s="1365"/>
      <c r="F20" s="1366" t="s">
        <v>124</v>
      </c>
      <c r="G20" s="1367"/>
      <c r="H20" s="1368">
        <f>3.2+13.2+4.4+15.8+25.5+5.7+20.15+3.8</f>
        <v>91.749999999999986</v>
      </c>
      <c r="I20" s="1369">
        <f t="shared" si="0"/>
        <v>91.749999999999986</v>
      </c>
      <c r="J20" s="1370">
        <v>5.54</v>
      </c>
      <c r="K20" s="1371">
        <f t="shared" ref="K20:K26" si="3">J20-(J20*L20)</f>
        <v>4.4320000000000004</v>
      </c>
      <c r="L20" s="1372">
        <v>0.2</v>
      </c>
      <c r="M20" s="1373">
        <v>25132</v>
      </c>
      <c r="N20" s="1374">
        <f t="shared" si="1"/>
        <v>2554893.9879999999</v>
      </c>
      <c r="O20" s="1373"/>
      <c r="P20" s="1375"/>
      <c r="Q20" s="1376"/>
      <c r="R20" s="1377">
        <f t="shared" si="2"/>
        <v>2554893.9879999999</v>
      </c>
      <c r="S20" s="1378" t="s">
        <v>528</v>
      </c>
    </row>
    <row r="21" spans="1:19" ht="18">
      <c r="A21" s="1361"/>
      <c r="B21" s="1362"/>
      <c r="C21" s="1363"/>
      <c r="D21" s="1364"/>
      <c r="E21" s="1365"/>
      <c r="F21" s="1366" t="s">
        <v>51</v>
      </c>
      <c r="G21" s="1367"/>
      <c r="H21" s="1368">
        <f>29.5+2+1+21.79+5.8+1.5+9.2+19.06+16.2+7.59+10.2+23.3+28.34</f>
        <v>175.48000000000002</v>
      </c>
      <c r="I21" s="1369">
        <f t="shared" si="0"/>
        <v>175.48000000000002</v>
      </c>
      <c r="J21" s="1370">
        <v>5.54</v>
      </c>
      <c r="K21" s="1371">
        <f t="shared" si="3"/>
        <v>4.4320000000000004</v>
      </c>
      <c r="L21" s="1372">
        <v>0.2</v>
      </c>
      <c r="M21" s="1373">
        <v>31390</v>
      </c>
      <c r="N21" s="1374">
        <f t="shared" si="1"/>
        <v>6103215.4576000003</v>
      </c>
      <c r="O21" s="1373"/>
      <c r="P21" s="1375"/>
      <c r="Q21" s="1376"/>
      <c r="R21" s="1377">
        <f t="shared" si="2"/>
        <v>6103215.4576000003</v>
      </c>
      <c r="S21" s="1378" t="s">
        <v>528</v>
      </c>
    </row>
    <row r="22" spans="1:19" ht="18">
      <c r="A22" s="1361" t="s">
        <v>287</v>
      </c>
      <c r="B22" s="1362" t="s">
        <v>121</v>
      </c>
      <c r="C22" s="1363" t="s">
        <v>381</v>
      </c>
      <c r="D22" s="1364">
        <v>1</v>
      </c>
      <c r="E22" s="1365">
        <v>636</v>
      </c>
      <c r="F22" s="1366" t="s">
        <v>51</v>
      </c>
      <c r="G22" s="1379">
        <v>0.5</v>
      </c>
      <c r="H22" s="1368"/>
      <c r="I22" s="1369">
        <f t="shared" si="0"/>
        <v>0.5</v>
      </c>
      <c r="J22" s="1370">
        <v>4.59</v>
      </c>
      <c r="K22" s="1380">
        <f t="shared" si="3"/>
        <v>0</v>
      </c>
      <c r="L22" s="1372">
        <v>1</v>
      </c>
      <c r="M22" s="1373">
        <v>31390</v>
      </c>
      <c r="N22" s="1374">
        <f t="shared" si="1"/>
        <v>72040.05</v>
      </c>
      <c r="O22" s="1373"/>
      <c r="P22" s="1375"/>
      <c r="Q22" s="1376"/>
      <c r="R22" s="1377">
        <f t="shared" si="2"/>
        <v>72040.05</v>
      </c>
      <c r="S22" s="1378" t="s">
        <v>528</v>
      </c>
    </row>
    <row r="23" spans="1:19" ht="18">
      <c r="A23" s="1361"/>
      <c r="B23" s="1362" t="s">
        <v>126</v>
      </c>
      <c r="C23" s="1363" t="s">
        <v>381</v>
      </c>
      <c r="D23" s="1364">
        <v>4</v>
      </c>
      <c r="E23" s="1365"/>
      <c r="F23" s="1366" t="s">
        <v>51</v>
      </c>
      <c r="G23" s="1381">
        <v>10</v>
      </c>
      <c r="H23" s="1368"/>
      <c r="I23" s="1369">
        <f t="shared" si="0"/>
        <v>10</v>
      </c>
      <c r="J23" s="1370">
        <v>4.5</v>
      </c>
      <c r="K23" s="1380">
        <f t="shared" si="3"/>
        <v>0</v>
      </c>
      <c r="L23" s="1372">
        <v>1</v>
      </c>
      <c r="M23" s="1373">
        <v>31390</v>
      </c>
      <c r="N23" s="1374">
        <f t="shared" si="1"/>
        <v>1412550</v>
      </c>
      <c r="O23" s="1373"/>
      <c r="P23" s="1375"/>
      <c r="Q23" s="1376"/>
      <c r="R23" s="1377">
        <f t="shared" si="2"/>
        <v>1412550</v>
      </c>
      <c r="S23" s="1378" t="s">
        <v>528</v>
      </c>
    </row>
    <row r="24" spans="1:19" ht="18">
      <c r="A24" s="1382" t="s">
        <v>168</v>
      </c>
      <c r="B24" s="1383" t="s">
        <v>121</v>
      </c>
      <c r="C24" s="1384" t="s">
        <v>381</v>
      </c>
      <c r="D24" s="1364">
        <v>6</v>
      </c>
      <c r="E24" s="1385"/>
      <c r="F24" s="1386" t="s">
        <v>124</v>
      </c>
      <c r="G24" s="1387"/>
      <c r="H24" s="1388">
        <v>7.3</v>
      </c>
      <c r="I24" s="1369">
        <f t="shared" si="0"/>
        <v>7.3</v>
      </c>
      <c r="J24" s="1389">
        <v>5.3</v>
      </c>
      <c r="K24" s="1390">
        <f t="shared" si="3"/>
        <v>4.24</v>
      </c>
      <c r="L24" s="1372">
        <v>0.2</v>
      </c>
      <c r="M24" s="1373">
        <v>25132</v>
      </c>
      <c r="N24" s="1374">
        <f t="shared" si="1"/>
        <v>194471.416</v>
      </c>
      <c r="O24" s="1383"/>
      <c r="P24" s="1391"/>
      <c r="Q24" s="1376"/>
      <c r="R24" s="1377">
        <f t="shared" si="2"/>
        <v>194471.416</v>
      </c>
      <c r="S24" s="1378" t="s">
        <v>528</v>
      </c>
    </row>
    <row r="25" spans="1:19" ht="18">
      <c r="A25" s="1392" t="s">
        <v>164</v>
      </c>
      <c r="B25" s="1393" t="s">
        <v>530</v>
      </c>
      <c r="C25" s="1394" t="s">
        <v>381</v>
      </c>
      <c r="D25" s="1395">
        <v>8</v>
      </c>
      <c r="E25" s="1396">
        <v>5</v>
      </c>
      <c r="F25" s="1397" t="s">
        <v>22</v>
      </c>
      <c r="G25" s="1398">
        <v>3</v>
      </c>
      <c r="H25" s="1399"/>
      <c r="I25" s="1369">
        <f t="shared" si="0"/>
        <v>3</v>
      </c>
      <c r="J25" s="1400">
        <v>2</v>
      </c>
      <c r="K25" s="1390">
        <f t="shared" si="3"/>
        <v>0</v>
      </c>
      <c r="L25" s="1401">
        <v>1</v>
      </c>
      <c r="M25" s="1402"/>
      <c r="N25" s="1403"/>
      <c r="O25" s="1404">
        <f>I25*J25*L25</f>
        <v>6</v>
      </c>
      <c r="P25" s="1405">
        <v>40</v>
      </c>
      <c r="Q25" s="1406">
        <f>O25*1000*P25</f>
        <v>240000</v>
      </c>
      <c r="R25" s="1377">
        <f t="shared" si="2"/>
        <v>240000</v>
      </c>
      <c r="S25" s="1378" t="s">
        <v>528</v>
      </c>
    </row>
    <row r="26" spans="1:19" ht="18">
      <c r="A26" s="1392"/>
      <c r="B26" s="1393"/>
      <c r="C26" s="1394"/>
      <c r="D26" s="1407"/>
      <c r="E26" s="1396"/>
      <c r="F26" s="1397" t="s">
        <v>22</v>
      </c>
      <c r="G26" s="1398"/>
      <c r="H26" s="1399">
        <v>1</v>
      </c>
      <c r="I26" s="1369">
        <f t="shared" si="0"/>
        <v>1</v>
      </c>
      <c r="J26" s="1400">
        <v>2</v>
      </c>
      <c r="K26" s="1390">
        <f t="shared" si="3"/>
        <v>1.6</v>
      </c>
      <c r="L26" s="1408">
        <v>0.2</v>
      </c>
      <c r="M26" s="1402"/>
      <c r="N26" s="1403"/>
      <c r="O26" s="1404">
        <f>I26*J26*L26</f>
        <v>0.4</v>
      </c>
      <c r="P26" s="1405">
        <v>40</v>
      </c>
      <c r="Q26" s="1406">
        <f>O26*1000*P26</f>
        <v>16000</v>
      </c>
      <c r="R26" s="1377">
        <f t="shared" si="2"/>
        <v>16000</v>
      </c>
      <c r="S26" s="1378" t="s">
        <v>528</v>
      </c>
    </row>
    <row r="27" spans="1:19" ht="24" thickBot="1">
      <c r="A27" s="828"/>
      <c r="B27" s="829"/>
      <c r="C27" s="1409"/>
      <c r="D27" s="1410"/>
      <c r="E27" s="830"/>
      <c r="F27" s="1411"/>
      <c r="G27" s="831"/>
      <c r="H27" s="832"/>
      <c r="I27" s="1412"/>
      <c r="J27" s="833"/>
      <c r="K27" s="1413"/>
      <c r="L27" s="1414"/>
      <c r="M27" s="1415"/>
      <c r="N27" s="1416"/>
      <c r="O27" s="834"/>
      <c r="P27" s="836"/>
      <c r="Q27" s="835"/>
      <c r="R27" s="1417"/>
      <c r="S27" s="837"/>
    </row>
    <row r="28" spans="1:19" ht="18.75" thickBot="1">
      <c r="A28" s="1418" t="s">
        <v>25</v>
      </c>
      <c r="B28" s="1419"/>
      <c r="C28" s="1420"/>
      <c r="D28" s="1421">
        <f>SUM(D17:D27)</f>
        <v>454</v>
      </c>
      <c r="E28" s="1421">
        <f>SUM(E17:E27)</f>
        <v>1358.4499999999998</v>
      </c>
      <c r="F28" s="1421"/>
      <c r="G28" s="1422">
        <f t="shared" ref="G28:R28" si="4">SUM(G17:G27)</f>
        <v>70.64</v>
      </c>
      <c r="H28" s="1422">
        <f t="shared" si="4"/>
        <v>662.1099999999999</v>
      </c>
      <c r="I28" s="1422">
        <f t="shared" si="4"/>
        <v>732.74999999999989</v>
      </c>
      <c r="J28" s="1422">
        <f t="shared" si="4"/>
        <v>45.949999999999996</v>
      </c>
      <c r="K28" s="1422">
        <f t="shared" si="4"/>
        <v>23.456000000000003</v>
      </c>
      <c r="L28" s="1422">
        <f t="shared" si="4"/>
        <v>5.2</v>
      </c>
      <c r="M28" s="1422">
        <f t="shared" si="4"/>
        <v>204224</v>
      </c>
      <c r="N28" s="1422">
        <f t="shared" si="4"/>
        <v>22255324.399600003</v>
      </c>
      <c r="O28" s="1422">
        <f t="shared" si="4"/>
        <v>6.4</v>
      </c>
      <c r="P28" s="1422">
        <f t="shared" si="4"/>
        <v>80</v>
      </c>
      <c r="Q28" s="1423">
        <f t="shared" si="4"/>
        <v>256000</v>
      </c>
      <c r="R28" s="1424">
        <f t="shared" si="4"/>
        <v>22511324.399600003</v>
      </c>
      <c r="S28" s="224"/>
    </row>
    <row r="29" spans="1:19" ht="23.25">
      <c r="A29" s="838"/>
      <c r="B29" s="838"/>
      <c r="C29" s="1425"/>
      <c r="D29" s="839"/>
      <c r="E29" s="839"/>
      <c r="F29" s="1426"/>
      <c r="G29" s="838"/>
      <c r="H29" s="838"/>
      <c r="I29" s="744"/>
      <c r="J29" s="838"/>
      <c r="K29" s="838"/>
      <c r="L29" s="838"/>
      <c r="M29" s="744"/>
      <c r="N29" s="744"/>
      <c r="O29" s="744"/>
      <c r="P29" s="744"/>
      <c r="Q29" s="744"/>
      <c r="R29" s="744"/>
      <c r="S29" s="838"/>
    </row>
    <row r="30" spans="1:19" ht="30">
      <c r="A30" s="1427" t="s">
        <v>128</v>
      </c>
      <c r="B30" s="1428"/>
      <c r="C30" s="1429"/>
      <c r="D30" s="1428"/>
      <c r="E30" s="1430"/>
      <c r="F30" s="1431"/>
      <c r="G30" s="1432"/>
      <c r="H30" s="1428"/>
      <c r="I30" s="1428"/>
      <c r="J30" s="1432"/>
      <c r="K30" s="1432"/>
      <c r="L30" s="1432"/>
      <c r="M30" s="1428"/>
      <c r="N30" s="1428"/>
      <c r="O30" s="1433" t="s">
        <v>131</v>
      </c>
      <c r="P30" s="1428"/>
      <c r="Q30" s="1432"/>
      <c r="R30" s="1428"/>
      <c r="S30" s="1428"/>
    </row>
    <row r="31" spans="1:19" ht="30">
      <c r="A31" s="1427"/>
      <c r="B31" s="1428"/>
      <c r="C31" s="1429"/>
      <c r="D31" s="1428"/>
      <c r="E31" s="1430"/>
      <c r="F31" s="1427"/>
      <c r="G31" s="1432"/>
      <c r="H31" s="1428"/>
      <c r="I31" s="1428"/>
      <c r="J31" s="1432"/>
      <c r="K31" s="1432"/>
      <c r="L31" s="1432"/>
      <c r="M31" s="1428"/>
      <c r="N31" s="1427"/>
      <c r="O31" s="448"/>
      <c r="P31" s="1428"/>
      <c r="Q31" s="1432"/>
      <c r="R31" s="1432"/>
      <c r="S31" s="1428"/>
    </row>
    <row r="32" spans="1:19" ht="15.75">
      <c r="A32" s="1434"/>
      <c r="B32" s="1432"/>
      <c r="C32" s="1432"/>
      <c r="D32" s="1435"/>
      <c r="E32" s="1436"/>
      <c r="F32" s="1437"/>
      <c r="G32" s="1436"/>
      <c r="H32" s="1432"/>
      <c r="I32" s="1432"/>
      <c r="J32" s="1438"/>
      <c r="K32" s="507"/>
      <c r="L32" s="1436"/>
      <c r="M32" s="1432"/>
      <c r="N32" s="1432"/>
      <c r="O32" s="505"/>
      <c r="P32" s="1436"/>
      <c r="Q32" s="1436"/>
      <c r="R32" s="503"/>
      <c r="S32" s="1432"/>
    </row>
    <row r="33" spans="1:19" ht="30">
      <c r="A33" s="1439" t="s">
        <v>531</v>
      </c>
      <c r="B33" s="1440"/>
      <c r="C33" s="1432"/>
      <c r="D33" s="1441"/>
      <c r="E33" s="1433"/>
      <c r="F33" s="1433"/>
      <c r="G33" s="1433"/>
      <c r="H33" s="1432"/>
      <c r="I33" s="1432"/>
      <c r="J33" s="1433"/>
      <c r="K33" s="486"/>
      <c r="L33" s="1433"/>
      <c r="M33" s="1432"/>
      <c r="N33" s="1432"/>
      <c r="O33" s="216" t="s">
        <v>54</v>
      </c>
      <c r="P33" s="1433"/>
      <c r="Q33" s="1433"/>
      <c r="R33" s="479"/>
      <c r="S33" s="1432"/>
    </row>
    <row r="34" spans="1:19" ht="23.25">
      <c r="A34" s="1442" t="s">
        <v>532</v>
      </c>
      <c r="B34" s="1443"/>
      <c r="C34" s="1436"/>
      <c r="D34" s="838"/>
      <c r="E34" s="1444"/>
      <c r="F34" s="1445"/>
      <c r="G34" s="1436"/>
      <c r="H34" s="1436"/>
      <c r="I34" s="1436"/>
      <c r="J34" s="1445"/>
      <c r="K34" s="1444"/>
      <c r="L34" s="1444"/>
      <c r="M34" s="1436"/>
      <c r="N34" s="1436"/>
      <c r="O34" s="484" t="s">
        <v>533</v>
      </c>
      <c r="P34" s="1444"/>
      <c r="Q34" s="1444"/>
      <c r="R34" s="484"/>
      <c r="S34" s="1436"/>
    </row>
    <row r="35" spans="1:19" ht="23.25">
      <c r="A35" s="1446"/>
      <c r="B35" s="1446"/>
      <c r="C35" s="1447"/>
      <c r="D35" s="838"/>
      <c r="E35" s="1444"/>
      <c r="F35" s="1448"/>
      <c r="G35" s="1444"/>
      <c r="H35" s="1444"/>
      <c r="I35" s="1444"/>
      <c r="J35" s="1445"/>
      <c r="K35" s="1444"/>
      <c r="L35" s="1444"/>
      <c r="M35" s="1436"/>
      <c r="N35" s="484"/>
      <c r="O35" s="1445"/>
      <c r="P35" s="1444"/>
      <c r="Q35" s="1444"/>
      <c r="R35" s="1444"/>
      <c r="S35" s="484"/>
    </row>
    <row r="36" spans="1:19" ht="15.75">
      <c r="A36" s="1449"/>
      <c r="B36" s="1450"/>
      <c r="C36" s="1450"/>
      <c r="D36" s="1450"/>
      <c r="E36" s="1450"/>
      <c r="F36" s="1451"/>
      <c r="G36" s="1450"/>
      <c r="H36" s="1450"/>
      <c r="I36" s="1450"/>
      <c r="J36" s="1450"/>
      <c r="K36" s="1450"/>
      <c r="L36" s="1450"/>
      <c r="M36" s="1450"/>
      <c r="N36" s="1450"/>
      <c r="O36" s="1452"/>
      <c r="P36" s="1452"/>
      <c r="Q36" s="1452"/>
      <c r="R36" s="1452"/>
      <c r="S36" s="1453"/>
    </row>
    <row r="41" spans="1:19" ht="33.75">
      <c r="A41" s="1974" t="s">
        <v>534</v>
      </c>
      <c r="B41" s="1974"/>
      <c r="C41" s="1974"/>
      <c r="D41" s="1974"/>
      <c r="E41" s="1974"/>
      <c r="F41" s="1974"/>
      <c r="G41" s="1974"/>
      <c r="H41" s="1974"/>
      <c r="I41" s="1974"/>
      <c r="J41" s="1974"/>
      <c r="K41" s="1974"/>
      <c r="L41" s="1974"/>
      <c r="M41" s="1974"/>
      <c r="N41" s="1974"/>
      <c r="O41" s="1974"/>
      <c r="P41" s="1974"/>
      <c r="Q41" s="1974"/>
      <c r="R41" s="1974"/>
      <c r="S41" s="1974"/>
    </row>
    <row r="42" spans="1:19" ht="23.25">
      <c r="A42" s="1974"/>
      <c r="B42" s="1974"/>
      <c r="C42" s="1974"/>
      <c r="D42" s="1974"/>
      <c r="E42" s="1974"/>
      <c r="F42" s="1974"/>
      <c r="G42" s="1974"/>
      <c r="H42" s="1974"/>
      <c r="I42" s="1974"/>
      <c r="J42" s="1974"/>
      <c r="K42" s="1974"/>
      <c r="L42" s="1974"/>
      <c r="M42" s="1974"/>
      <c r="N42" s="1974"/>
      <c r="O42" s="1974"/>
      <c r="P42" s="1974"/>
      <c r="Q42" s="1974"/>
      <c r="R42" s="1974"/>
      <c r="S42" s="1974"/>
    </row>
    <row r="43" spans="1:19" ht="23.25">
      <c r="A43" s="1974" t="s">
        <v>535</v>
      </c>
      <c r="B43" s="1974"/>
      <c r="C43" s="1974"/>
      <c r="D43" s="1974"/>
      <c r="E43" s="1974"/>
      <c r="F43" s="1974"/>
      <c r="G43" s="1974"/>
      <c r="H43" s="1974"/>
      <c r="I43" s="1974"/>
      <c r="J43" s="1974"/>
      <c r="K43" s="1974"/>
      <c r="L43" s="1974"/>
      <c r="M43" s="1974"/>
      <c r="N43" s="1974"/>
      <c r="O43" s="1974"/>
      <c r="P43" s="1974"/>
      <c r="Q43" s="1974"/>
      <c r="R43" s="1974"/>
      <c r="S43" s="1974"/>
    </row>
    <row r="44" spans="1:19" ht="23.25">
      <c r="A44" s="1974"/>
      <c r="B44" s="1974"/>
      <c r="C44" s="1974"/>
      <c r="D44" s="1974"/>
      <c r="E44" s="1974"/>
      <c r="F44" s="1974"/>
      <c r="G44" s="1974"/>
      <c r="H44" s="1974"/>
      <c r="I44" s="1974"/>
      <c r="J44" s="1974"/>
      <c r="K44" s="1974"/>
      <c r="L44" s="1974"/>
      <c r="M44" s="1974"/>
      <c r="N44" s="1974"/>
      <c r="O44" s="1974"/>
      <c r="P44" s="1974"/>
      <c r="Q44" s="1974"/>
      <c r="R44" s="1974"/>
      <c r="S44" s="1974"/>
    </row>
    <row r="45" spans="1:19" ht="23.25">
      <c r="A45" s="1975"/>
      <c r="B45" s="1975"/>
      <c r="C45" s="1975"/>
      <c r="D45" s="1975"/>
      <c r="E45" s="1975"/>
      <c r="F45" s="1975"/>
      <c r="G45" s="1975"/>
      <c r="H45" s="1975"/>
      <c r="I45" s="1975"/>
      <c r="J45" s="1975"/>
      <c r="K45" s="1975"/>
      <c r="L45" s="1975"/>
      <c r="M45" s="1975"/>
      <c r="N45" s="1975"/>
      <c r="O45" s="1975"/>
      <c r="P45" s="1975"/>
      <c r="Q45" s="1975"/>
      <c r="R45" s="1975"/>
      <c r="S45" s="1975"/>
    </row>
    <row r="46" spans="1:19" ht="24" thickBot="1">
      <c r="A46" s="1196"/>
      <c r="B46" s="1196"/>
      <c r="C46" s="1340"/>
      <c r="D46" s="1196"/>
      <c r="E46" s="1196"/>
      <c r="F46" s="1196"/>
      <c r="G46" s="1196"/>
      <c r="H46" s="1196"/>
      <c r="I46" s="1196"/>
      <c r="J46" s="1196"/>
      <c r="K46" s="1196"/>
      <c r="L46" s="1196"/>
      <c r="M46" s="1196"/>
      <c r="N46" s="1196"/>
      <c r="O46" s="1196"/>
      <c r="P46" s="1196"/>
      <c r="Q46" s="1196"/>
      <c r="R46" s="1196"/>
      <c r="S46" s="1196"/>
    </row>
    <row r="47" spans="1:19" ht="23.25">
      <c r="A47" s="808" t="s">
        <v>67</v>
      </c>
      <c r="B47" s="809"/>
      <c r="C47" s="1341"/>
      <c r="D47" s="810"/>
      <c r="E47" s="810"/>
      <c r="F47" s="810"/>
      <c r="G47" s="810"/>
      <c r="H47" s="810"/>
      <c r="I47" s="810"/>
      <c r="J47" s="810"/>
      <c r="K47" s="810"/>
      <c r="L47" s="810"/>
      <c r="M47" s="159"/>
      <c r="N47" s="811" t="s">
        <v>68</v>
      </c>
      <c r="O47" s="810"/>
      <c r="P47" s="810"/>
      <c r="Q47" s="810"/>
      <c r="R47" s="810"/>
      <c r="S47" s="812"/>
    </row>
    <row r="48" spans="1:19" ht="23.25">
      <c r="A48" s="813" t="s">
        <v>525</v>
      </c>
      <c r="B48" s="814"/>
      <c r="C48" s="1342"/>
      <c r="D48" s="1196"/>
      <c r="E48" s="1196"/>
      <c r="F48" s="1196"/>
      <c r="G48" s="1196"/>
      <c r="H48" s="1196"/>
      <c r="I48" s="1196"/>
      <c r="J48" s="1196"/>
      <c r="K48" s="1196"/>
      <c r="L48" s="1196"/>
      <c r="M48" s="815"/>
      <c r="N48" s="816" t="s">
        <v>70</v>
      </c>
      <c r="O48" s="817"/>
      <c r="P48" s="817" t="s">
        <v>71</v>
      </c>
      <c r="Q48" s="1196"/>
      <c r="R48" s="1196"/>
      <c r="S48" s="818"/>
    </row>
    <row r="49" spans="1:19" ht="23.25">
      <c r="A49" s="813" t="s">
        <v>536</v>
      </c>
      <c r="B49" s="814"/>
      <c r="C49" s="1342"/>
      <c r="D49" s="1196"/>
      <c r="E49" s="1196"/>
      <c r="F49" s="1196"/>
      <c r="G49" s="1196"/>
      <c r="H49" s="1196"/>
      <c r="I49" s="1196"/>
      <c r="J49" s="1196"/>
      <c r="K49" s="1196"/>
      <c r="L49" s="1196"/>
      <c r="M49" s="815"/>
      <c r="N49" s="819" t="s">
        <v>73</v>
      </c>
      <c r="O49" s="160"/>
      <c r="P49" s="1195"/>
      <c r="Q49" s="821" t="s">
        <v>74</v>
      </c>
      <c r="R49" s="821"/>
      <c r="S49" s="818"/>
    </row>
    <row r="50" spans="1:19" ht="23.25">
      <c r="A50" s="1343" t="s">
        <v>225</v>
      </c>
      <c r="B50" s="814"/>
      <c r="C50" s="1342"/>
      <c r="D50" s="1196"/>
      <c r="E50" s="1196"/>
      <c r="F50" s="1196"/>
      <c r="G50" s="1196"/>
      <c r="H50" s="1196"/>
      <c r="I50" s="1196"/>
      <c r="J50" s="1196"/>
      <c r="K50" s="1196"/>
      <c r="L50" s="1196"/>
      <c r="M50" s="815"/>
      <c r="N50" s="819" t="s">
        <v>75</v>
      </c>
      <c r="O50" s="160"/>
      <c r="P50" s="1196"/>
      <c r="Q50" s="821" t="s">
        <v>76</v>
      </c>
      <c r="R50" s="821"/>
      <c r="S50" s="818"/>
    </row>
    <row r="51" spans="1:19" ht="23.25">
      <c r="A51" s="813"/>
      <c r="B51" s="814"/>
      <c r="C51" s="1342"/>
      <c r="D51" s="1196"/>
      <c r="E51" s="1196"/>
      <c r="F51" s="1196"/>
      <c r="G51" s="1196"/>
      <c r="H51" s="1196"/>
      <c r="I51" s="1196"/>
      <c r="J51" s="1196"/>
      <c r="K51" s="1196"/>
      <c r="L51" s="1196"/>
      <c r="M51" s="815"/>
      <c r="N51" s="819" t="s">
        <v>77</v>
      </c>
      <c r="O51" s="160"/>
      <c r="P51" s="1196"/>
      <c r="Q51" s="821" t="s">
        <v>78</v>
      </c>
      <c r="R51" s="821"/>
      <c r="S51" s="818"/>
    </row>
    <row r="52" spans="1:19" ht="24" thickBot="1">
      <c r="A52" s="822"/>
      <c r="B52" s="823"/>
      <c r="C52" s="1344"/>
      <c r="D52" s="824"/>
      <c r="E52" s="824"/>
      <c r="F52" s="824"/>
      <c r="G52" s="824"/>
      <c r="H52" s="824"/>
      <c r="I52" s="824"/>
      <c r="J52" s="824"/>
      <c r="K52" s="824"/>
      <c r="L52" s="824"/>
      <c r="M52" s="825"/>
      <c r="N52" s="826"/>
      <c r="O52" s="824"/>
      <c r="P52" s="824"/>
      <c r="Q52" s="824"/>
      <c r="R52" s="824"/>
      <c r="S52" s="827"/>
    </row>
    <row r="53" spans="1:19" ht="16.5" thickBot="1">
      <c r="A53" s="1976">
        <f>'[3]DAMAGE_CROPS_Rice '!A53:A55</f>
        <v>0</v>
      </c>
      <c r="B53" s="1979" t="s">
        <v>309</v>
      </c>
      <c r="C53" s="1982" t="s">
        <v>81</v>
      </c>
      <c r="D53" s="1985" t="s">
        <v>310</v>
      </c>
      <c r="E53" s="1985" t="s">
        <v>83</v>
      </c>
      <c r="F53" s="1988" t="s">
        <v>84</v>
      </c>
      <c r="G53" s="1991" t="s">
        <v>85</v>
      </c>
      <c r="H53" s="1992"/>
      <c r="I53" s="1993"/>
      <c r="J53" s="1991" t="s">
        <v>86</v>
      </c>
      <c r="K53" s="1993"/>
      <c r="L53" s="1997" t="s">
        <v>87</v>
      </c>
      <c r="M53" s="2000" t="s">
        <v>88</v>
      </c>
      <c r="N53" s="2001"/>
      <c r="O53" s="2001"/>
      <c r="P53" s="2001"/>
      <c r="Q53" s="2001"/>
      <c r="R53" s="2002"/>
      <c r="S53" s="1966" t="s">
        <v>59</v>
      </c>
    </row>
    <row r="54" spans="1:19" ht="15.75">
      <c r="A54" s="1977"/>
      <c r="B54" s="1980"/>
      <c r="C54" s="1983"/>
      <c r="D54" s="1986"/>
      <c r="E54" s="1986"/>
      <c r="F54" s="1989"/>
      <c r="G54" s="1994"/>
      <c r="H54" s="1995"/>
      <c r="I54" s="1996"/>
      <c r="J54" s="1994"/>
      <c r="K54" s="1996"/>
      <c r="L54" s="1998"/>
      <c r="M54" s="1969" t="s">
        <v>90</v>
      </c>
      <c r="N54" s="1970"/>
      <c r="O54" s="1969" t="s">
        <v>91</v>
      </c>
      <c r="P54" s="1971"/>
      <c r="Q54" s="1970"/>
      <c r="R54" s="1972" t="s">
        <v>89</v>
      </c>
      <c r="S54" s="1967"/>
    </row>
    <row r="55" spans="1:19" ht="48" thickBot="1">
      <c r="A55" s="1978"/>
      <c r="B55" s="1981"/>
      <c r="C55" s="1984"/>
      <c r="D55" s="1987"/>
      <c r="E55" s="1987"/>
      <c r="F55" s="1990"/>
      <c r="G55" s="1454" t="s">
        <v>92</v>
      </c>
      <c r="H55" s="1455" t="s">
        <v>93</v>
      </c>
      <c r="I55" s="1456" t="s">
        <v>25</v>
      </c>
      <c r="J55" s="1454" t="s">
        <v>94</v>
      </c>
      <c r="K55" s="1456" t="s">
        <v>95</v>
      </c>
      <c r="L55" s="1999"/>
      <c r="M55" s="1457" t="s">
        <v>96</v>
      </c>
      <c r="N55" s="1458" t="s">
        <v>97</v>
      </c>
      <c r="O55" s="1457" t="s">
        <v>98</v>
      </c>
      <c r="P55" s="1459" t="s">
        <v>153</v>
      </c>
      <c r="Q55" s="1458" t="s">
        <v>100</v>
      </c>
      <c r="R55" s="1973"/>
      <c r="S55" s="1968"/>
    </row>
    <row r="56" spans="1:19" ht="18">
      <c r="A56" s="1352" t="s">
        <v>101</v>
      </c>
      <c r="B56" s="1353" t="s">
        <v>102</v>
      </c>
      <c r="C56" s="1354" t="s">
        <v>103</v>
      </c>
      <c r="D56" s="1355" t="s">
        <v>104</v>
      </c>
      <c r="E56" s="1355" t="s">
        <v>105</v>
      </c>
      <c r="F56" s="1356" t="s">
        <v>106</v>
      </c>
      <c r="G56" s="1357" t="s">
        <v>107</v>
      </c>
      <c r="H56" s="1356" t="s">
        <v>108</v>
      </c>
      <c r="I56" s="1353" t="s">
        <v>109</v>
      </c>
      <c r="J56" s="1356" t="s">
        <v>110</v>
      </c>
      <c r="K56" s="1358" t="s">
        <v>111</v>
      </c>
      <c r="L56" s="1359" t="s">
        <v>112</v>
      </c>
      <c r="M56" s="1359" t="s">
        <v>113</v>
      </c>
      <c r="N56" s="1352" t="s">
        <v>114</v>
      </c>
      <c r="O56" s="1353" t="s">
        <v>115</v>
      </c>
      <c r="P56" s="1356" t="s">
        <v>116</v>
      </c>
      <c r="Q56" s="1360" t="s">
        <v>117</v>
      </c>
      <c r="R56" s="1352" t="s">
        <v>118</v>
      </c>
      <c r="S56" s="1360" t="s">
        <v>119</v>
      </c>
    </row>
    <row r="57" spans="1:19" ht="18">
      <c r="A57" s="1460"/>
      <c r="B57" s="1362"/>
      <c r="C57" s="1363"/>
      <c r="D57" s="1364"/>
      <c r="E57" s="1365"/>
      <c r="F57" s="1461"/>
      <c r="G57" s="1462"/>
      <c r="H57" s="1368"/>
      <c r="I57" s="1463"/>
      <c r="J57" s="1464"/>
      <c r="K57" s="1465"/>
      <c r="L57" s="1466"/>
      <c r="M57" s="1373"/>
      <c r="N57" s="1374"/>
      <c r="O57" s="1373"/>
      <c r="P57" s="1375"/>
      <c r="Q57" s="1374"/>
      <c r="R57" s="1377"/>
      <c r="S57" s="1467"/>
    </row>
    <row r="58" spans="1:19" ht="40.5">
      <c r="A58" s="1468" t="s">
        <v>175</v>
      </c>
      <c r="B58" s="1469" t="s">
        <v>537</v>
      </c>
      <c r="C58" s="1470" t="s">
        <v>538</v>
      </c>
      <c r="D58" s="1471">
        <v>111</v>
      </c>
      <c r="E58" s="1472">
        <v>415.9</v>
      </c>
      <c r="F58" s="1473" t="s">
        <v>22</v>
      </c>
      <c r="G58" s="1474">
        <v>86.8</v>
      </c>
      <c r="H58" s="1475"/>
      <c r="I58" s="1476">
        <f t="shared" ref="I58:I71" si="5">SUM(G58:H58)</f>
        <v>86.8</v>
      </c>
      <c r="J58" s="1477">
        <v>5</v>
      </c>
      <c r="K58" s="1478">
        <f t="shared" ref="K58:K71" si="6">J58-(J58*L58)</f>
        <v>0</v>
      </c>
      <c r="L58" s="1479">
        <v>1</v>
      </c>
      <c r="M58" s="1480"/>
      <c r="N58" s="1481"/>
      <c r="O58" s="1480">
        <f>I58*J58*L58</f>
        <v>434</v>
      </c>
      <c r="P58" s="1482">
        <v>15</v>
      </c>
      <c r="Q58" s="1483">
        <f>O58*1000*P58</f>
        <v>6510000</v>
      </c>
      <c r="R58" s="1484">
        <f>N58+Q58</f>
        <v>6510000</v>
      </c>
      <c r="S58" s="1485">
        <f>'[3]DAMAGE_CROPS_Rice '!S57</f>
        <v>0</v>
      </c>
    </row>
    <row r="59" spans="1:19" ht="20.25">
      <c r="A59" s="1486"/>
      <c r="B59" s="1487"/>
      <c r="C59" s="1488"/>
      <c r="D59" s="1471">
        <v>3</v>
      </c>
      <c r="E59" s="1489"/>
      <c r="F59" s="1473" t="s">
        <v>22</v>
      </c>
      <c r="G59" s="1490"/>
      <c r="H59" s="1475">
        <v>28.3</v>
      </c>
      <c r="I59" s="1476">
        <f t="shared" si="5"/>
        <v>28.3</v>
      </c>
      <c r="J59" s="1477">
        <v>5</v>
      </c>
      <c r="K59" s="1476">
        <f t="shared" si="6"/>
        <v>3</v>
      </c>
      <c r="L59" s="1479">
        <v>0.4</v>
      </c>
      <c r="M59" s="1491"/>
      <c r="N59" s="1481"/>
      <c r="O59" s="1480">
        <f t="shared" ref="O59:O61" si="7">I59*J59*L59</f>
        <v>56.6</v>
      </c>
      <c r="P59" s="1482">
        <v>15</v>
      </c>
      <c r="Q59" s="1483">
        <f t="shared" ref="Q59:Q61" si="8">O59*1000*P59</f>
        <v>849000</v>
      </c>
      <c r="R59" s="1484">
        <f t="shared" ref="R59:R71" si="9">N59+Q59</f>
        <v>849000</v>
      </c>
      <c r="S59" s="1485">
        <f>'[3]DAMAGE_CROPS_Rice '!S58</f>
        <v>0</v>
      </c>
    </row>
    <row r="60" spans="1:19" ht="40.5">
      <c r="A60" s="1492" t="s">
        <v>287</v>
      </c>
      <c r="B60" s="1493" t="s">
        <v>537</v>
      </c>
      <c r="C60" s="1494" t="s">
        <v>538</v>
      </c>
      <c r="D60" s="1471">
        <v>26</v>
      </c>
      <c r="E60" s="1495"/>
      <c r="F60" s="1473" t="s">
        <v>22</v>
      </c>
      <c r="G60" s="1496">
        <v>3</v>
      </c>
      <c r="H60" s="1497"/>
      <c r="I60" s="1476">
        <f t="shared" si="5"/>
        <v>3</v>
      </c>
      <c r="J60" s="1498">
        <v>5</v>
      </c>
      <c r="K60" s="1476">
        <f t="shared" si="6"/>
        <v>0</v>
      </c>
      <c r="L60" s="1479">
        <v>1</v>
      </c>
      <c r="M60" s="1499"/>
      <c r="N60" s="1500"/>
      <c r="O60" s="1480">
        <f t="shared" si="7"/>
        <v>15</v>
      </c>
      <c r="P60" s="1482">
        <v>15</v>
      </c>
      <c r="Q60" s="1483">
        <f t="shared" si="8"/>
        <v>225000</v>
      </c>
      <c r="R60" s="1501">
        <f t="shared" si="9"/>
        <v>225000</v>
      </c>
      <c r="S60" s="1485">
        <f>'[3]DAMAGE_CROPS_Rice '!S59</f>
        <v>0</v>
      </c>
    </row>
    <row r="61" spans="1:19" ht="20.25">
      <c r="A61" s="1492"/>
      <c r="B61" s="1502"/>
      <c r="C61" s="1503"/>
      <c r="D61" s="1504"/>
      <c r="E61" s="1505"/>
      <c r="F61" s="1506"/>
      <c r="G61" s="1507"/>
      <c r="H61" s="1497">
        <f>31.5-3</f>
        <v>28.5</v>
      </c>
      <c r="I61" s="1476">
        <f t="shared" si="5"/>
        <v>28.5</v>
      </c>
      <c r="J61" s="1498">
        <v>5</v>
      </c>
      <c r="K61" s="1476">
        <f t="shared" si="6"/>
        <v>2</v>
      </c>
      <c r="L61" s="1479">
        <v>0.6</v>
      </c>
      <c r="M61" s="1508"/>
      <c r="N61" s="1509"/>
      <c r="O61" s="1480">
        <f t="shared" si="7"/>
        <v>85.5</v>
      </c>
      <c r="P61" s="1482">
        <v>15</v>
      </c>
      <c r="Q61" s="1483">
        <f t="shared" si="8"/>
        <v>1282500</v>
      </c>
      <c r="R61" s="1501">
        <f t="shared" si="9"/>
        <v>1282500</v>
      </c>
      <c r="S61" s="1485">
        <f>'[3]DAMAGE_CROPS_Rice '!S60</f>
        <v>0</v>
      </c>
    </row>
    <row r="62" spans="1:19" ht="40.5">
      <c r="A62" s="1492" t="s">
        <v>120</v>
      </c>
      <c r="B62" s="1493" t="s">
        <v>537</v>
      </c>
      <c r="C62" s="1494" t="s">
        <v>538</v>
      </c>
      <c r="D62" s="1471">
        <v>1</v>
      </c>
      <c r="E62" s="1495">
        <v>2</v>
      </c>
      <c r="F62" s="1510" t="s">
        <v>51</v>
      </c>
      <c r="G62" s="1511"/>
      <c r="H62" s="1497">
        <v>2</v>
      </c>
      <c r="I62" s="1476">
        <f t="shared" si="5"/>
        <v>2</v>
      </c>
      <c r="J62" s="1512">
        <v>5</v>
      </c>
      <c r="K62" s="1476">
        <f t="shared" si="6"/>
        <v>1.5</v>
      </c>
      <c r="L62" s="1513">
        <v>0.7</v>
      </c>
      <c r="M62" s="1514">
        <v>38990</v>
      </c>
      <c r="N62" s="1500">
        <f>I62*J62*L62*M62</f>
        <v>272930</v>
      </c>
      <c r="O62" s="1493"/>
      <c r="P62" s="1515"/>
      <c r="Q62" s="1481"/>
      <c r="R62" s="1501">
        <f t="shared" si="9"/>
        <v>272930</v>
      </c>
      <c r="S62" s="1485">
        <f>'[3]DAMAGE_CROPS_Rice '!S61</f>
        <v>0</v>
      </c>
    </row>
    <row r="63" spans="1:19" ht="20.25">
      <c r="A63" s="1492"/>
      <c r="B63" s="1493"/>
      <c r="C63" s="1494" t="s">
        <v>322</v>
      </c>
      <c r="D63" s="1471">
        <v>6</v>
      </c>
      <c r="E63" s="1495">
        <f>0.9+1.3+9.5+0.5+6+1</f>
        <v>19.2</v>
      </c>
      <c r="F63" s="1510" t="s">
        <v>51</v>
      </c>
      <c r="G63" s="1511"/>
      <c r="H63" s="1497">
        <v>19.2</v>
      </c>
      <c r="I63" s="1476">
        <f t="shared" si="5"/>
        <v>19.2</v>
      </c>
      <c r="J63" s="1512">
        <v>3</v>
      </c>
      <c r="K63" s="1476">
        <f t="shared" si="6"/>
        <v>1.5</v>
      </c>
      <c r="L63" s="1513">
        <v>0.5</v>
      </c>
      <c r="M63" s="1514">
        <v>25132</v>
      </c>
      <c r="N63" s="1500">
        <f>I63*J63*L63*M63</f>
        <v>723801.59999999998</v>
      </c>
      <c r="O63" s="1493"/>
      <c r="P63" s="1515"/>
      <c r="Q63" s="1481"/>
      <c r="R63" s="1501">
        <f t="shared" si="9"/>
        <v>723801.59999999998</v>
      </c>
      <c r="S63" s="1485">
        <f>'[3]DAMAGE_CROPS_Rice '!S62</f>
        <v>0</v>
      </c>
    </row>
    <row r="64" spans="1:19" ht="20.25">
      <c r="A64" s="1492"/>
      <c r="B64" s="1493"/>
      <c r="C64" s="1494"/>
      <c r="D64" s="1471">
        <f>42-6</f>
        <v>36</v>
      </c>
      <c r="E64" s="1495">
        <f>36-19.2</f>
        <v>16.8</v>
      </c>
      <c r="F64" s="1510" t="s">
        <v>22</v>
      </c>
      <c r="G64" s="1511"/>
      <c r="H64" s="1497">
        <v>16.8</v>
      </c>
      <c r="I64" s="1476">
        <f t="shared" si="5"/>
        <v>16.8</v>
      </c>
      <c r="J64" s="1512">
        <v>3</v>
      </c>
      <c r="K64" s="1476">
        <f t="shared" si="6"/>
        <v>0.29999999999999982</v>
      </c>
      <c r="L64" s="1513">
        <v>0.9</v>
      </c>
      <c r="M64" s="1493"/>
      <c r="N64" s="1516"/>
      <c r="O64" s="1493">
        <f>I64*J64*L64</f>
        <v>45.360000000000007</v>
      </c>
      <c r="P64" s="1497">
        <v>13</v>
      </c>
      <c r="Q64" s="1483">
        <f t="shared" ref="Q64:Q71" si="10">O64*1000*P64</f>
        <v>589680.00000000012</v>
      </c>
      <c r="R64" s="1501">
        <f t="shared" si="9"/>
        <v>589680.00000000012</v>
      </c>
      <c r="S64" s="1485">
        <f>'[3]DAMAGE_CROPS_Rice '!S63</f>
        <v>0</v>
      </c>
    </row>
    <row r="65" spans="1:19" ht="20.25">
      <c r="A65" s="1492" t="s">
        <v>539</v>
      </c>
      <c r="B65" s="1493" t="s">
        <v>530</v>
      </c>
      <c r="C65" s="1494" t="s">
        <v>322</v>
      </c>
      <c r="D65" s="1471">
        <v>60</v>
      </c>
      <c r="E65" s="1495">
        <v>84</v>
      </c>
      <c r="F65" s="1510" t="s">
        <v>200</v>
      </c>
      <c r="G65" s="1511"/>
      <c r="H65" s="1497">
        <v>19.5</v>
      </c>
      <c r="I65" s="1476">
        <f t="shared" si="5"/>
        <v>19.5</v>
      </c>
      <c r="J65" s="1512">
        <v>3</v>
      </c>
      <c r="K65" s="1476">
        <f t="shared" si="6"/>
        <v>1.7999999999999998</v>
      </c>
      <c r="L65" s="1513">
        <v>0.4</v>
      </c>
      <c r="M65" s="1493"/>
      <c r="N65" s="1516"/>
      <c r="O65" s="1493">
        <f>I65*J65*L65</f>
        <v>23.400000000000002</v>
      </c>
      <c r="P65" s="1497">
        <v>13</v>
      </c>
      <c r="Q65" s="1483">
        <f t="shared" si="10"/>
        <v>304200.00000000006</v>
      </c>
      <c r="R65" s="1501">
        <f t="shared" si="9"/>
        <v>304200.00000000006</v>
      </c>
      <c r="S65" s="1485">
        <f>'[3]DAMAGE_CROPS_Rice '!S64</f>
        <v>0</v>
      </c>
    </row>
    <row r="66" spans="1:19" ht="20.25">
      <c r="A66" s="1492"/>
      <c r="B66" s="1493"/>
      <c r="C66" s="1494"/>
      <c r="D66" s="1504"/>
      <c r="E66" s="1495"/>
      <c r="F66" s="1517" t="s">
        <v>124</v>
      </c>
      <c r="G66" s="1511"/>
      <c r="H66" s="1497">
        <v>11.5</v>
      </c>
      <c r="I66" s="1476">
        <f t="shared" si="5"/>
        <v>11.5</v>
      </c>
      <c r="J66" s="1512">
        <v>3</v>
      </c>
      <c r="K66" s="1476">
        <f t="shared" si="6"/>
        <v>1.7999999999999998</v>
      </c>
      <c r="L66" s="1513">
        <v>0.4</v>
      </c>
      <c r="M66" s="1514">
        <v>20000</v>
      </c>
      <c r="N66" s="1518">
        <f>I66*J66*L66*M66</f>
        <v>276000</v>
      </c>
      <c r="O66" s="1493"/>
      <c r="P66" s="1515"/>
      <c r="Q66" s="1481"/>
      <c r="R66" s="1484">
        <f t="shared" si="9"/>
        <v>276000</v>
      </c>
      <c r="S66" s="1485">
        <f>'[3]DAMAGE_CROPS_Rice '!S65</f>
        <v>0</v>
      </c>
    </row>
    <row r="67" spans="1:19" ht="20.25">
      <c r="A67" s="1492"/>
      <c r="B67" s="1493"/>
      <c r="C67" s="1494"/>
      <c r="D67" s="1504"/>
      <c r="E67" s="1495"/>
      <c r="F67" s="1517" t="s">
        <v>22</v>
      </c>
      <c r="G67" s="1511"/>
      <c r="H67" s="1497">
        <f>64-19.5-11.5</f>
        <v>33</v>
      </c>
      <c r="I67" s="1476">
        <f t="shared" si="5"/>
        <v>33</v>
      </c>
      <c r="J67" s="1512">
        <v>3</v>
      </c>
      <c r="K67" s="1476">
        <f t="shared" si="6"/>
        <v>1.7999999999999998</v>
      </c>
      <c r="L67" s="1513">
        <v>0.4</v>
      </c>
      <c r="M67" s="1493"/>
      <c r="N67" s="1518">
        <f t="shared" ref="N67:N71" si="11">I67*J67*L67*M67</f>
        <v>0</v>
      </c>
      <c r="O67" s="1493">
        <f>I67*J67*L67</f>
        <v>39.6</v>
      </c>
      <c r="P67" s="1497">
        <v>13</v>
      </c>
      <c r="Q67" s="1483">
        <f t="shared" si="10"/>
        <v>514800</v>
      </c>
      <c r="R67" s="1484">
        <f t="shared" si="9"/>
        <v>514800</v>
      </c>
      <c r="S67" s="1485">
        <f>'[3]DAMAGE_CROPS_Rice '!S66</f>
        <v>0</v>
      </c>
    </row>
    <row r="68" spans="1:19" ht="40.5">
      <c r="A68" s="1492" t="s">
        <v>168</v>
      </c>
      <c r="B68" s="1493" t="s">
        <v>537</v>
      </c>
      <c r="C68" s="1494" t="s">
        <v>538</v>
      </c>
      <c r="D68" s="1471">
        <v>153</v>
      </c>
      <c r="E68" s="1495">
        <v>197.9</v>
      </c>
      <c r="F68" s="1517" t="s">
        <v>22</v>
      </c>
      <c r="G68" s="1496">
        <v>5</v>
      </c>
      <c r="H68" s="1497"/>
      <c r="I68" s="1476">
        <f t="shared" si="5"/>
        <v>5</v>
      </c>
      <c r="J68" s="1512">
        <v>5</v>
      </c>
      <c r="K68" s="1519">
        <f t="shared" si="6"/>
        <v>0</v>
      </c>
      <c r="L68" s="1513">
        <v>1</v>
      </c>
      <c r="M68" s="1493"/>
      <c r="N68" s="1518">
        <f t="shared" si="11"/>
        <v>0</v>
      </c>
      <c r="O68" s="1493">
        <f>I68*J68*L68</f>
        <v>25</v>
      </c>
      <c r="P68" s="1515">
        <v>15</v>
      </c>
      <c r="Q68" s="1481">
        <f t="shared" si="10"/>
        <v>375000</v>
      </c>
      <c r="R68" s="1484">
        <f t="shared" si="9"/>
        <v>375000</v>
      </c>
      <c r="S68" s="1485" t="s">
        <v>540</v>
      </c>
    </row>
    <row r="69" spans="1:19" ht="40.5">
      <c r="A69" s="1492"/>
      <c r="B69" s="1493"/>
      <c r="C69" s="1494" t="s">
        <v>538</v>
      </c>
      <c r="D69" s="1504"/>
      <c r="E69" s="1495"/>
      <c r="F69" s="1517"/>
      <c r="G69" s="1511"/>
      <c r="H69" s="1497">
        <f>197.9-5</f>
        <v>192.9</v>
      </c>
      <c r="I69" s="1476">
        <f t="shared" si="5"/>
        <v>192.9</v>
      </c>
      <c r="J69" s="1512">
        <v>5</v>
      </c>
      <c r="K69" s="1520">
        <f t="shared" si="6"/>
        <v>3</v>
      </c>
      <c r="L69" s="1513">
        <v>0.4</v>
      </c>
      <c r="M69" s="1493"/>
      <c r="N69" s="1518">
        <f t="shared" si="11"/>
        <v>0</v>
      </c>
      <c r="O69" s="1493">
        <f>I69*J69*L69</f>
        <v>385.8</v>
      </c>
      <c r="P69" s="1515">
        <v>16</v>
      </c>
      <c r="Q69" s="1481">
        <f t="shared" si="10"/>
        <v>6172800</v>
      </c>
      <c r="R69" s="1484">
        <f t="shared" si="9"/>
        <v>6172800</v>
      </c>
      <c r="S69" s="1485" t="s">
        <v>541</v>
      </c>
    </row>
    <row r="70" spans="1:19" ht="20.25">
      <c r="A70" s="1492" t="s">
        <v>164</v>
      </c>
      <c r="B70" s="1493" t="s">
        <v>530</v>
      </c>
      <c r="C70" s="1494" t="s">
        <v>322</v>
      </c>
      <c r="D70" s="1471">
        <v>52</v>
      </c>
      <c r="E70" s="1495">
        <v>38</v>
      </c>
      <c r="F70" s="1517" t="s">
        <v>51</v>
      </c>
      <c r="G70" s="1511">
        <v>12</v>
      </c>
      <c r="H70" s="1497"/>
      <c r="I70" s="1476">
        <f t="shared" si="5"/>
        <v>12</v>
      </c>
      <c r="J70" s="1512">
        <v>3</v>
      </c>
      <c r="K70" s="1520">
        <f t="shared" si="6"/>
        <v>0</v>
      </c>
      <c r="L70" s="1513">
        <v>1</v>
      </c>
      <c r="M70" s="1514">
        <v>25132</v>
      </c>
      <c r="N70" s="1518">
        <f t="shared" si="11"/>
        <v>904752</v>
      </c>
      <c r="O70" s="1493"/>
      <c r="P70" s="1515"/>
      <c r="Q70" s="1481">
        <f t="shared" si="10"/>
        <v>0</v>
      </c>
      <c r="R70" s="1484"/>
      <c r="S70" s="1485"/>
    </row>
    <row r="71" spans="1:19" ht="20.25">
      <c r="A71" s="1492"/>
      <c r="B71" s="1493"/>
      <c r="C71" s="1521"/>
      <c r="D71" s="1504"/>
      <c r="E71" s="1495"/>
      <c r="F71" s="1522"/>
      <c r="G71" s="1511"/>
      <c r="H71" s="1497">
        <v>4</v>
      </c>
      <c r="I71" s="1476">
        <f t="shared" si="5"/>
        <v>4</v>
      </c>
      <c r="J71" s="1512">
        <v>3</v>
      </c>
      <c r="K71" s="1520">
        <f t="shared" si="6"/>
        <v>1.7999999999999998</v>
      </c>
      <c r="L71" s="1513">
        <v>0.4</v>
      </c>
      <c r="M71" s="1514">
        <v>25132</v>
      </c>
      <c r="N71" s="1518">
        <f t="shared" si="11"/>
        <v>120633.60000000002</v>
      </c>
      <c r="O71" s="1493"/>
      <c r="P71" s="1515"/>
      <c r="Q71" s="1481">
        <f t="shared" si="10"/>
        <v>0</v>
      </c>
      <c r="R71" s="1484">
        <f t="shared" si="9"/>
        <v>120633.60000000002</v>
      </c>
      <c r="S71" s="1523"/>
    </row>
    <row r="72" spans="1:19" ht="21" thickBot="1">
      <c r="A72" s="1524"/>
      <c r="B72" s="1525"/>
      <c r="C72" s="1526"/>
      <c r="D72" s="1527"/>
      <c r="E72" s="1528"/>
      <c r="F72" s="1529"/>
      <c r="G72" s="1530"/>
      <c r="H72" s="1531"/>
      <c r="I72" s="1532"/>
      <c r="J72" s="1533"/>
      <c r="K72" s="1534"/>
      <c r="L72" s="1535"/>
      <c r="M72" s="1536"/>
      <c r="N72" s="1537"/>
      <c r="O72" s="1538"/>
      <c r="P72" s="1539"/>
      <c r="Q72" s="1540"/>
      <c r="R72" s="1541"/>
      <c r="S72" s="1542"/>
    </row>
    <row r="73" spans="1:19" ht="21" thickBot="1">
      <c r="A73" s="1543" t="s">
        <v>25</v>
      </c>
      <c r="B73" s="1544"/>
      <c r="C73" s="1545"/>
      <c r="D73" s="1546">
        <f>SUM(D58:D72)</f>
        <v>448</v>
      </c>
      <c r="E73" s="1546">
        <f>SUM(E58:E72)</f>
        <v>773.8</v>
      </c>
      <c r="F73" s="1546"/>
      <c r="G73" s="1546">
        <f t="shared" ref="G73:R73" si="12">SUM(G58:G72)</f>
        <v>106.8</v>
      </c>
      <c r="H73" s="1546">
        <f t="shared" si="12"/>
        <v>355.70000000000005</v>
      </c>
      <c r="I73" s="1546">
        <f t="shared" si="12"/>
        <v>462.5</v>
      </c>
      <c r="J73" s="1546">
        <f t="shared" si="12"/>
        <v>56</v>
      </c>
      <c r="K73" s="1546">
        <f t="shared" si="12"/>
        <v>18.500000000000004</v>
      </c>
      <c r="L73" s="1546">
        <f t="shared" si="12"/>
        <v>9.1000000000000032</v>
      </c>
      <c r="M73" s="1547">
        <f t="shared" si="12"/>
        <v>134386</v>
      </c>
      <c r="N73" s="1547">
        <f t="shared" si="12"/>
        <v>2298117.2000000002</v>
      </c>
      <c r="O73" s="1547">
        <f t="shared" si="12"/>
        <v>1110.26</v>
      </c>
      <c r="P73" s="1547">
        <f t="shared" si="12"/>
        <v>130</v>
      </c>
      <c r="Q73" s="1547">
        <f t="shared" si="12"/>
        <v>16822980</v>
      </c>
      <c r="R73" s="1547">
        <f t="shared" si="12"/>
        <v>18216345.200000003</v>
      </c>
      <c r="S73" s="1548"/>
    </row>
    <row r="74" spans="1:19" ht="23.25">
      <c r="A74" s="838"/>
      <c r="B74" s="838"/>
      <c r="C74" s="1425"/>
      <c r="D74" s="839"/>
      <c r="E74" s="839"/>
      <c r="F74" s="839"/>
      <c r="G74" s="838"/>
      <c r="H74" s="838"/>
      <c r="I74" s="744"/>
      <c r="J74" s="838"/>
      <c r="K74" s="838"/>
      <c r="L74" s="838"/>
      <c r="M74" s="744"/>
      <c r="N74" s="744"/>
      <c r="O74" s="744"/>
      <c r="P74" s="744"/>
      <c r="Q74" s="744"/>
      <c r="R74" s="744"/>
      <c r="S74" s="838"/>
    </row>
    <row r="75" spans="1:19" ht="30">
      <c r="A75" s="1427" t="s">
        <v>128</v>
      </c>
      <c r="B75" s="1428"/>
      <c r="C75" s="1429"/>
      <c r="D75" s="1428"/>
      <c r="E75" s="1430"/>
      <c r="F75" s="1431"/>
      <c r="G75" s="1432"/>
      <c r="H75" s="1428"/>
      <c r="I75" s="1428"/>
      <c r="J75" s="1432"/>
      <c r="K75" s="1432"/>
      <c r="L75" s="1432"/>
      <c r="M75" s="1428"/>
      <c r="N75" s="1428"/>
      <c r="O75" s="1433" t="s">
        <v>131</v>
      </c>
      <c r="P75" s="1428"/>
      <c r="Q75" s="1432"/>
      <c r="R75" s="1428"/>
      <c r="S75" s="1428"/>
    </row>
    <row r="76" spans="1:19" ht="30">
      <c r="A76" s="1427"/>
      <c r="B76" s="1428"/>
      <c r="C76" s="1429"/>
      <c r="D76" s="1428"/>
      <c r="E76" s="1430"/>
      <c r="F76" s="1427"/>
      <c r="G76" s="1432"/>
      <c r="H76" s="1428"/>
      <c r="I76" s="1428"/>
      <c r="J76" s="1432"/>
      <c r="K76" s="1432"/>
      <c r="L76" s="1432"/>
      <c r="M76" s="1428"/>
      <c r="N76" s="1427"/>
      <c r="O76" s="448"/>
      <c r="P76" s="1428"/>
      <c r="Q76" s="1432"/>
      <c r="R76" s="1432"/>
      <c r="S76" s="1428"/>
    </row>
    <row r="77" spans="1:19" ht="15.75">
      <c r="A77" s="1434"/>
      <c r="B77" s="1432"/>
      <c r="C77" s="1432"/>
      <c r="D77" s="1435"/>
      <c r="E77" s="1436"/>
      <c r="F77" s="1437"/>
      <c r="G77" s="1436"/>
      <c r="H77" s="1432"/>
      <c r="I77" s="1432"/>
      <c r="J77" s="1438"/>
      <c r="K77" s="507"/>
      <c r="L77" s="1436"/>
      <c r="M77" s="1432"/>
      <c r="N77" s="1432"/>
      <c r="O77" s="505"/>
      <c r="P77" s="1436"/>
      <c r="Q77" s="1436"/>
      <c r="R77" s="503"/>
      <c r="S77" s="1432"/>
    </row>
    <row r="78" spans="1:19" ht="18">
      <c r="A78" s="1439" t="s">
        <v>531</v>
      </c>
      <c r="B78" s="1440"/>
      <c r="C78" s="1440"/>
      <c r="D78" s="1549"/>
      <c r="E78" s="1550"/>
      <c r="F78" s="1550"/>
      <c r="G78" s="1550"/>
      <c r="H78" s="1440"/>
      <c r="I78" s="1440"/>
      <c r="J78" s="1550"/>
      <c r="K78" s="1551"/>
      <c r="L78" s="1550"/>
      <c r="M78" s="1440"/>
      <c r="N78" s="1440"/>
      <c r="O78" s="1552" t="s">
        <v>54</v>
      </c>
      <c r="P78" s="1550"/>
      <c r="Q78" s="1550"/>
      <c r="R78" s="479"/>
      <c r="S78" s="1432"/>
    </row>
    <row r="79" spans="1:19" ht="18">
      <c r="A79" s="1442" t="s">
        <v>542</v>
      </c>
      <c r="B79" s="1443"/>
      <c r="C79" s="1553"/>
      <c r="D79" s="1440"/>
      <c r="E79" s="1442"/>
      <c r="F79" s="1446"/>
      <c r="G79" s="1553"/>
      <c r="H79" s="1553"/>
      <c r="I79" s="1553"/>
      <c r="J79" s="1446"/>
      <c r="K79" s="1442"/>
      <c r="L79" s="1442"/>
      <c r="M79" s="1553"/>
      <c r="N79" s="1553"/>
      <c r="O79" s="1554" t="s">
        <v>533</v>
      </c>
      <c r="P79" s="1442"/>
      <c r="Q79" s="1442"/>
      <c r="R79" s="484"/>
      <c r="S79" s="1436"/>
    </row>
    <row r="80" spans="1:19" ht="18">
      <c r="A80" s="1446" t="s">
        <v>543</v>
      </c>
      <c r="B80" s="1446"/>
      <c r="C80" s="1443"/>
      <c r="D80" s="1440"/>
      <c r="E80" s="1442"/>
      <c r="F80" s="1555"/>
      <c r="G80" s="1442"/>
      <c r="H80" s="1442"/>
      <c r="I80" s="1442"/>
      <c r="J80" s="1446"/>
      <c r="K80" s="1442"/>
      <c r="L80" s="1442"/>
      <c r="M80" s="1553"/>
      <c r="N80" s="1554"/>
      <c r="O80" s="1446"/>
      <c r="P80" s="1442"/>
      <c r="Q80" s="1442"/>
      <c r="R80" s="1444"/>
      <c r="S80" s="484"/>
    </row>
    <row r="81" spans="1:23" ht="15.75">
      <c r="A81" s="1449"/>
      <c r="B81" s="1450"/>
      <c r="C81" s="1450"/>
      <c r="D81" s="1450"/>
      <c r="E81" s="1450"/>
      <c r="F81" s="1451"/>
      <c r="G81" s="1450"/>
      <c r="H81" s="1450"/>
      <c r="I81" s="1450"/>
      <c r="J81" s="1450"/>
      <c r="K81" s="1450"/>
      <c r="L81" s="1450"/>
      <c r="M81" s="1450"/>
      <c r="N81" s="1450"/>
      <c r="O81" s="1452"/>
      <c r="P81" s="1452"/>
      <c r="Q81" s="1452"/>
      <c r="R81" s="1452"/>
      <c r="S81" s="1453"/>
    </row>
    <row r="85" spans="1:23" s="582" customFormat="1"/>
    <row r="86" spans="1:23" s="582" customFormat="1"/>
    <row r="87" spans="1:23" s="582" customFormat="1"/>
    <row r="88" spans="1:23" s="582" customFormat="1" ht="33.75">
      <c r="A88" s="1974" t="s">
        <v>553</v>
      </c>
      <c r="B88" s="1974"/>
      <c r="C88" s="1974"/>
      <c r="D88" s="1974"/>
      <c r="E88" s="1974"/>
      <c r="F88" s="1974"/>
      <c r="G88" s="1974"/>
      <c r="H88" s="1974"/>
      <c r="I88" s="1974"/>
      <c r="J88" s="1974"/>
      <c r="K88" s="1974"/>
      <c r="L88" s="1974"/>
      <c r="M88" s="1974"/>
      <c r="N88" s="1974"/>
      <c r="O88" s="1974"/>
      <c r="P88" s="1974"/>
      <c r="Q88" s="1974"/>
      <c r="R88" s="1974"/>
      <c r="S88" s="1974"/>
    </row>
    <row r="89" spans="1:23" s="582" customFormat="1"/>
    <row r="90" spans="1:23" ht="15.75" thickBot="1"/>
    <row r="91" spans="1:23">
      <c r="A91" s="1780" t="s">
        <v>79</v>
      </c>
      <c r="B91" s="1773" t="s">
        <v>188</v>
      </c>
      <c r="C91" s="2004" t="s">
        <v>189</v>
      </c>
      <c r="D91" s="1948" t="s">
        <v>190</v>
      </c>
      <c r="E91" s="1769" t="s">
        <v>191</v>
      </c>
      <c r="F91" s="1770"/>
      <c r="G91" s="1773" t="s">
        <v>84</v>
      </c>
      <c r="H91" s="1769" t="s">
        <v>85</v>
      </c>
      <c r="I91" s="2007"/>
      <c r="J91" s="1770"/>
      <c r="K91" s="1789" t="s">
        <v>192</v>
      </c>
      <c r="L91" s="1799"/>
      <c r="M91" s="1790"/>
      <c r="N91" s="1769" t="s">
        <v>86</v>
      </c>
      <c r="O91" s="1770"/>
      <c r="P91" s="1773" t="s">
        <v>87</v>
      </c>
      <c r="Q91" s="1776" t="s">
        <v>88</v>
      </c>
      <c r="R91" s="1777"/>
      <c r="S91" s="1777"/>
      <c r="T91" s="1777"/>
      <c r="U91" s="1777"/>
      <c r="V91" s="1778"/>
      <c r="W91" s="1794" t="s">
        <v>59</v>
      </c>
    </row>
    <row r="92" spans="1:23">
      <c r="A92" s="1781"/>
      <c r="B92" s="1774"/>
      <c r="C92" s="2005"/>
      <c r="D92" s="1949"/>
      <c r="E92" s="1771"/>
      <c r="F92" s="1772"/>
      <c r="G92" s="1774"/>
      <c r="H92" s="1771"/>
      <c r="I92" s="2008"/>
      <c r="J92" s="1772"/>
      <c r="K92" s="1791"/>
      <c r="L92" s="1800"/>
      <c r="M92" s="1792"/>
      <c r="N92" s="1771"/>
      <c r="O92" s="1772"/>
      <c r="P92" s="1774"/>
      <c r="Q92" s="1774" t="s">
        <v>90</v>
      </c>
      <c r="R92" s="1774"/>
      <c r="S92" s="1774" t="s">
        <v>91</v>
      </c>
      <c r="T92" s="1774"/>
      <c r="U92" s="1774"/>
      <c r="V92" s="1797" t="s">
        <v>89</v>
      </c>
      <c r="W92" s="1795"/>
    </row>
    <row r="93" spans="1:23" ht="62.25" customHeight="1" thickBot="1">
      <c r="A93" s="1782"/>
      <c r="B93" s="1775"/>
      <c r="C93" s="2006"/>
      <c r="D93" s="1950"/>
      <c r="E93" s="1194" t="s">
        <v>193</v>
      </c>
      <c r="F93" s="1194" t="s">
        <v>194</v>
      </c>
      <c r="G93" s="1775"/>
      <c r="H93" s="1194" t="s">
        <v>92</v>
      </c>
      <c r="I93" s="1194" t="s">
        <v>93</v>
      </c>
      <c r="J93" s="1194" t="s">
        <v>25</v>
      </c>
      <c r="K93" s="516" t="s">
        <v>92</v>
      </c>
      <c r="L93" s="516" t="s">
        <v>93</v>
      </c>
      <c r="M93" s="516" t="s">
        <v>25</v>
      </c>
      <c r="N93" s="1194" t="s">
        <v>94</v>
      </c>
      <c r="O93" s="1194" t="s">
        <v>95</v>
      </c>
      <c r="P93" s="1775"/>
      <c r="Q93" s="1193" t="s">
        <v>96</v>
      </c>
      <c r="R93" s="1193" t="s">
        <v>97</v>
      </c>
      <c r="S93" s="1193" t="s">
        <v>98</v>
      </c>
      <c r="T93" s="1193" t="s">
        <v>99</v>
      </c>
      <c r="U93" s="1193" t="s">
        <v>100</v>
      </c>
      <c r="V93" s="1798"/>
      <c r="W93" s="1796"/>
    </row>
    <row r="94" spans="1:23" ht="16.5">
      <c r="A94" s="1556" t="s">
        <v>101</v>
      </c>
      <c r="B94" s="1557" t="s">
        <v>102</v>
      </c>
      <c r="C94" s="1558"/>
      <c r="D94" s="1557" t="s">
        <v>103</v>
      </c>
      <c r="E94" s="1557" t="s">
        <v>104</v>
      </c>
      <c r="F94" s="1557" t="s">
        <v>105</v>
      </c>
      <c r="G94" s="1557" t="s">
        <v>106</v>
      </c>
      <c r="H94" s="1557" t="s">
        <v>107</v>
      </c>
      <c r="I94" s="1557" t="s">
        <v>108</v>
      </c>
      <c r="J94" s="1557" t="s">
        <v>109</v>
      </c>
      <c r="K94" s="1558" t="s">
        <v>110</v>
      </c>
      <c r="L94" s="1558" t="s">
        <v>111</v>
      </c>
      <c r="M94" s="1559" t="s">
        <v>112</v>
      </c>
      <c r="N94" s="1560" t="s">
        <v>113</v>
      </c>
      <c r="O94" s="1560" t="s">
        <v>114</v>
      </c>
      <c r="P94" s="1561" t="s">
        <v>115</v>
      </c>
      <c r="Q94" s="1560" t="s">
        <v>116</v>
      </c>
      <c r="R94" s="1561" t="s">
        <v>117</v>
      </c>
      <c r="S94" s="1561" t="s">
        <v>118</v>
      </c>
      <c r="T94" s="1562" t="s">
        <v>119</v>
      </c>
      <c r="U94" s="1563" t="s">
        <v>195</v>
      </c>
      <c r="V94" s="1563" t="s">
        <v>196</v>
      </c>
      <c r="W94" s="1564" t="s">
        <v>197</v>
      </c>
    </row>
    <row r="95" spans="1:23" ht="18">
      <c r="A95" s="1565" t="s">
        <v>175</v>
      </c>
      <c r="B95" s="1566" t="s">
        <v>544</v>
      </c>
      <c r="C95" s="1567" t="s">
        <v>537</v>
      </c>
      <c r="D95" s="1568">
        <v>25</v>
      </c>
      <c r="E95" s="1569"/>
      <c r="F95" s="1570">
        <v>316</v>
      </c>
      <c r="G95" s="1571" t="s">
        <v>22</v>
      </c>
      <c r="H95" s="1572"/>
      <c r="I95" s="1572"/>
      <c r="J95" s="1572"/>
      <c r="K95" s="1573"/>
      <c r="L95" s="1574">
        <v>316</v>
      </c>
      <c r="M95" s="1573">
        <f>SUM(K95:L95)</f>
        <v>316</v>
      </c>
      <c r="N95" s="1575">
        <v>10</v>
      </c>
      <c r="O95" s="1576">
        <f>N95-(N95*P95)</f>
        <v>8</v>
      </c>
      <c r="P95" s="1577">
        <v>0.2</v>
      </c>
      <c r="Q95" s="1572"/>
      <c r="R95" s="1572"/>
      <c r="S95" s="1572">
        <f>M95*N95*P95</f>
        <v>632</v>
      </c>
      <c r="T95" s="1572">
        <v>18</v>
      </c>
      <c r="U95" s="1572">
        <f>S95*1000*T95</f>
        <v>11376000</v>
      </c>
      <c r="V95" s="1572">
        <f>R95+U95</f>
        <v>11376000</v>
      </c>
      <c r="W95" s="1578" t="s">
        <v>528</v>
      </c>
    </row>
    <row r="96" spans="1:23" ht="36">
      <c r="A96" s="1579"/>
      <c r="B96" s="1580" t="s">
        <v>201</v>
      </c>
      <c r="C96" s="557" t="s">
        <v>537</v>
      </c>
      <c r="D96" s="1581">
        <v>9</v>
      </c>
      <c r="E96" s="1582"/>
      <c r="F96" s="1583"/>
      <c r="G96" s="1571" t="s">
        <v>22</v>
      </c>
      <c r="H96" s="508"/>
      <c r="I96" s="1584">
        <f>0.6+2+1+0.4+0.5+0.5+0.5+0.2+0.1</f>
        <v>5.8</v>
      </c>
      <c r="J96" s="1584">
        <f>SUM(H96:I96)</f>
        <v>5.8</v>
      </c>
      <c r="K96" s="517"/>
      <c r="L96" s="517"/>
      <c r="M96" s="517">
        <f t="shared" ref="M96:M120" si="13">SUM(K96:L96)</f>
        <v>0</v>
      </c>
      <c r="N96" s="1584">
        <v>15</v>
      </c>
      <c r="O96" s="1585">
        <f t="shared" ref="O96:O120" si="14">N96-(N96*P96)</f>
        <v>12</v>
      </c>
      <c r="P96" s="1586">
        <v>0.2</v>
      </c>
      <c r="Q96" s="508"/>
      <c r="R96" s="508"/>
      <c r="S96" s="508">
        <f>J96*N96*P96</f>
        <v>17.400000000000002</v>
      </c>
      <c r="T96" s="508">
        <v>15</v>
      </c>
      <c r="U96" s="508">
        <f t="shared" ref="U96:U114" si="15">S96*1000*T96</f>
        <v>261000.00000000006</v>
      </c>
      <c r="V96" s="508">
        <f t="shared" ref="V96:V120" si="16">R96+U96</f>
        <v>261000.00000000006</v>
      </c>
      <c r="W96" s="1578" t="s">
        <v>528</v>
      </c>
    </row>
    <row r="97" spans="1:23" ht="18">
      <c r="A97" s="1579"/>
      <c r="B97" s="1571" t="s">
        <v>545</v>
      </c>
      <c r="C97" s="557" t="s">
        <v>530</v>
      </c>
      <c r="D97" s="1581">
        <v>1</v>
      </c>
      <c r="E97" s="1582"/>
      <c r="F97" s="1583"/>
      <c r="G97" s="1571" t="s">
        <v>22</v>
      </c>
      <c r="H97" s="508"/>
      <c r="I97" s="1584">
        <v>2</v>
      </c>
      <c r="J97" s="1584">
        <f t="shared" ref="J97:J120" si="17">SUM(H97:I97)</f>
        <v>2</v>
      </c>
      <c r="K97" s="517"/>
      <c r="L97" s="517"/>
      <c r="M97" s="517">
        <f t="shared" si="13"/>
        <v>0</v>
      </c>
      <c r="N97" s="1584">
        <v>10</v>
      </c>
      <c r="O97" s="1585">
        <f t="shared" si="14"/>
        <v>8</v>
      </c>
      <c r="P97" s="1586">
        <v>0.2</v>
      </c>
      <c r="Q97" s="508"/>
      <c r="R97" s="508"/>
      <c r="S97" s="508">
        <f t="shared" ref="S97:S114" si="18">J97*N97*P97</f>
        <v>4</v>
      </c>
      <c r="T97" s="508">
        <v>30</v>
      </c>
      <c r="U97" s="508">
        <f t="shared" si="15"/>
        <v>120000</v>
      </c>
      <c r="V97" s="508">
        <f t="shared" si="16"/>
        <v>120000</v>
      </c>
      <c r="W97" s="1578" t="s">
        <v>528</v>
      </c>
    </row>
    <row r="98" spans="1:23" ht="18">
      <c r="A98" s="1579"/>
      <c r="B98" s="1571" t="s">
        <v>546</v>
      </c>
      <c r="C98" s="557" t="s">
        <v>530</v>
      </c>
      <c r="D98" s="1581">
        <v>1</v>
      </c>
      <c r="E98" s="1582"/>
      <c r="F98" s="1583"/>
      <c r="G98" s="1571" t="s">
        <v>22</v>
      </c>
      <c r="H98" s="508"/>
      <c r="I98" s="1584">
        <v>0.5</v>
      </c>
      <c r="J98" s="1584">
        <f t="shared" si="17"/>
        <v>0.5</v>
      </c>
      <c r="K98" s="517"/>
      <c r="L98" s="517"/>
      <c r="M98" s="517">
        <f t="shared" si="13"/>
        <v>0</v>
      </c>
      <c r="N98" s="1584">
        <v>15</v>
      </c>
      <c r="O98" s="1585">
        <f t="shared" si="14"/>
        <v>12</v>
      </c>
      <c r="P98" s="1586">
        <v>0.2</v>
      </c>
      <c r="Q98" s="508"/>
      <c r="R98" s="508"/>
      <c r="S98" s="508">
        <f t="shared" si="18"/>
        <v>1.5</v>
      </c>
      <c r="T98" s="508">
        <v>40</v>
      </c>
      <c r="U98" s="508">
        <f t="shared" si="15"/>
        <v>60000</v>
      </c>
      <c r="V98" s="508">
        <f t="shared" si="16"/>
        <v>60000</v>
      </c>
      <c r="W98" s="1578" t="s">
        <v>528</v>
      </c>
    </row>
    <row r="99" spans="1:23" ht="18">
      <c r="A99" s="1579"/>
      <c r="B99" s="1571" t="s">
        <v>325</v>
      </c>
      <c r="C99" s="557" t="s">
        <v>537</v>
      </c>
      <c r="D99" s="1581">
        <v>1</v>
      </c>
      <c r="E99" s="1582"/>
      <c r="F99" s="1583"/>
      <c r="G99" s="1571" t="s">
        <v>22</v>
      </c>
      <c r="H99" s="508"/>
      <c r="I99" s="1584">
        <v>1</v>
      </c>
      <c r="J99" s="1584">
        <f t="shared" si="17"/>
        <v>1</v>
      </c>
      <c r="K99" s="517"/>
      <c r="L99" s="517"/>
      <c r="M99" s="517">
        <f t="shared" si="13"/>
        <v>0</v>
      </c>
      <c r="N99" s="1584">
        <v>28</v>
      </c>
      <c r="O99" s="1585">
        <f t="shared" si="14"/>
        <v>22.4</v>
      </c>
      <c r="P99" s="1586">
        <v>0.2</v>
      </c>
      <c r="Q99" s="508"/>
      <c r="R99" s="508"/>
      <c r="S99" s="508">
        <f t="shared" si="18"/>
        <v>5.6000000000000005</v>
      </c>
      <c r="T99" s="508">
        <v>12</v>
      </c>
      <c r="U99" s="508">
        <f t="shared" si="15"/>
        <v>67200.000000000015</v>
      </c>
      <c r="V99" s="508">
        <f t="shared" si="16"/>
        <v>67200.000000000015</v>
      </c>
      <c r="W99" s="1578" t="s">
        <v>528</v>
      </c>
    </row>
    <row r="100" spans="1:23" ht="18">
      <c r="A100" s="1587" t="s">
        <v>287</v>
      </c>
      <c r="B100" s="1571" t="s">
        <v>546</v>
      </c>
      <c r="C100" s="557" t="s">
        <v>530</v>
      </c>
      <c r="D100" s="1581">
        <v>1</v>
      </c>
      <c r="E100" s="1582"/>
      <c r="F100" s="1583"/>
      <c r="G100" s="1571" t="s">
        <v>22</v>
      </c>
      <c r="H100" s="508"/>
      <c r="I100" s="1584">
        <v>0.25</v>
      </c>
      <c r="J100" s="1584">
        <f t="shared" si="17"/>
        <v>0.25</v>
      </c>
      <c r="K100" s="517"/>
      <c r="L100" s="517"/>
      <c r="M100" s="517">
        <f t="shared" si="13"/>
        <v>0</v>
      </c>
      <c r="N100" s="1584">
        <v>15</v>
      </c>
      <c r="O100" s="1585">
        <f t="shared" si="14"/>
        <v>12</v>
      </c>
      <c r="P100" s="1586">
        <v>0.2</v>
      </c>
      <c r="Q100" s="508"/>
      <c r="R100" s="508"/>
      <c r="S100" s="508">
        <f t="shared" si="18"/>
        <v>0.75</v>
      </c>
      <c r="T100" s="508">
        <v>12</v>
      </c>
      <c r="U100" s="508">
        <f t="shared" si="15"/>
        <v>9000</v>
      </c>
      <c r="V100" s="508">
        <f t="shared" si="16"/>
        <v>9000</v>
      </c>
      <c r="W100" s="1578" t="s">
        <v>528</v>
      </c>
    </row>
    <row r="101" spans="1:23" ht="18">
      <c r="A101" s="1587"/>
      <c r="B101" s="1571" t="s">
        <v>547</v>
      </c>
      <c r="C101" s="557" t="s">
        <v>530</v>
      </c>
      <c r="D101" s="1581">
        <v>1</v>
      </c>
      <c r="E101" s="1582"/>
      <c r="F101" s="1583"/>
      <c r="G101" s="1571" t="s">
        <v>22</v>
      </c>
      <c r="H101" s="508"/>
      <c r="I101" s="1584">
        <v>0.5</v>
      </c>
      <c r="J101" s="1584">
        <f t="shared" si="17"/>
        <v>0.5</v>
      </c>
      <c r="K101" s="517"/>
      <c r="L101" s="517"/>
      <c r="M101" s="517">
        <f t="shared" si="13"/>
        <v>0</v>
      </c>
      <c r="N101" s="1584">
        <v>35</v>
      </c>
      <c r="O101" s="1585">
        <f t="shared" si="14"/>
        <v>28</v>
      </c>
      <c r="P101" s="1586">
        <v>0.2</v>
      </c>
      <c r="Q101" s="508"/>
      <c r="R101" s="508"/>
      <c r="S101" s="508">
        <f t="shared" si="18"/>
        <v>3.5</v>
      </c>
      <c r="T101" s="508">
        <v>12</v>
      </c>
      <c r="U101" s="508">
        <f t="shared" si="15"/>
        <v>42000</v>
      </c>
      <c r="V101" s="508">
        <f t="shared" si="16"/>
        <v>42000</v>
      </c>
      <c r="W101" s="1578" t="s">
        <v>528</v>
      </c>
    </row>
    <row r="102" spans="1:23" ht="18">
      <c r="A102" s="1587"/>
      <c r="B102" s="1571" t="s">
        <v>58</v>
      </c>
      <c r="C102" s="557" t="s">
        <v>537</v>
      </c>
      <c r="D102" s="1588">
        <v>2</v>
      </c>
      <c r="E102" s="1589"/>
      <c r="F102" s="1583"/>
      <c r="G102" s="1571" t="s">
        <v>22</v>
      </c>
      <c r="H102" s="508"/>
      <c r="I102" s="1584">
        <v>0.5</v>
      </c>
      <c r="J102" s="1584">
        <f t="shared" si="17"/>
        <v>0.5</v>
      </c>
      <c r="K102" s="517"/>
      <c r="L102" s="517"/>
      <c r="M102" s="517">
        <f t="shared" si="13"/>
        <v>0</v>
      </c>
      <c r="N102" s="1584">
        <v>15</v>
      </c>
      <c r="O102" s="1585">
        <f t="shared" si="14"/>
        <v>12</v>
      </c>
      <c r="P102" s="1586">
        <v>0.2</v>
      </c>
      <c r="Q102" s="508"/>
      <c r="R102" s="508"/>
      <c r="S102" s="508">
        <f t="shared" si="18"/>
        <v>1.5</v>
      </c>
      <c r="T102" s="508">
        <v>40</v>
      </c>
      <c r="U102" s="508">
        <f t="shared" si="15"/>
        <v>60000</v>
      </c>
      <c r="V102" s="508">
        <f t="shared" si="16"/>
        <v>60000</v>
      </c>
      <c r="W102" s="1578" t="s">
        <v>528</v>
      </c>
    </row>
    <row r="103" spans="1:23" ht="18">
      <c r="A103" s="1587" t="s">
        <v>120</v>
      </c>
      <c r="B103" s="1571" t="s">
        <v>324</v>
      </c>
      <c r="C103" s="557" t="s">
        <v>537</v>
      </c>
      <c r="D103" s="1588">
        <v>4</v>
      </c>
      <c r="E103" s="1590">
        <v>1.05</v>
      </c>
      <c r="F103" s="1583"/>
      <c r="G103" s="1571" t="s">
        <v>22</v>
      </c>
      <c r="H103" s="508"/>
      <c r="I103" s="1584">
        <v>1.05</v>
      </c>
      <c r="J103" s="1584">
        <f t="shared" si="17"/>
        <v>1.05</v>
      </c>
      <c r="K103" s="517"/>
      <c r="L103" s="517"/>
      <c r="M103" s="517">
        <f t="shared" si="13"/>
        <v>0</v>
      </c>
      <c r="N103" s="1584">
        <v>18</v>
      </c>
      <c r="O103" s="1585">
        <f t="shared" si="14"/>
        <v>12.600000000000001</v>
      </c>
      <c r="P103" s="1586">
        <v>0.3</v>
      </c>
      <c r="Q103" s="508"/>
      <c r="R103" s="508"/>
      <c r="S103" s="508">
        <f t="shared" si="18"/>
        <v>5.6700000000000008</v>
      </c>
      <c r="T103" s="508">
        <v>20</v>
      </c>
      <c r="U103" s="508">
        <f t="shared" si="15"/>
        <v>113400.00000000001</v>
      </c>
      <c r="V103" s="508">
        <f t="shared" si="16"/>
        <v>113400.00000000001</v>
      </c>
      <c r="W103" s="1578" t="s">
        <v>528</v>
      </c>
    </row>
    <row r="104" spans="1:23" ht="18">
      <c r="A104" s="1587"/>
      <c r="B104" s="1571" t="s">
        <v>547</v>
      </c>
      <c r="C104" s="557" t="s">
        <v>537</v>
      </c>
      <c r="D104" s="1588">
        <v>3</v>
      </c>
      <c r="E104" s="1590">
        <v>1.5</v>
      </c>
      <c r="F104" s="1583"/>
      <c r="G104" s="1571" t="s">
        <v>22</v>
      </c>
      <c r="H104" s="508"/>
      <c r="I104" s="1584">
        <v>1.5</v>
      </c>
      <c r="J104" s="1584">
        <f t="shared" si="17"/>
        <v>1.5</v>
      </c>
      <c r="K104" s="517"/>
      <c r="L104" s="517"/>
      <c r="M104" s="517">
        <f t="shared" si="13"/>
        <v>0</v>
      </c>
      <c r="N104" s="1584">
        <v>35</v>
      </c>
      <c r="O104" s="1585">
        <f t="shared" si="14"/>
        <v>24.5</v>
      </c>
      <c r="P104" s="1586">
        <v>0.3</v>
      </c>
      <c r="Q104" s="508"/>
      <c r="R104" s="508"/>
      <c r="S104" s="508">
        <f t="shared" si="18"/>
        <v>15.75</v>
      </c>
      <c r="T104" s="508">
        <v>12</v>
      </c>
      <c r="U104" s="508">
        <f t="shared" si="15"/>
        <v>189000</v>
      </c>
      <c r="V104" s="508">
        <f t="shared" si="16"/>
        <v>189000</v>
      </c>
      <c r="W104" s="1578" t="s">
        <v>528</v>
      </c>
    </row>
    <row r="105" spans="1:23" ht="18">
      <c r="A105" s="1587"/>
      <c r="B105" s="1571" t="s">
        <v>548</v>
      </c>
      <c r="C105" s="557" t="s">
        <v>530</v>
      </c>
      <c r="D105" s="1588">
        <v>1</v>
      </c>
      <c r="E105" s="1590">
        <v>0.5</v>
      </c>
      <c r="F105" s="1583"/>
      <c r="G105" s="1571" t="s">
        <v>22</v>
      </c>
      <c r="H105" s="508"/>
      <c r="I105" s="1584">
        <v>1</v>
      </c>
      <c r="J105" s="1584">
        <f t="shared" si="17"/>
        <v>1</v>
      </c>
      <c r="K105" s="517"/>
      <c r="L105" s="517"/>
      <c r="M105" s="517">
        <f t="shared" si="13"/>
        <v>0</v>
      </c>
      <c r="N105" s="1584">
        <v>13</v>
      </c>
      <c r="O105" s="1585">
        <f t="shared" si="14"/>
        <v>9.1</v>
      </c>
      <c r="P105" s="1586">
        <v>0.3</v>
      </c>
      <c r="Q105" s="508"/>
      <c r="R105" s="508"/>
      <c r="S105" s="508">
        <f t="shared" si="18"/>
        <v>3.9</v>
      </c>
      <c r="T105" s="508">
        <v>12</v>
      </c>
      <c r="U105" s="508">
        <f t="shared" si="15"/>
        <v>46800</v>
      </c>
      <c r="V105" s="508">
        <f t="shared" si="16"/>
        <v>46800</v>
      </c>
      <c r="W105" s="1578" t="s">
        <v>528</v>
      </c>
    </row>
    <row r="106" spans="1:23" ht="18">
      <c r="A106" s="1587"/>
      <c r="B106" s="1571" t="s">
        <v>549</v>
      </c>
      <c r="C106" s="557" t="s">
        <v>530</v>
      </c>
      <c r="D106" s="1588">
        <v>3</v>
      </c>
      <c r="E106" s="1590">
        <f>0.1+0.15</f>
        <v>0.25</v>
      </c>
      <c r="F106" s="1583"/>
      <c r="G106" s="1571" t="s">
        <v>22</v>
      </c>
      <c r="H106" s="508"/>
      <c r="I106" s="1584">
        <f>0.25</f>
        <v>0.25</v>
      </c>
      <c r="J106" s="1584">
        <f t="shared" si="17"/>
        <v>0.25</v>
      </c>
      <c r="K106" s="517"/>
      <c r="L106" s="517"/>
      <c r="M106" s="517">
        <f t="shared" si="13"/>
        <v>0</v>
      </c>
      <c r="N106" s="1584">
        <v>20</v>
      </c>
      <c r="O106" s="1585">
        <f t="shared" si="14"/>
        <v>14</v>
      </c>
      <c r="P106" s="1586">
        <v>0.3</v>
      </c>
      <c r="Q106" s="508"/>
      <c r="R106" s="508"/>
      <c r="S106" s="508">
        <f t="shared" si="18"/>
        <v>1.5</v>
      </c>
      <c r="T106" s="508">
        <v>10</v>
      </c>
      <c r="U106" s="508">
        <f t="shared" si="15"/>
        <v>15000</v>
      </c>
      <c r="V106" s="508">
        <f t="shared" si="16"/>
        <v>15000</v>
      </c>
      <c r="W106" s="1578" t="s">
        <v>528</v>
      </c>
    </row>
    <row r="107" spans="1:23" ht="18">
      <c r="A107" s="1587"/>
      <c r="B107" s="1571" t="s">
        <v>550</v>
      </c>
      <c r="C107" s="557" t="s">
        <v>537</v>
      </c>
      <c r="D107" s="1588">
        <v>3</v>
      </c>
      <c r="E107" s="1590">
        <v>0.25</v>
      </c>
      <c r="F107" s="1583"/>
      <c r="G107" s="1571" t="s">
        <v>22</v>
      </c>
      <c r="H107" s="508"/>
      <c r="I107" s="1584">
        <f>E107</f>
        <v>0.25</v>
      </c>
      <c r="J107" s="1584">
        <f t="shared" si="17"/>
        <v>0.25</v>
      </c>
      <c r="K107" s="517"/>
      <c r="L107" s="517"/>
      <c r="M107" s="517">
        <f t="shared" si="13"/>
        <v>0</v>
      </c>
      <c r="N107" s="1584">
        <v>9</v>
      </c>
      <c r="O107" s="1585">
        <f t="shared" si="14"/>
        <v>6.3000000000000007</v>
      </c>
      <c r="P107" s="1586">
        <v>0.3</v>
      </c>
      <c r="Q107" s="508"/>
      <c r="R107" s="508"/>
      <c r="S107" s="508">
        <f t="shared" si="18"/>
        <v>0.67499999999999993</v>
      </c>
      <c r="T107" s="508">
        <v>20</v>
      </c>
      <c r="U107" s="508">
        <f t="shared" si="15"/>
        <v>13499.999999999998</v>
      </c>
      <c r="V107" s="508">
        <f t="shared" si="16"/>
        <v>13499.999999999998</v>
      </c>
      <c r="W107" s="1578" t="s">
        <v>528</v>
      </c>
    </row>
    <row r="108" spans="1:23" ht="18">
      <c r="A108" s="1587"/>
      <c r="B108" s="1571" t="s">
        <v>551</v>
      </c>
      <c r="C108" s="557" t="s">
        <v>537</v>
      </c>
      <c r="D108" s="1588">
        <v>2</v>
      </c>
      <c r="E108" s="1590">
        <f>0.6</f>
        <v>0.6</v>
      </c>
      <c r="F108" s="1583"/>
      <c r="G108" s="1571" t="s">
        <v>22</v>
      </c>
      <c r="H108" s="508"/>
      <c r="I108" s="1584">
        <f>E108</f>
        <v>0.6</v>
      </c>
      <c r="J108" s="1584">
        <f t="shared" si="17"/>
        <v>0.6</v>
      </c>
      <c r="K108" s="517"/>
      <c r="L108" s="517"/>
      <c r="M108" s="517">
        <f t="shared" si="13"/>
        <v>0</v>
      </c>
      <c r="N108" s="1584">
        <v>13</v>
      </c>
      <c r="O108" s="1585">
        <f t="shared" si="14"/>
        <v>9.1</v>
      </c>
      <c r="P108" s="1586">
        <v>0.3</v>
      </c>
      <c r="Q108" s="508"/>
      <c r="R108" s="508"/>
      <c r="S108" s="508">
        <f t="shared" si="18"/>
        <v>2.34</v>
      </c>
      <c r="T108" s="508">
        <v>30</v>
      </c>
      <c r="U108" s="508">
        <f t="shared" si="15"/>
        <v>70200</v>
      </c>
      <c r="V108" s="508">
        <f t="shared" si="16"/>
        <v>70200</v>
      </c>
      <c r="W108" s="1578" t="s">
        <v>528</v>
      </c>
    </row>
    <row r="109" spans="1:23" ht="18">
      <c r="A109" s="1587"/>
      <c r="B109" s="1571" t="s">
        <v>198</v>
      </c>
      <c r="C109" s="557" t="s">
        <v>537</v>
      </c>
      <c r="D109" s="1588">
        <v>1</v>
      </c>
      <c r="E109" s="1590">
        <v>0.05</v>
      </c>
      <c r="F109" s="1583"/>
      <c r="G109" s="1571" t="s">
        <v>22</v>
      </c>
      <c r="H109" s="1584"/>
      <c r="I109" s="1584">
        <f>E109</f>
        <v>0.05</v>
      </c>
      <c r="J109" s="1584">
        <f t="shared" si="17"/>
        <v>0.05</v>
      </c>
      <c r="K109" s="517"/>
      <c r="L109" s="517"/>
      <c r="M109" s="517">
        <f t="shared" si="13"/>
        <v>0</v>
      </c>
      <c r="N109" s="1584">
        <v>10</v>
      </c>
      <c r="O109" s="1585">
        <f t="shared" si="14"/>
        <v>7</v>
      </c>
      <c r="P109" s="1586">
        <v>0.3</v>
      </c>
      <c r="Q109" s="508"/>
      <c r="R109" s="508"/>
      <c r="S109" s="508">
        <f t="shared" si="18"/>
        <v>0.15</v>
      </c>
      <c r="T109" s="508">
        <v>30</v>
      </c>
      <c r="U109" s="508">
        <f t="shared" si="15"/>
        <v>4500</v>
      </c>
      <c r="V109" s="508">
        <f t="shared" si="16"/>
        <v>4500</v>
      </c>
      <c r="W109" s="1578" t="s">
        <v>528</v>
      </c>
    </row>
    <row r="110" spans="1:23" ht="18">
      <c r="A110" s="1587"/>
      <c r="B110" s="1571" t="s">
        <v>325</v>
      </c>
      <c r="C110" s="557" t="s">
        <v>537</v>
      </c>
      <c r="D110" s="1588">
        <v>1</v>
      </c>
      <c r="E110" s="1590">
        <v>0.8</v>
      </c>
      <c r="F110" s="1583"/>
      <c r="G110" s="1571" t="s">
        <v>22</v>
      </c>
      <c r="H110" s="1584"/>
      <c r="I110" s="1584">
        <f>E110</f>
        <v>0.8</v>
      </c>
      <c r="J110" s="1584">
        <f t="shared" si="17"/>
        <v>0.8</v>
      </c>
      <c r="K110" s="517"/>
      <c r="L110" s="517"/>
      <c r="M110" s="517">
        <f t="shared" si="13"/>
        <v>0</v>
      </c>
      <c r="N110" s="1584">
        <v>28</v>
      </c>
      <c r="O110" s="1585">
        <f t="shared" si="14"/>
        <v>19.600000000000001</v>
      </c>
      <c r="P110" s="1586">
        <v>0.3</v>
      </c>
      <c r="Q110" s="508"/>
      <c r="R110" s="508"/>
      <c r="S110" s="508">
        <f t="shared" si="18"/>
        <v>6.7200000000000006</v>
      </c>
      <c r="T110" s="508">
        <v>12</v>
      </c>
      <c r="U110" s="508">
        <f t="shared" si="15"/>
        <v>80640.000000000015</v>
      </c>
      <c r="V110" s="508">
        <f t="shared" si="16"/>
        <v>80640.000000000015</v>
      </c>
      <c r="W110" s="1578" t="s">
        <v>528</v>
      </c>
    </row>
    <row r="111" spans="1:23" ht="18">
      <c r="A111" s="1587"/>
      <c r="B111" s="1571" t="s">
        <v>58</v>
      </c>
      <c r="C111" s="557" t="s">
        <v>537</v>
      </c>
      <c r="D111" s="1588">
        <v>2</v>
      </c>
      <c r="E111" s="1590">
        <f>0.6</f>
        <v>0.6</v>
      </c>
      <c r="F111" s="1583"/>
      <c r="G111" s="1571" t="s">
        <v>22</v>
      </c>
      <c r="H111" s="1584"/>
      <c r="I111" s="1584">
        <v>0.6</v>
      </c>
      <c r="J111" s="1584">
        <f t="shared" si="17"/>
        <v>0.6</v>
      </c>
      <c r="K111" s="517"/>
      <c r="L111" s="517"/>
      <c r="M111" s="517">
        <f t="shared" si="13"/>
        <v>0</v>
      </c>
      <c r="N111" s="1584">
        <v>15</v>
      </c>
      <c r="O111" s="1585">
        <f t="shared" si="14"/>
        <v>10.5</v>
      </c>
      <c r="P111" s="1586">
        <v>0.3</v>
      </c>
      <c r="Q111" s="508"/>
      <c r="R111" s="508"/>
      <c r="S111" s="508">
        <f t="shared" si="18"/>
        <v>2.6999999999999997</v>
      </c>
      <c r="T111" s="508">
        <v>40</v>
      </c>
      <c r="U111" s="508">
        <f t="shared" si="15"/>
        <v>107999.99999999999</v>
      </c>
      <c r="V111" s="508">
        <f t="shared" si="16"/>
        <v>107999.99999999999</v>
      </c>
      <c r="W111" s="1578" t="s">
        <v>528</v>
      </c>
    </row>
    <row r="112" spans="1:23" ht="18">
      <c r="A112" s="1587" t="s">
        <v>168</v>
      </c>
      <c r="B112" s="1571" t="s">
        <v>544</v>
      </c>
      <c r="C112" s="557" t="s">
        <v>537</v>
      </c>
      <c r="D112" s="1588">
        <v>16</v>
      </c>
      <c r="E112" s="1590"/>
      <c r="F112" s="1583"/>
      <c r="G112" s="1571" t="s">
        <v>552</v>
      </c>
      <c r="H112" s="1584"/>
      <c r="I112" s="1584"/>
      <c r="J112" s="1584">
        <f t="shared" si="17"/>
        <v>0</v>
      </c>
      <c r="K112" s="517"/>
      <c r="L112" s="1591">
        <v>641</v>
      </c>
      <c r="M112" s="517">
        <f t="shared" si="13"/>
        <v>641</v>
      </c>
      <c r="N112" s="1584">
        <f>10</f>
        <v>10</v>
      </c>
      <c r="O112" s="1585">
        <f t="shared" si="14"/>
        <v>8</v>
      </c>
      <c r="P112" s="1586">
        <v>0.2</v>
      </c>
      <c r="Q112" s="508"/>
      <c r="R112" s="508"/>
      <c r="S112" s="508">
        <f>M112*N112*P112</f>
        <v>1282</v>
      </c>
      <c r="T112" s="508">
        <v>18</v>
      </c>
      <c r="U112" s="508">
        <f t="shared" si="15"/>
        <v>23076000</v>
      </c>
      <c r="V112" s="508">
        <f t="shared" si="16"/>
        <v>23076000</v>
      </c>
      <c r="W112" s="1578" t="s">
        <v>528</v>
      </c>
    </row>
    <row r="113" spans="1:23" ht="18">
      <c r="A113" s="1587"/>
      <c r="B113" s="1571" t="s">
        <v>198</v>
      </c>
      <c r="C113" s="557" t="s">
        <v>537</v>
      </c>
      <c r="D113" s="1588">
        <v>13</v>
      </c>
      <c r="E113" s="1590"/>
      <c r="F113" s="1583"/>
      <c r="G113" s="1571" t="s">
        <v>22</v>
      </c>
      <c r="H113" s="1584"/>
      <c r="I113" s="1584">
        <v>7.3</v>
      </c>
      <c r="J113" s="1584">
        <f t="shared" si="17"/>
        <v>7.3</v>
      </c>
      <c r="K113" s="517"/>
      <c r="L113" s="517"/>
      <c r="M113" s="517">
        <f t="shared" si="13"/>
        <v>0</v>
      </c>
      <c r="N113" s="1584">
        <v>10</v>
      </c>
      <c r="O113" s="1585">
        <f t="shared" si="14"/>
        <v>8</v>
      </c>
      <c r="P113" s="1586">
        <v>0.2</v>
      </c>
      <c r="Q113" s="508"/>
      <c r="R113" s="508"/>
      <c r="S113" s="508">
        <f t="shared" si="18"/>
        <v>14.600000000000001</v>
      </c>
      <c r="T113" s="508">
        <v>30</v>
      </c>
      <c r="U113" s="508">
        <f t="shared" si="15"/>
        <v>438000.00000000006</v>
      </c>
      <c r="V113" s="508">
        <f t="shared" si="16"/>
        <v>438000.00000000006</v>
      </c>
      <c r="W113" s="1578" t="s">
        <v>528</v>
      </c>
    </row>
    <row r="114" spans="1:23" ht="18">
      <c r="A114" s="1587"/>
      <c r="B114" s="1571" t="s">
        <v>323</v>
      </c>
      <c r="C114" s="557" t="s">
        <v>537</v>
      </c>
      <c r="D114" s="1588">
        <v>4</v>
      </c>
      <c r="E114" s="1590"/>
      <c r="F114" s="1583"/>
      <c r="G114" s="1571" t="s">
        <v>22</v>
      </c>
      <c r="H114" s="1584">
        <v>1.35</v>
      </c>
      <c r="I114" s="1584"/>
      <c r="J114" s="1584">
        <f t="shared" si="17"/>
        <v>1.35</v>
      </c>
      <c r="K114" s="517"/>
      <c r="L114" s="517"/>
      <c r="M114" s="517">
        <f t="shared" si="13"/>
        <v>0</v>
      </c>
      <c r="N114" s="1584">
        <v>15</v>
      </c>
      <c r="O114" s="1585">
        <f t="shared" si="14"/>
        <v>12</v>
      </c>
      <c r="P114" s="1586">
        <v>0.2</v>
      </c>
      <c r="Q114" s="508"/>
      <c r="R114" s="508"/>
      <c r="S114" s="508">
        <f t="shared" si="18"/>
        <v>4.05</v>
      </c>
      <c r="T114" s="508">
        <v>15</v>
      </c>
      <c r="U114" s="508">
        <f t="shared" si="15"/>
        <v>60750</v>
      </c>
      <c r="V114" s="508">
        <f t="shared" si="16"/>
        <v>60750</v>
      </c>
      <c r="W114" s="1578" t="s">
        <v>528</v>
      </c>
    </row>
    <row r="115" spans="1:23" ht="18">
      <c r="A115" s="1592" t="s">
        <v>164</v>
      </c>
      <c r="B115" s="1571" t="s">
        <v>198</v>
      </c>
      <c r="C115" s="557" t="s">
        <v>530</v>
      </c>
      <c r="D115" s="1588">
        <v>22</v>
      </c>
      <c r="E115" s="1590">
        <v>15</v>
      </c>
      <c r="F115" s="1583">
        <v>3000</v>
      </c>
      <c r="G115" s="1571" t="s">
        <v>22</v>
      </c>
      <c r="H115" s="1584">
        <v>5</v>
      </c>
      <c r="I115" s="1584"/>
      <c r="J115" s="1584">
        <f t="shared" si="17"/>
        <v>5</v>
      </c>
      <c r="K115" s="517">
        <v>1000</v>
      </c>
      <c r="L115" s="517"/>
      <c r="M115" s="517">
        <f t="shared" si="13"/>
        <v>1000</v>
      </c>
      <c r="N115" s="1584">
        <v>10</v>
      </c>
      <c r="O115" s="1585">
        <f t="shared" si="14"/>
        <v>0</v>
      </c>
      <c r="P115" s="1586">
        <v>1</v>
      </c>
      <c r="Q115" s="508"/>
      <c r="R115" s="508"/>
      <c r="S115" s="508"/>
      <c r="T115" s="508"/>
      <c r="U115" s="508"/>
      <c r="V115" s="508">
        <f t="shared" si="16"/>
        <v>0</v>
      </c>
      <c r="W115" s="1578" t="s">
        <v>528</v>
      </c>
    </row>
    <row r="116" spans="1:23" ht="18">
      <c r="A116" s="1592"/>
      <c r="B116" s="1571"/>
      <c r="C116" s="557"/>
      <c r="D116" s="1588"/>
      <c r="E116" s="1590"/>
      <c r="F116" s="1583"/>
      <c r="G116" s="1571" t="s">
        <v>22</v>
      </c>
      <c r="H116" s="1584"/>
      <c r="I116" s="1584">
        <v>10</v>
      </c>
      <c r="J116" s="1584">
        <f t="shared" si="17"/>
        <v>10</v>
      </c>
      <c r="K116" s="517"/>
      <c r="L116" s="517">
        <v>2000</v>
      </c>
      <c r="M116" s="517">
        <f t="shared" si="13"/>
        <v>2000</v>
      </c>
      <c r="N116" s="1584">
        <v>10</v>
      </c>
      <c r="O116" s="1585">
        <f t="shared" si="14"/>
        <v>8</v>
      </c>
      <c r="P116" s="1586">
        <v>0.2</v>
      </c>
      <c r="Q116" s="508"/>
      <c r="R116" s="508"/>
      <c r="S116" s="508"/>
      <c r="T116" s="508"/>
      <c r="U116" s="508"/>
      <c r="V116" s="508">
        <f t="shared" si="16"/>
        <v>0</v>
      </c>
      <c r="W116" s="1578" t="s">
        <v>528</v>
      </c>
    </row>
    <row r="117" spans="1:23" ht="18">
      <c r="A117" s="1587"/>
      <c r="B117" s="1571" t="s">
        <v>324</v>
      </c>
      <c r="C117" s="557" t="s">
        <v>530</v>
      </c>
      <c r="D117" s="1588">
        <v>12</v>
      </c>
      <c r="E117" s="1590">
        <v>4</v>
      </c>
      <c r="F117" s="1583"/>
      <c r="G117" s="1571" t="s">
        <v>51</v>
      </c>
      <c r="H117" s="1584">
        <v>3</v>
      </c>
      <c r="I117" s="1584"/>
      <c r="J117" s="1584">
        <f t="shared" si="17"/>
        <v>3</v>
      </c>
      <c r="K117" s="517"/>
      <c r="L117" s="517"/>
      <c r="M117" s="517"/>
      <c r="N117" s="1584">
        <v>18</v>
      </c>
      <c r="O117" s="1585">
        <f t="shared" si="14"/>
        <v>0</v>
      </c>
      <c r="P117" s="1586">
        <v>1</v>
      </c>
      <c r="Q117" s="508">
        <v>73451.67</v>
      </c>
      <c r="R117" s="508">
        <f>J117*N117*P117*Q117</f>
        <v>3966390.1799999997</v>
      </c>
      <c r="S117" s="508"/>
      <c r="T117" s="508"/>
      <c r="U117" s="508"/>
      <c r="V117" s="508">
        <f t="shared" si="16"/>
        <v>3966390.1799999997</v>
      </c>
      <c r="W117" s="1578" t="s">
        <v>528</v>
      </c>
    </row>
    <row r="118" spans="1:23" ht="18">
      <c r="A118" s="1587"/>
      <c r="B118" s="1571"/>
      <c r="C118" s="557"/>
      <c r="D118" s="1588"/>
      <c r="E118" s="1590"/>
      <c r="F118" s="1589"/>
      <c r="G118" s="1571" t="s">
        <v>51</v>
      </c>
      <c r="H118" s="1584"/>
      <c r="I118" s="1584">
        <v>1</v>
      </c>
      <c r="J118" s="1584">
        <f t="shared" si="17"/>
        <v>1</v>
      </c>
      <c r="K118" s="517"/>
      <c r="L118" s="517"/>
      <c r="M118" s="517"/>
      <c r="N118" s="1584">
        <v>18</v>
      </c>
      <c r="O118" s="1585">
        <f t="shared" si="14"/>
        <v>14.4</v>
      </c>
      <c r="P118" s="1586">
        <v>0.2</v>
      </c>
      <c r="Q118" s="508">
        <v>73451.67</v>
      </c>
      <c r="R118" s="508">
        <f>J118*N118*P118*Q118</f>
        <v>264426.01199999999</v>
      </c>
      <c r="S118" s="508"/>
      <c r="T118" s="508"/>
      <c r="U118" s="508"/>
      <c r="V118" s="508">
        <f t="shared" si="16"/>
        <v>264426.01199999999</v>
      </c>
      <c r="W118" s="1578" t="s">
        <v>528</v>
      </c>
    </row>
    <row r="119" spans="1:23" ht="18">
      <c r="A119" s="1587"/>
      <c r="B119" s="1571" t="s">
        <v>548</v>
      </c>
      <c r="C119" s="557" t="s">
        <v>530</v>
      </c>
      <c r="D119" s="1588">
        <v>10</v>
      </c>
      <c r="E119" s="1590">
        <v>6</v>
      </c>
      <c r="F119" s="1589"/>
      <c r="G119" s="1571" t="s">
        <v>51</v>
      </c>
      <c r="H119" s="1584">
        <v>4</v>
      </c>
      <c r="I119" s="1584"/>
      <c r="J119" s="1584">
        <f t="shared" si="17"/>
        <v>4</v>
      </c>
      <c r="K119" s="517"/>
      <c r="L119" s="517"/>
      <c r="M119" s="517"/>
      <c r="N119" s="1584">
        <v>13</v>
      </c>
      <c r="O119" s="1585">
        <f t="shared" si="14"/>
        <v>0</v>
      </c>
      <c r="P119" s="1586">
        <v>1</v>
      </c>
      <c r="Q119" s="508">
        <v>60360</v>
      </c>
      <c r="R119" s="508">
        <f t="shared" ref="R119:R120" si="19">J119*N119*P119*Q119</f>
        <v>3138720</v>
      </c>
      <c r="S119" s="508"/>
      <c r="T119" s="508"/>
      <c r="U119" s="508"/>
      <c r="V119" s="508">
        <f t="shared" si="16"/>
        <v>3138720</v>
      </c>
      <c r="W119" s="1578" t="s">
        <v>528</v>
      </c>
    </row>
    <row r="120" spans="1:23" ht="18">
      <c r="A120" s="1587"/>
      <c r="B120" s="1571"/>
      <c r="C120" s="557"/>
      <c r="D120" s="1588"/>
      <c r="E120" s="1590"/>
      <c r="F120" s="1589"/>
      <c r="G120" s="1571" t="s">
        <v>51</v>
      </c>
      <c r="H120" s="1584"/>
      <c r="I120" s="1584">
        <v>2</v>
      </c>
      <c r="J120" s="1584">
        <f t="shared" si="17"/>
        <v>2</v>
      </c>
      <c r="K120" s="517"/>
      <c r="L120" s="517"/>
      <c r="M120" s="517">
        <f t="shared" si="13"/>
        <v>0</v>
      </c>
      <c r="N120" s="1584">
        <v>13</v>
      </c>
      <c r="O120" s="1585">
        <f t="shared" si="14"/>
        <v>10.4</v>
      </c>
      <c r="P120" s="1586">
        <v>0.2</v>
      </c>
      <c r="Q120" s="508">
        <v>60360</v>
      </c>
      <c r="R120" s="508">
        <f t="shared" si="19"/>
        <v>313872</v>
      </c>
      <c r="S120" s="508"/>
      <c r="T120" s="508"/>
      <c r="U120" s="508"/>
      <c r="V120" s="508">
        <f t="shared" si="16"/>
        <v>313872</v>
      </c>
      <c r="W120" s="1578" t="s">
        <v>528</v>
      </c>
    </row>
    <row r="121" spans="1:23" ht="18.75" thickBot="1">
      <c r="A121" s="1593"/>
      <c r="B121" s="1594"/>
      <c r="C121" s="1595"/>
      <c r="D121" s="1596"/>
      <c r="E121" s="1597"/>
      <c r="F121" s="1598"/>
      <c r="G121" s="1598"/>
      <c r="H121" s="1599"/>
      <c r="I121" s="1599"/>
      <c r="J121" s="1599"/>
      <c r="K121" s="1600"/>
      <c r="L121" s="1600"/>
      <c r="M121" s="1600"/>
      <c r="N121" s="1599"/>
      <c r="O121" s="1601"/>
      <c r="P121" s="1601"/>
      <c r="Q121" s="1601"/>
      <c r="R121" s="1601"/>
      <c r="S121" s="1601"/>
      <c r="T121" s="1601"/>
      <c r="U121" s="1601"/>
      <c r="V121" s="1602"/>
      <c r="W121" s="1603"/>
    </row>
    <row r="122" spans="1:23" ht="18.75" thickBot="1">
      <c r="A122" s="469"/>
      <c r="B122" s="1604"/>
      <c r="C122" s="1605"/>
      <c r="D122" s="1606">
        <f>SUM(D95:D121)</f>
        <v>138</v>
      </c>
      <c r="E122" s="1606">
        <f>SUM(E95:E121)</f>
        <v>30.599999999999998</v>
      </c>
      <c r="F122" s="1606">
        <f>SUM(F95:F121)</f>
        <v>3316</v>
      </c>
      <c r="G122" s="1422"/>
      <c r="H122" s="1422">
        <f t="shared" ref="H122:M122" si="20">SUM(H95:H121)</f>
        <v>13.35</v>
      </c>
      <c r="I122" s="1422">
        <f t="shared" si="20"/>
        <v>36.950000000000003</v>
      </c>
      <c r="J122" s="1422">
        <f t="shared" si="20"/>
        <v>50.300000000000004</v>
      </c>
      <c r="K122" s="1422">
        <f t="shared" si="20"/>
        <v>1000</v>
      </c>
      <c r="L122" s="1422">
        <f t="shared" si="20"/>
        <v>2957</v>
      </c>
      <c r="M122" s="1422">
        <f t="shared" si="20"/>
        <v>3957</v>
      </c>
      <c r="N122" s="1422"/>
      <c r="O122" s="1422"/>
      <c r="P122" s="1422"/>
      <c r="Q122" s="1422">
        <f>SUM(Q95:Q121)</f>
        <v>267623.33999999997</v>
      </c>
      <c r="R122" s="1422">
        <f>SUM(R95:R121)</f>
        <v>7683408.1919999998</v>
      </c>
      <c r="S122" s="1422">
        <f>SUM(S95:S121)</f>
        <v>2006.3049999999998</v>
      </c>
      <c r="T122" s="1422"/>
      <c r="U122" s="1422">
        <f>SUM(U95:U121)</f>
        <v>36210990</v>
      </c>
      <c r="V122" s="1422">
        <f>SUM(V95:V121)</f>
        <v>43894398.192000002</v>
      </c>
      <c r="W122" s="1607"/>
    </row>
    <row r="123" spans="1:23">
      <c r="A123" s="1608"/>
      <c r="B123" s="1608"/>
      <c r="C123" s="520"/>
      <c r="D123" s="1609"/>
      <c r="E123" s="1610"/>
      <c r="F123" s="1610"/>
      <c r="G123" s="1610"/>
      <c r="H123" s="1608"/>
      <c r="I123" s="1608"/>
      <c r="J123" s="1608"/>
      <c r="K123" s="1608"/>
      <c r="L123" s="1608"/>
      <c r="M123" s="1608"/>
      <c r="N123" s="1608"/>
      <c r="O123" s="1608"/>
      <c r="P123" s="1608"/>
      <c r="Q123" s="1608"/>
      <c r="R123" s="1608"/>
      <c r="S123" s="1608"/>
      <c r="T123" s="1608"/>
      <c r="U123" s="1608"/>
      <c r="V123" s="1608"/>
      <c r="W123" s="1608"/>
    </row>
    <row r="124" spans="1:23" ht="30">
      <c r="A124" s="1427" t="s">
        <v>128</v>
      </c>
      <c r="B124" s="1428"/>
      <c r="C124" s="1429"/>
      <c r="D124" s="1428"/>
      <c r="E124" s="1430"/>
      <c r="F124" s="1431"/>
      <c r="G124" s="1432"/>
      <c r="H124" s="1428"/>
      <c r="I124" s="1428"/>
      <c r="J124" s="1432"/>
      <c r="K124" s="1432"/>
      <c r="L124" s="1432"/>
      <c r="M124" s="1428"/>
      <c r="N124" s="1428"/>
      <c r="O124" s="1433" t="s">
        <v>131</v>
      </c>
      <c r="P124" s="1428"/>
      <c r="Q124" s="1432"/>
      <c r="R124" s="1428"/>
      <c r="S124" s="1428"/>
      <c r="T124" s="448"/>
      <c r="U124" s="1428"/>
      <c r="V124" s="1428"/>
      <c r="W124" s="1428"/>
    </row>
    <row r="125" spans="1:23" ht="30">
      <c r="A125" s="1427"/>
      <c r="B125" s="1428"/>
      <c r="C125" s="1429"/>
      <c r="D125" s="1428"/>
      <c r="E125" s="1430"/>
      <c r="F125" s="1427"/>
      <c r="G125" s="1432"/>
      <c r="H125" s="1428"/>
      <c r="I125" s="1428"/>
      <c r="J125" s="1432"/>
      <c r="K125" s="1432"/>
      <c r="L125" s="1432"/>
      <c r="M125" s="1428"/>
      <c r="N125" s="1427"/>
      <c r="O125" s="448"/>
      <c r="P125" s="1428"/>
      <c r="Q125" s="1432"/>
      <c r="R125" s="503"/>
      <c r="S125" s="1432"/>
      <c r="T125" s="1432"/>
      <c r="U125" s="1432"/>
      <c r="V125" s="1432"/>
      <c r="W125" s="1432"/>
    </row>
    <row r="126" spans="1:23" ht="15.75">
      <c r="A126" s="1434"/>
      <c r="B126" s="1432"/>
      <c r="C126" s="1432"/>
      <c r="D126" s="1435"/>
      <c r="E126" s="1436"/>
      <c r="F126" s="1437"/>
      <c r="G126" s="1436"/>
      <c r="H126" s="1432"/>
      <c r="I126" s="1432"/>
      <c r="J126" s="1438"/>
      <c r="K126" s="507"/>
      <c r="L126" s="1436"/>
      <c r="M126" s="1432"/>
      <c r="N126" s="1432"/>
      <c r="O126" s="505"/>
      <c r="P126" s="1436"/>
      <c r="Q126" s="1436"/>
      <c r="R126" s="479"/>
      <c r="S126" s="1432"/>
      <c r="T126" s="1432"/>
      <c r="U126" s="1432"/>
      <c r="V126" s="1432"/>
      <c r="W126" s="1432"/>
    </row>
    <row r="127" spans="1:23" ht="18">
      <c r="A127" s="1439" t="s">
        <v>531</v>
      </c>
      <c r="B127" s="1440"/>
      <c r="C127" s="1440"/>
      <c r="D127" s="1549"/>
      <c r="E127" s="1550"/>
      <c r="F127" s="1550"/>
      <c r="G127" s="1550"/>
      <c r="H127" s="1440"/>
      <c r="I127" s="1440"/>
      <c r="J127" s="1550"/>
      <c r="K127" s="1551"/>
      <c r="L127" s="1550"/>
      <c r="M127" s="1440"/>
      <c r="N127" s="1440"/>
      <c r="O127" s="1552" t="s">
        <v>54</v>
      </c>
      <c r="P127" s="1550"/>
      <c r="Q127" s="1550"/>
      <c r="R127" s="1554"/>
      <c r="S127" s="1436"/>
      <c r="T127" s="1436"/>
      <c r="U127" s="1611"/>
      <c r="V127" s="1436"/>
      <c r="W127" s="1436"/>
    </row>
    <row r="128" spans="1:23" ht="18">
      <c r="A128" s="1442" t="s">
        <v>542</v>
      </c>
      <c r="B128" s="1443"/>
      <c r="C128" s="1553"/>
      <c r="D128" s="1440"/>
      <c r="E128" s="1442"/>
      <c r="F128" s="1446"/>
      <c r="G128" s="1553"/>
      <c r="H128" s="1553"/>
      <c r="I128" s="1553"/>
      <c r="J128" s="1446"/>
      <c r="K128" s="1442"/>
      <c r="L128" s="1442"/>
      <c r="M128" s="1553"/>
      <c r="N128" s="1553"/>
      <c r="O128" s="1554" t="s">
        <v>533</v>
      </c>
      <c r="P128" s="1442"/>
      <c r="Q128" s="1442"/>
      <c r="R128" s="1442"/>
      <c r="S128" s="484"/>
      <c r="T128" s="1436"/>
      <c r="U128" s="1611"/>
      <c r="V128" s="1436"/>
      <c r="W128" s="1436"/>
    </row>
    <row r="129" spans="1:23" ht="18">
      <c r="A129" s="1446" t="s">
        <v>543</v>
      </c>
      <c r="B129" s="1446"/>
      <c r="C129" s="1443"/>
      <c r="D129" s="1440"/>
      <c r="E129" s="1442"/>
      <c r="F129" s="1555"/>
      <c r="G129" s="1442"/>
      <c r="H129" s="1442"/>
      <c r="I129" s="1442"/>
      <c r="J129" s="1446"/>
      <c r="K129" s="1442"/>
      <c r="L129" s="1442"/>
      <c r="M129" s="1553"/>
      <c r="N129" s="1554"/>
      <c r="O129" s="1446"/>
      <c r="P129" s="1442"/>
      <c r="Q129" s="1442"/>
      <c r="R129" s="1612"/>
      <c r="S129" s="1453"/>
      <c r="T129" s="1433"/>
      <c r="U129" s="1613"/>
      <c r="V129" s="1433"/>
      <c r="W129" s="1433"/>
    </row>
    <row r="130" spans="1:23" ht="18">
      <c r="A130" s="1614"/>
      <c r="B130" s="1615"/>
      <c r="C130" s="1615"/>
      <c r="D130" s="1615"/>
      <c r="E130" s="1615"/>
      <c r="F130" s="1616"/>
      <c r="G130" s="1615"/>
      <c r="H130" s="1615"/>
      <c r="I130" s="1615"/>
      <c r="J130" s="1615"/>
      <c r="K130" s="1615"/>
      <c r="L130" s="1615"/>
      <c r="M130" s="1615"/>
      <c r="N130" s="1615"/>
      <c r="O130" s="1612"/>
      <c r="P130" s="1612"/>
      <c r="Q130" s="1612"/>
      <c r="R130" s="1617"/>
      <c r="S130" s="1608"/>
      <c r="T130" s="1608"/>
      <c r="U130" s="1608"/>
      <c r="V130" s="1608"/>
      <c r="W130" s="1608"/>
    </row>
    <row r="135" spans="1:23" ht="22.5">
      <c r="A135" s="2003" t="s">
        <v>261</v>
      </c>
      <c r="B135" s="2003"/>
      <c r="C135" s="2003"/>
      <c r="D135" s="2003"/>
      <c r="E135" s="2003"/>
      <c r="F135" s="2003"/>
      <c r="G135" s="2003"/>
      <c r="H135" s="2003"/>
      <c r="I135" s="2003"/>
      <c r="J135" s="2003"/>
      <c r="K135" s="2003"/>
      <c r="L135" s="2003"/>
      <c r="M135" s="2003"/>
      <c r="N135" s="2003"/>
      <c r="O135" s="2003"/>
      <c r="P135" s="2003"/>
      <c r="Q135" s="2003"/>
      <c r="R135" s="2003"/>
      <c r="S135" s="2003"/>
      <c r="T135" s="582"/>
    </row>
    <row r="136" spans="1:23" ht="18">
      <c r="A136" s="2003" t="s">
        <v>262</v>
      </c>
      <c r="B136" s="2003"/>
      <c r="C136" s="2003"/>
      <c r="D136" s="2003"/>
      <c r="E136" s="2003"/>
      <c r="F136" s="2003"/>
      <c r="G136" s="2003"/>
      <c r="H136" s="2003"/>
      <c r="I136" s="2003"/>
      <c r="J136" s="2003"/>
      <c r="K136" s="2003"/>
      <c r="L136" s="2003"/>
      <c r="M136" s="2003"/>
      <c r="N136" s="2003"/>
      <c r="O136" s="2003"/>
      <c r="P136" s="2003"/>
      <c r="Q136" s="2003"/>
      <c r="R136" s="2003"/>
      <c r="S136" s="2003"/>
      <c r="T136" s="582"/>
    </row>
    <row r="137" spans="1:23" ht="18">
      <c r="A137" s="2003" t="s">
        <v>263</v>
      </c>
      <c r="B137" s="2003"/>
      <c r="C137" s="2003"/>
      <c r="D137" s="2003"/>
      <c r="E137" s="2003"/>
      <c r="F137" s="2003"/>
      <c r="G137" s="2003"/>
      <c r="H137" s="2003"/>
      <c r="I137" s="2003"/>
      <c r="J137" s="2003"/>
      <c r="K137" s="2003"/>
      <c r="L137" s="2003"/>
      <c r="M137" s="2003"/>
      <c r="N137" s="2003"/>
      <c r="O137" s="2003"/>
      <c r="P137" s="2003"/>
      <c r="Q137" s="2003"/>
      <c r="R137" s="2003"/>
      <c r="S137" s="2003"/>
      <c r="T137" s="582"/>
    </row>
    <row r="138" spans="1:23" ht="18">
      <c r="A138" s="2003" t="s">
        <v>264</v>
      </c>
      <c r="B138" s="2003"/>
      <c r="C138" s="2003"/>
      <c r="D138" s="2003"/>
      <c r="E138" s="2003"/>
      <c r="F138" s="2003"/>
      <c r="G138" s="2003"/>
      <c r="H138" s="2003"/>
      <c r="I138" s="2003"/>
      <c r="J138" s="2003"/>
      <c r="K138" s="2003"/>
      <c r="L138" s="2003"/>
      <c r="M138" s="2003"/>
      <c r="N138" s="2003"/>
      <c r="O138" s="2003"/>
      <c r="P138" s="2003"/>
      <c r="Q138" s="2003"/>
      <c r="R138" s="2003"/>
      <c r="S138" s="2003"/>
      <c r="T138" s="582"/>
    </row>
    <row r="139" spans="1:23" ht="18.75" thickBot="1">
      <c r="A139" s="2015" t="s">
        <v>265</v>
      </c>
      <c r="B139" s="2015"/>
      <c r="C139" s="2015"/>
      <c r="D139" s="2015"/>
      <c r="E139" s="2015"/>
      <c r="F139" s="2015"/>
      <c r="G139" s="2015"/>
      <c r="H139" s="2015"/>
      <c r="I139" s="2015"/>
      <c r="J139" s="2015"/>
      <c r="K139" s="2015"/>
      <c r="L139" s="2015"/>
      <c r="M139" s="2015"/>
      <c r="N139" s="2015"/>
      <c r="O139" s="2015"/>
      <c r="P139" s="2015"/>
      <c r="Q139" s="2015"/>
      <c r="R139" s="2015"/>
      <c r="S139" s="2015"/>
      <c r="T139" s="582"/>
    </row>
    <row r="140" spans="1:23" ht="18">
      <c r="A140" s="722" t="s">
        <v>67</v>
      </c>
      <c r="B140" s="715"/>
      <c r="C140" s="716"/>
      <c r="D140" s="716"/>
      <c r="E140" s="716"/>
      <c r="F140" s="716"/>
      <c r="G140" s="716"/>
      <c r="H140" s="716"/>
      <c r="I140" s="716"/>
      <c r="J140" s="724"/>
      <c r="K140" s="724"/>
      <c r="L140" s="724"/>
      <c r="M140" s="724"/>
      <c r="N140" s="718"/>
      <c r="O140" s="724"/>
      <c r="P140" s="723" t="s">
        <v>68</v>
      </c>
      <c r="Q140" s="716"/>
      <c r="R140" s="716"/>
      <c r="S140" s="719"/>
      <c r="T140" s="582"/>
    </row>
    <row r="141" spans="1:23" ht="18">
      <c r="A141" s="2016" t="s">
        <v>266</v>
      </c>
      <c r="B141" s="2017"/>
      <c r="C141" s="2017"/>
      <c r="D141" s="2017"/>
      <c r="E141" s="2017"/>
      <c r="F141" s="2017"/>
      <c r="G141" s="2017"/>
      <c r="H141" s="2017"/>
      <c r="I141" s="2017"/>
      <c r="J141" s="2017"/>
      <c r="K141" s="2017"/>
      <c r="L141" s="2017"/>
      <c r="M141" s="2017"/>
      <c r="N141" s="2018"/>
      <c r="O141" s="721"/>
      <c r="P141" s="709" t="s">
        <v>70</v>
      </c>
      <c r="Q141" s="710"/>
      <c r="R141" s="710" t="s">
        <v>71</v>
      </c>
      <c r="S141" s="720"/>
      <c r="T141" s="582"/>
    </row>
    <row r="142" spans="1:23" ht="18">
      <c r="A142" s="2016" t="s">
        <v>267</v>
      </c>
      <c r="B142" s="2017"/>
      <c r="C142" s="2017"/>
      <c r="D142" s="2017"/>
      <c r="E142" s="2017"/>
      <c r="F142" s="2017"/>
      <c r="G142" s="2017"/>
      <c r="H142" s="2017"/>
      <c r="I142" s="2017"/>
      <c r="J142" s="2017"/>
      <c r="K142" s="2017"/>
      <c r="L142" s="2017"/>
      <c r="M142" s="2017"/>
      <c r="N142" s="2018"/>
      <c r="O142" s="721"/>
      <c r="P142" s="736" t="s">
        <v>73</v>
      </c>
      <c r="Q142" s="721"/>
      <c r="R142" s="708"/>
      <c r="S142" s="725" t="s">
        <v>74</v>
      </c>
      <c r="T142" s="582"/>
    </row>
    <row r="143" spans="1:23" ht="18">
      <c r="A143" s="2016" t="s">
        <v>268</v>
      </c>
      <c r="B143" s="2017"/>
      <c r="C143" s="2017"/>
      <c r="D143" s="2017"/>
      <c r="E143" s="2017"/>
      <c r="F143" s="2017"/>
      <c r="G143" s="2017"/>
      <c r="H143" s="2017"/>
      <c r="I143" s="2017"/>
      <c r="J143" s="2017"/>
      <c r="K143" s="2017"/>
      <c r="L143" s="2017"/>
      <c r="M143" s="2017"/>
      <c r="N143" s="2018"/>
      <c r="O143" s="721"/>
      <c r="P143" s="736" t="s">
        <v>75</v>
      </c>
      <c r="Q143" s="721"/>
      <c r="R143" s="708"/>
      <c r="S143" s="725" t="s">
        <v>76</v>
      </c>
      <c r="T143" s="582"/>
    </row>
    <row r="144" spans="1:23" ht="18.75" thickBot="1">
      <c r="A144" s="2019" t="s">
        <v>269</v>
      </c>
      <c r="B144" s="2020"/>
      <c r="C144" s="2020"/>
      <c r="D144" s="2020"/>
      <c r="E144" s="2020"/>
      <c r="F144" s="2020"/>
      <c r="G144" s="2020"/>
      <c r="H144" s="2020"/>
      <c r="I144" s="2020"/>
      <c r="J144" s="2020"/>
      <c r="K144" s="2020"/>
      <c r="L144" s="2020"/>
      <c r="M144" s="2020"/>
      <c r="N144" s="2021"/>
      <c r="O144" s="721"/>
      <c r="P144" s="736" t="s">
        <v>77</v>
      </c>
      <c r="Q144" s="721"/>
      <c r="R144" s="708"/>
      <c r="S144" s="725" t="s">
        <v>78</v>
      </c>
      <c r="T144" s="582"/>
    </row>
    <row r="145" spans="1:20" ht="18.75" thickBot="1">
      <c r="A145" s="2022"/>
      <c r="B145" s="2025" t="s">
        <v>270</v>
      </c>
      <c r="C145" s="2028" t="s">
        <v>271</v>
      </c>
      <c r="D145" s="2031" t="s">
        <v>272</v>
      </c>
      <c r="E145" s="2031" t="s">
        <v>273</v>
      </c>
      <c r="F145" s="2050" t="s">
        <v>274</v>
      </c>
      <c r="G145" s="2053" t="s">
        <v>275</v>
      </c>
      <c r="H145" s="2054"/>
      <c r="I145" s="2054"/>
      <c r="J145" s="2054"/>
      <c r="K145" s="2054"/>
      <c r="L145" s="2054"/>
      <c r="M145" s="2054"/>
      <c r="N145" s="2054"/>
      <c r="O145" s="2055"/>
      <c r="P145" s="2056" t="s">
        <v>276</v>
      </c>
      <c r="Q145" s="2057"/>
      <c r="R145" s="2058"/>
      <c r="S145" s="2059" t="s">
        <v>59</v>
      </c>
      <c r="T145" s="582"/>
    </row>
    <row r="146" spans="1:20" ht="16.5">
      <c r="A146" s="2023"/>
      <c r="B146" s="2026"/>
      <c r="C146" s="2029"/>
      <c r="D146" s="2032"/>
      <c r="E146" s="2032"/>
      <c r="F146" s="2051"/>
      <c r="G146" s="2062" t="s">
        <v>277</v>
      </c>
      <c r="H146" s="2065" t="s">
        <v>278</v>
      </c>
      <c r="I146" s="2066" t="s">
        <v>279</v>
      </c>
      <c r="J146" s="2009" t="s">
        <v>90</v>
      </c>
      <c r="K146" s="2010"/>
      <c r="L146" s="2009" t="s">
        <v>91</v>
      </c>
      <c r="M146" s="2011"/>
      <c r="N146" s="2010"/>
      <c r="O146" s="2012" t="s">
        <v>280</v>
      </c>
      <c r="P146" s="2035" t="s">
        <v>281</v>
      </c>
      <c r="Q146" s="2038" t="s">
        <v>282</v>
      </c>
      <c r="R146" s="2041" t="s">
        <v>283</v>
      </c>
      <c r="S146" s="2060"/>
      <c r="T146" s="582"/>
    </row>
    <row r="147" spans="1:20">
      <c r="A147" s="2023"/>
      <c r="B147" s="2026"/>
      <c r="C147" s="2029"/>
      <c r="D147" s="2032"/>
      <c r="E147" s="2032"/>
      <c r="F147" s="2051"/>
      <c r="G147" s="2063"/>
      <c r="H147" s="2032"/>
      <c r="I147" s="2067"/>
      <c r="J147" s="2044" t="s">
        <v>284</v>
      </c>
      <c r="K147" s="2046" t="s">
        <v>97</v>
      </c>
      <c r="L147" s="2044" t="s">
        <v>285</v>
      </c>
      <c r="M147" s="2048" t="s">
        <v>153</v>
      </c>
      <c r="N147" s="2046" t="s">
        <v>280</v>
      </c>
      <c r="O147" s="2013"/>
      <c r="P147" s="2036"/>
      <c r="Q147" s="2039"/>
      <c r="R147" s="2042"/>
      <c r="S147" s="2060"/>
      <c r="T147" s="582"/>
    </row>
    <row r="148" spans="1:20" ht="15.75" thickBot="1">
      <c r="A148" s="2024"/>
      <c r="B148" s="2027"/>
      <c r="C148" s="2030"/>
      <c r="D148" s="2033"/>
      <c r="E148" s="2033"/>
      <c r="F148" s="2052"/>
      <c r="G148" s="2064"/>
      <c r="H148" s="2033"/>
      <c r="I148" s="2068"/>
      <c r="J148" s="2045"/>
      <c r="K148" s="2047"/>
      <c r="L148" s="2045"/>
      <c r="M148" s="2049"/>
      <c r="N148" s="2047"/>
      <c r="O148" s="2014"/>
      <c r="P148" s="2037"/>
      <c r="Q148" s="2040"/>
      <c r="R148" s="2043"/>
      <c r="S148" s="2061"/>
      <c r="T148" s="582"/>
    </row>
    <row r="149" spans="1:20" ht="16.5">
      <c r="A149" s="730" t="s">
        <v>101</v>
      </c>
      <c r="B149" s="726" t="s">
        <v>102</v>
      </c>
      <c r="C149" s="729" t="s">
        <v>103</v>
      </c>
      <c r="D149" s="712" t="s">
        <v>104</v>
      </c>
      <c r="E149" s="712" t="s">
        <v>105</v>
      </c>
      <c r="F149" s="728" t="s">
        <v>106</v>
      </c>
      <c r="G149" s="729" t="s">
        <v>107</v>
      </c>
      <c r="H149" s="712" t="s">
        <v>108</v>
      </c>
      <c r="I149" s="727" t="s">
        <v>109</v>
      </c>
      <c r="J149" s="711" t="s">
        <v>110</v>
      </c>
      <c r="K149" s="714" t="s">
        <v>111</v>
      </c>
      <c r="L149" s="733" t="s">
        <v>286</v>
      </c>
      <c r="M149" s="713" t="s">
        <v>113</v>
      </c>
      <c r="N149" s="731" t="s">
        <v>114</v>
      </c>
      <c r="O149" s="732" t="s">
        <v>115</v>
      </c>
      <c r="P149" s="752" t="s">
        <v>116</v>
      </c>
      <c r="Q149" s="753" t="s">
        <v>117</v>
      </c>
      <c r="R149" s="754" t="s">
        <v>118</v>
      </c>
      <c r="S149" s="735" t="s">
        <v>119</v>
      </c>
      <c r="T149" s="582"/>
    </row>
    <row r="150" spans="1:20" ht="23.25">
      <c r="A150" s="2069" t="s">
        <v>287</v>
      </c>
      <c r="B150" s="739" t="s">
        <v>288</v>
      </c>
      <c r="C150" s="748" t="s">
        <v>289</v>
      </c>
      <c r="D150" s="737"/>
      <c r="E150" s="737"/>
      <c r="F150" s="751"/>
      <c r="G150" s="769">
        <v>57</v>
      </c>
      <c r="H150" s="738"/>
      <c r="I150" s="758"/>
      <c r="J150" s="792">
        <v>300</v>
      </c>
      <c r="K150" s="759">
        <v>17100</v>
      </c>
      <c r="L150" s="760"/>
      <c r="M150" s="738"/>
      <c r="N150" s="749"/>
      <c r="O150" s="750"/>
      <c r="P150" s="755"/>
      <c r="Q150" s="756"/>
      <c r="R150" s="757"/>
      <c r="S150" s="804" t="s">
        <v>290</v>
      </c>
      <c r="T150" s="582"/>
    </row>
    <row r="151" spans="1:20" ht="23.25">
      <c r="A151" s="2070"/>
      <c r="B151" s="743" t="s">
        <v>291</v>
      </c>
      <c r="C151" s="748" t="s">
        <v>289</v>
      </c>
      <c r="D151" s="761"/>
      <c r="E151" s="761"/>
      <c r="F151" s="762"/>
      <c r="G151" s="768">
        <v>196</v>
      </c>
      <c r="H151" s="741"/>
      <c r="I151" s="763"/>
      <c r="J151" s="793">
        <v>300</v>
      </c>
      <c r="K151" s="759">
        <v>58800</v>
      </c>
      <c r="L151" s="740"/>
      <c r="M151" s="741"/>
      <c r="N151" s="742"/>
      <c r="O151" s="743"/>
      <c r="P151" s="764"/>
      <c r="Q151" s="765"/>
      <c r="R151" s="766"/>
      <c r="S151" s="804" t="s">
        <v>290</v>
      </c>
      <c r="T151" s="582"/>
    </row>
    <row r="152" spans="1:20" ht="23.25">
      <c r="A152" s="2070"/>
      <c r="B152" s="743" t="s">
        <v>292</v>
      </c>
      <c r="C152" s="748" t="s">
        <v>289</v>
      </c>
      <c r="D152" s="761"/>
      <c r="E152" s="761"/>
      <c r="F152" s="762"/>
      <c r="G152" s="768">
        <v>20</v>
      </c>
      <c r="H152" s="741"/>
      <c r="I152" s="763"/>
      <c r="J152" s="793">
        <v>4000</v>
      </c>
      <c r="K152" s="759">
        <v>80000</v>
      </c>
      <c r="L152" s="740"/>
      <c r="M152" s="741"/>
      <c r="N152" s="742"/>
      <c r="O152" s="743"/>
      <c r="P152" s="764"/>
      <c r="Q152" s="765"/>
      <c r="R152" s="766"/>
      <c r="S152" s="804" t="s">
        <v>290</v>
      </c>
      <c r="T152" s="582"/>
    </row>
    <row r="153" spans="1:20" ht="23.25">
      <c r="A153" s="2070"/>
      <c r="B153" s="743" t="s">
        <v>293</v>
      </c>
      <c r="C153" s="748" t="s">
        <v>289</v>
      </c>
      <c r="D153" s="761"/>
      <c r="E153" s="761"/>
      <c r="F153" s="762"/>
      <c r="G153" s="768">
        <v>3</v>
      </c>
      <c r="H153" s="741"/>
      <c r="I153" s="763"/>
      <c r="J153" s="793">
        <v>25000</v>
      </c>
      <c r="K153" s="759">
        <v>75000</v>
      </c>
      <c r="L153" s="740"/>
      <c r="M153" s="741"/>
      <c r="N153" s="742"/>
      <c r="O153" s="743"/>
      <c r="P153" s="764"/>
      <c r="Q153" s="765"/>
      <c r="R153" s="766"/>
      <c r="S153" s="804" t="s">
        <v>290</v>
      </c>
      <c r="T153" s="582"/>
    </row>
    <row r="154" spans="1:20" ht="23.25">
      <c r="A154" s="2071"/>
      <c r="B154" s="743" t="s">
        <v>294</v>
      </c>
      <c r="C154" s="748" t="s">
        <v>289</v>
      </c>
      <c r="D154" s="761"/>
      <c r="E154" s="761"/>
      <c r="F154" s="762"/>
      <c r="G154" s="768">
        <v>1</v>
      </c>
      <c r="H154" s="741"/>
      <c r="I154" s="763"/>
      <c r="J154" s="793">
        <v>40000</v>
      </c>
      <c r="K154" s="759">
        <v>40000</v>
      </c>
      <c r="L154" s="740"/>
      <c r="M154" s="741"/>
      <c r="N154" s="742"/>
      <c r="O154" s="743"/>
      <c r="P154" s="764"/>
      <c r="Q154" s="765"/>
      <c r="R154" s="766"/>
      <c r="S154" s="804" t="s">
        <v>290</v>
      </c>
      <c r="T154" s="582"/>
    </row>
    <row r="155" spans="1:20" ht="23.25">
      <c r="A155" s="2072" t="s">
        <v>295</v>
      </c>
      <c r="B155" s="743" t="s">
        <v>288</v>
      </c>
      <c r="C155" s="748" t="s">
        <v>289</v>
      </c>
      <c r="D155" s="761"/>
      <c r="E155" s="761"/>
      <c r="F155" s="762"/>
      <c r="G155" s="767">
        <v>78</v>
      </c>
      <c r="H155" s="741"/>
      <c r="I155" s="763"/>
      <c r="J155" s="793">
        <v>300</v>
      </c>
      <c r="K155" s="759">
        <v>23400</v>
      </c>
      <c r="L155" s="740"/>
      <c r="M155" s="741"/>
      <c r="N155" s="742"/>
      <c r="O155" s="743"/>
      <c r="P155" s="764"/>
      <c r="Q155" s="765"/>
      <c r="R155" s="766"/>
      <c r="S155" s="804" t="s">
        <v>290</v>
      </c>
      <c r="T155" s="582"/>
    </row>
    <row r="156" spans="1:20" ht="23.25">
      <c r="A156" s="2073"/>
      <c r="B156" s="743" t="s">
        <v>291</v>
      </c>
      <c r="C156" s="748" t="s">
        <v>289</v>
      </c>
      <c r="D156" s="761"/>
      <c r="E156" s="761"/>
      <c r="F156" s="762"/>
      <c r="G156" s="767">
        <v>233</v>
      </c>
      <c r="H156" s="741"/>
      <c r="I156" s="763"/>
      <c r="J156" s="793">
        <v>300</v>
      </c>
      <c r="K156" s="759">
        <v>69900</v>
      </c>
      <c r="L156" s="740"/>
      <c r="M156" s="741"/>
      <c r="N156" s="742"/>
      <c r="O156" s="743"/>
      <c r="P156" s="764"/>
      <c r="Q156" s="765"/>
      <c r="R156" s="766"/>
      <c r="S156" s="804" t="s">
        <v>290</v>
      </c>
      <c r="T156" s="582"/>
    </row>
    <row r="157" spans="1:20" ht="23.25">
      <c r="A157" s="2074"/>
      <c r="B157" s="743" t="s">
        <v>296</v>
      </c>
      <c r="C157" s="748" t="s">
        <v>289</v>
      </c>
      <c r="D157" s="761"/>
      <c r="E157" s="761"/>
      <c r="F157" s="762"/>
      <c r="G157" s="767">
        <v>4</v>
      </c>
      <c r="H157" s="741"/>
      <c r="I157" s="763"/>
      <c r="J157" s="793">
        <v>1000</v>
      </c>
      <c r="K157" s="759">
        <v>4000</v>
      </c>
      <c r="L157" s="740"/>
      <c r="M157" s="741"/>
      <c r="N157" s="742"/>
      <c r="O157" s="743"/>
      <c r="P157" s="764"/>
      <c r="Q157" s="765"/>
      <c r="R157" s="766"/>
      <c r="S157" s="804" t="s">
        <v>290</v>
      </c>
      <c r="T157" s="582"/>
    </row>
    <row r="158" spans="1:20" ht="23.25">
      <c r="A158" s="2075" t="s">
        <v>297</v>
      </c>
      <c r="B158" s="743" t="s">
        <v>292</v>
      </c>
      <c r="C158" s="748" t="s">
        <v>289</v>
      </c>
      <c r="D158" s="761"/>
      <c r="E158" s="761"/>
      <c r="F158" s="762"/>
      <c r="G158" s="768">
        <v>8</v>
      </c>
      <c r="H158" s="741"/>
      <c r="I158" s="763"/>
      <c r="J158" s="793">
        <v>4000</v>
      </c>
      <c r="K158" s="759">
        <v>32000</v>
      </c>
      <c r="L158" s="740"/>
      <c r="M158" s="741"/>
      <c r="N158" s="742"/>
      <c r="O158" s="743"/>
      <c r="P158" s="764"/>
      <c r="Q158" s="765"/>
      <c r="R158" s="766"/>
      <c r="S158" s="804" t="s">
        <v>290</v>
      </c>
      <c r="T158" s="582"/>
    </row>
    <row r="159" spans="1:20" ht="23.25">
      <c r="A159" s="2075"/>
      <c r="B159" s="790" t="s">
        <v>298</v>
      </c>
      <c r="C159" s="789" t="s">
        <v>289</v>
      </c>
      <c r="D159" s="786"/>
      <c r="E159" s="786"/>
      <c r="F159" s="786"/>
      <c r="G159" s="791">
        <v>75</v>
      </c>
      <c r="H159" s="784"/>
      <c r="I159" s="784"/>
      <c r="J159" s="794">
        <v>300</v>
      </c>
      <c r="K159" s="787">
        <v>22500</v>
      </c>
      <c r="L159" s="784"/>
      <c r="M159" s="784"/>
      <c r="N159" s="784"/>
      <c r="O159" s="784"/>
      <c r="P159" s="788"/>
      <c r="Q159" s="788"/>
      <c r="R159" s="788"/>
      <c r="S159" s="804" t="s">
        <v>290</v>
      </c>
      <c r="T159" s="582"/>
    </row>
    <row r="160" spans="1:20" ht="23.25">
      <c r="A160" s="2072" t="s">
        <v>299</v>
      </c>
      <c r="B160" s="784" t="s">
        <v>288</v>
      </c>
      <c r="C160" s="785" t="s">
        <v>289</v>
      </c>
      <c r="D160" s="786"/>
      <c r="E160" s="786"/>
      <c r="F160" s="786"/>
      <c r="G160" s="791">
        <v>279</v>
      </c>
      <c r="H160" s="784"/>
      <c r="I160" s="784"/>
      <c r="J160" s="794">
        <v>150</v>
      </c>
      <c r="K160" s="787">
        <v>41850</v>
      </c>
      <c r="L160" s="784"/>
      <c r="M160" s="784"/>
      <c r="N160" s="784"/>
      <c r="O160" s="784"/>
      <c r="P160" s="788"/>
      <c r="Q160" s="788"/>
      <c r="R160" s="788"/>
      <c r="S160" s="804" t="s">
        <v>290</v>
      </c>
      <c r="T160" s="582"/>
    </row>
    <row r="161" spans="1:20" ht="23.25">
      <c r="A161" s="2073"/>
      <c r="B161" s="784" t="s">
        <v>300</v>
      </c>
      <c r="C161" s="785" t="s">
        <v>289</v>
      </c>
      <c r="D161" s="786"/>
      <c r="E161" s="786"/>
      <c r="F161" s="786"/>
      <c r="G161" s="791">
        <v>11</v>
      </c>
      <c r="H161" s="784"/>
      <c r="I161" s="784"/>
      <c r="J161" s="794">
        <v>15000</v>
      </c>
      <c r="K161" s="787">
        <v>165000</v>
      </c>
      <c r="L161" s="784"/>
      <c r="M161" s="784"/>
      <c r="N161" s="784"/>
      <c r="O161" s="784"/>
      <c r="P161" s="788"/>
      <c r="Q161" s="788"/>
      <c r="R161" s="788"/>
      <c r="S161" s="804" t="s">
        <v>290</v>
      </c>
      <c r="T161" s="582"/>
    </row>
    <row r="162" spans="1:20" ht="23.25">
      <c r="A162" s="2073"/>
      <c r="B162" s="784" t="s">
        <v>294</v>
      </c>
      <c r="C162" s="785" t="s">
        <v>289</v>
      </c>
      <c r="D162" s="786"/>
      <c r="E162" s="786"/>
      <c r="F162" s="786"/>
      <c r="G162" s="791">
        <v>2</v>
      </c>
      <c r="H162" s="784"/>
      <c r="I162" s="784"/>
      <c r="J162" s="794">
        <v>35000</v>
      </c>
      <c r="K162" s="787">
        <v>70000</v>
      </c>
      <c r="L162" s="784"/>
      <c r="M162" s="784"/>
      <c r="N162" s="784"/>
      <c r="O162" s="784"/>
      <c r="P162" s="788"/>
      <c r="Q162" s="788"/>
      <c r="R162" s="788"/>
      <c r="S162" s="804" t="s">
        <v>290</v>
      </c>
      <c r="T162" s="582"/>
    </row>
    <row r="163" spans="1:20" ht="23.25">
      <c r="A163" s="2073"/>
      <c r="B163" s="784" t="s">
        <v>293</v>
      </c>
      <c r="C163" s="785" t="s">
        <v>289</v>
      </c>
      <c r="D163" s="786"/>
      <c r="E163" s="786"/>
      <c r="F163" s="786"/>
      <c r="G163" s="791">
        <v>4</v>
      </c>
      <c r="H163" s="784"/>
      <c r="I163" s="784"/>
      <c r="J163" s="794">
        <v>35000</v>
      </c>
      <c r="K163" s="787">
        <v>140000</v>
      </c>
      <c r="L163" s="784"/>
      <c r="M163" s="784"/>
      <c r="N163" s="784"/>
      <c r="O163" s="784"/>
      <c r="P163" s="788"/>
      <c r="Q163" s="788"/>
      <c r="R163" s="788"/>
      <c r="S163" s="804" t="s">
        <v>290</v>
      </c>
      <c r="T163" s="582"/>
    </row>
    <row r="164" spans="1:20" ht="23.25">
      <c r="A164" s="2073"/>
      <c r="B164" s="784" t="s">
        <v>301</v>
      </c>
      <c r="C164" s="785" t="s">
        <v>289</v>
      </c>
      <c r="D164" s="786"/>
      <c r="E164" s="786"/>
      <c r="F164" s="786"/>
      <c r="G164" s="791">
        <v>4</v>
      </c>
      <c r="H164" s="784"/>
      <c r="I164" s="784"/>
      <c r="J164" s="794">
        <v>2000</v>
      </c>
      <c r="K164" s="787">
        <v>8000</v>
      </c>
      <c r="L164" s="784"/>
      <c r="M164" s="784"/>
      <c r="N164" s="784"/>
      <c r="O164" s="784"/>
      <c r="P164" s="788"/>
      <c r="Q164" s="788"/>
      <c r="R164" s="788"/>
      <c r="S164" s="804" t="s">
        <v>290</v>
      </c>
      <c r="T164" s="582"/>
    </row>
    <row r="165" spans="1:20" ht="23.25">
      <c r="A165" s="2074"/>
      <c r="B165" s="784" t="s">
        <v>292</v>
      </c>
      <c r="C165" s="785" t="s">
        <v>289</v>
      </c>
      <c r="D165" s="786"/>
      <c r="E165" s="786"/>
      <c r="F165" s="786"/>
      <c r="G165" s="791">
        <v>10</v>
      </c>
      <c r="H165" s="784"/>
      <c r="I165" s="784"/>
      <c r="J165" s="794">
        <v>1200</v>
      </c>
      <c r="K165" s="787">
        <v>12000</v>
      </c>
      <c r="L165" s="784"/>
      <c r="M165" s="784"/>
      <c r="N165" s="784"/>
      <c r="O165" s="784"/>
      <c r="P165" s="788"/>
      <c r="Q165" s="788"/>
      <c r="R165" s="788"/>
      <c r="S165" s="804" t="s">
        <v>290</v>
      </c>
      <c r="T165" s="582"/>
    </row>
    <row r="166" spans="1:20" ht="23.25">
      <c r="A166" s="795" t="s">
        <v>302</v>
      </c>
      <c r="B166" s="796" t="s">
        <v>303</v>
      </c>
      <c r="C166" s="797" t="s">
        <v>289</v>
      </c>
      <c r="D166" s="798"/>
      <c r="E166" s="798"/>
      <c r="F166" s="798"/>
      <c r="G166" s="799">
        <v>3</v>
      </c>
      <c r="H166" s="796"/>
      <c r="I166" s="796"/>
      <c r="J166" s="800">
        <v>25000</v>
      </c>
      <c r="K166" s="801">
        <v>75000</v>
      </c>
      <c r="L166" s="796"/>
      <c r="M166" s="796"/>
      <c r="N166" s="796"/>
      <c r="O166" s="796"/>
      <c r="P166" s="802"/>
      <c r="Q166" s="802"/>
      <c r="R166" s="802"/>
      <c r="S166" s="804" t="s">
        <v>290</v>
      </c>
      <c r="T166" s="582"/>
    </row>
    <row r="167" spans="1:20" ht="23.25">
      <c r="A167" s="2076" t="s">
        <v>304</v>
      </c>
      <c r="B167" s="784" t="s">
        <v>291</v>
      </c>
      <c r="C167" s="785" t="s">
        <v>289</v>
      </c>
      <c r="D167" s="786"/>
      <c r="E167" s="786"/>
      <c r="F167" s="786"/>
      <c r="G167" s="791">
        <v>2072</v>
      </c>
      <c r="H167" s="784"/>
      <c r="I167" s="784"/>
      <c r="J167" s="794">
        <v>300</v>
      </c>
      <c r="K167" s="787">
        <v>621600</v>
      </c>
      <c r="L167" s="784"/>
      <c r="M167" s="784"/>
      <c r="N167" s="784"/>
      <c r="O167" s="784"/>
      <c r="P167" s="788"/>
      <c r="Q167" s="788"/>
      <c r="R167" s="788"/>
      <c r="S167" s="804" t="s">
        <v>290</v>
      </c>
      <c r="T167" s="582"/>
    </row>
    <row r="168" spans="1:20" ht="23.25">
      <c r="A168" s="2077"/>
      <c r="B168" s="784" t="s">
        <v>288</v>
      </c>
      <c r="C168" s="785" t="s">
        <v>289</v>
      </c>
      <c r="D168" s="786"/>
      <c r="E168" s="786"/>
      <c r="F168" s="786"/>
      <c r="G168" s="791">
        <v>1611</v>
      </c>
      <c r="H168" s="784"/>
      <c r="I168" s="784"/>
      <c r="J168" s="794">
        <v>300</v>
      </c>
      <c r="K168" s="787">
        <v>483300</v>
      </c>
      <c r="L168" s="784"/>
      <c r="M168" s="784"/>
      <c r="N168" s="784"/>
      <c r="O168" s="784"/>
      <c r="P168" s="788"/>
      <c r="Q168" s="788"/>
      <c r="R168" s="788"/>
      <c r="S168" s="804" t="s">
        <v>290</v>
      </c>
      <c r="T168" s="582"/>
    </row>
    <row r="169" spans="1:20" ht="23.25">
      <c r="A169" s="2077"/>
      <c r="B169" s="784" t="s">
        <v>305</v>
      </c>
      <c r="C169" s="785" t="s">
        <v>289</v>
      </c>
      <c r="D169" s="786"/>
      <c r="E169" s="786"/>
      <c r="F169" s="786"/>
      <c r="G169" s="791">
        <v>47</v>
      </c>
      <c r="H169" s="784"/>
      <c r="I169" s="784"/>
      <c r="J169" s="794">
        <v>2000</v>
      </c>
      <c r="K169" s="787">
        <v>94000</v>
      </c>
      <c r="L169" s="784"/>
      <c r="M169" s="784"/>
      <c r="N169" s="784"/>
      <c r="O169" s="784"/>
      <c r="P169" s="788"/>
      <c r="Q169" s="788"/>
      <c r="R169" s="788"/>
      <c r="S169" s="804" t="s">
        <v>290</v>
      </c>
      <c r="T169" s="582"/>
    </row>
    <row r="170" spans="1:20" ht="23.25">
      <c r="A170" s="2077"/>
      <c r="B170" s="796" t="s">
        <v>306</v>
      </c>
      <c r="C170" s="797" t="s">
        <v>289</v>
      </c>
      <c r="D170" s="798"/>
      <c r="E170" s="798"/>
      <c r="F170" s="798"/>
      <c r="G170" s="799">
        <v>13</v>
      </c>
      <c r="H170" s="796"/>
      <c r="I170" s="796"/>
      <c r="J170" s="800">
        <v>10000</v>
      </c>
      <c r="K170" s="801">
        <v>130000</v>
      </c>
      <c r="L170" s="796"/>
      <c r="M170" s="796"/>
      <c r="N170" s="796"/>
      <c r="O170" s="796"/>
      <c r="P170" s="802"/>
      <c r="Q170" s="802"/>
      <c r="R170" s="802"/>
      <c r="S170" s="805" t="s">
        <v>290</v>
      </c>
      <c r="T170" s="582"/>
    </row>
    <row r="171" spans="1:20" ht="23.25">
      <c r="A171" s="2078"/>
      <c r="B171" s="784" t="s">
        <v>293</v>
      </c>
      <c r="C171" s="785" t="s">
        <v>289</v>
      </c>
      <c r="D171" s="786"/>
      <c r="E171" s="786"/>
      <c r="F171" s="786"/>
      <c r="G171" s="791">
        <v>2</v>
      </c>
      <c r="H171" s="784"/>
      <c r="I171" s="784"/>
      <c r="J171" s="794">
        <v>25000</v>
      </c>
      <c r="K171" s="787">
        <v>50000</v>
      </c>
      <c r="L171" s="784"/>
      <c r="M171" s="784"/>
      <c r="N171" s="784"/>
      <c r="O171" s="784"/>
      <c r="P171" s="788"/>
      <c r="Q171" s="788"/>
      <c r="R171" s="788"/>
      <c r="S171" s="806" t="s">
        <v>290</v>
      </c>
      <c r="T171" s="582"/>
    </row>
    <row r="172" spans="1:20" ht="24" thickBot="1">
      <c r="A172" s="803" t="s">
        <v>25</v>
      </c>
      <c r="B172" s="717"/>
      <c r="C172" s="807"/>
      <c r="D172" s="770"/>
      <c r="E172" s="770"/>
      <c r="F172" s="771"/>
      <c r="G172" s="772">
        <v>4733</v>
      </c>
      <c r="H172" s="772">
        <v>0</v>
      </c>
      <c r="I172" s="773">
        <v>0</v>
      </c>
      <c r="J172" s="774"/>
      <c r="K172" s="775">
        <v>2313450</v>
      </c>
      <c r="L172" s="776">
        <v>0</v>
      </c>
      <c r="M172" s="777"/>
      <c r="N172" s="778">
        <v>0</v>
      </c>
      <c r="O172" s="779">
        <v>0</v>
      </c>
      <c r="P172" s="780"/>
      <c r="Q172" s="781"/>
      <c r="R172" s="782"/>
      <c r="S172" s="783"/>
      <c r="T172" s="582"/>
    </row>
    <row r="173" spans="1:20" ht="23.25">
      <c r="A173" s="2034"/>
      <c r="B173" s="2034"/>
      <c r="C173" s="2034"/>
      <c r="D173" s="2034"/>
      <c r="E173" s="2034"/>
      <c r="F173" s="2034"/>
      <c r="G173" s="2034"/>
      <c r="H173" s="2034"/>
      <c r="I173" s="2034"/>
      <c r="J173" s="2034"/>
      <c r="K173" s="2034"/>
      <c r="L173" s="2034"/>
      <c r="M173" s="2034"/>
      <c r="N173" s="2034"/>
      <c r="O173" s="2034"/>
      <c r="P173" s="2034"/>
      <c r="Q173" s="2034"/>
      <c r="R173" s="2034"/>
      <c r="S173" s="2034"/>
      <c r="T173" s="582"/>
    </row>
  </sheetData>
  <mergeCells count="92">
    <mergeCell ref="A150:A154"/>
    <mergeCell ref="A155:A157"/>
    <mergeCell ref="A158:A159"/>
    <mergeCell ref="A160:A165"/>
    <mergeCell ref="A167:A171"/>
    <mergeCell ref="A173:S173"/>
    <mergeCell ref="P146:P148"/>
    <mergeCell ref="Q146:Q148"/>
    <mergeCell ref="R146:R148"/>
    <mergeCell ref="J147:J148"/>
    <mergeCell ref="K147:K148"/>
    <mergeCell ref="L147:L148"/>
    <mergeCell ref="M147:M148"/>
    <mergeCell ref="N147:N148"/>
    <mergeCell ref="F145:F148"/>
    <mergeCell ref="G145:O145"/>
    <mergeCell ref="P145:R145"/>
    <mergeCell ref="S145:S148"/>
    <mergeCell ref="G146:G148"/>
    <mergeCell ref="H146:H148"/>
    <mergeCell ref="I146:I148"/>
    <mergeCell ref="J146:K146"/>
    <mergeCell ref="L146:N146"/>
    <mergeCell ref="O146:O148"/>
    <mergeCell ref="A139:S139"/>
    <mergeCell ref="A141:N141"/>
    <mergeCell ref="A142:N142"/>
    <mergeCell ref="A143:N143"/>
    <mergeCell ref="A144:N144"/>
    <mergeCell ref="A145:A148"/>
    <mergeCell ref="B145:B148"/>
    <mergeCell ref="C145:C148"/>
    <mergeCell ref="D145:D148"/>
    <mergeCell ref="E145:E148"/>
    <mergeCell ref="A138:S138"/>
    <mergeCell ref="H91:J92"/>
    <mergeCell ref="K91:M92"/>
    <mergeCell ref="N91:O92"/>
    <mergeCell ref="P91:P93"/>
    <mergeCell ref="Q91:V91"/>
    <mergeCell ref="G91:G93"/>
    <mergeCell ref="A135:S135"/>
    <mergeCell ref="A136:S136"/>
    <mergeCell ref="A137:S137"/>
    <mergeCell ref="A91:A93"/>
    <mergeCell ref="B91:B93"/>
    <mergeCell ref="C91:C93"/>
    <mergeCell ref="D91:D93"/>
    <mergeCell ref="E91:F92"/>
    <mergeCell ref="M53:R53"/>
    <mergeCell ref="W91:W93"/>
    <mergeCell ref="Q92:R92"/>
    <mergeCell ref="S92:U92"/>
    <mergeCell ref="V92:V93"/>
    <mergeCell ref="A88:S88"/>
    <mergeCell ref="E53:E55"/>
    <mergeCell ref="F53:F55"/>
    <mergeCell ref="G53:I54"/>
    <mergeCell ref="J53:K54"/>
    <mergeCell ref="L53:L55"/>
    <mergeCell ref="J13:K14"/>
    <mergeCell ref="L13:L15"/>
    <mergeCell ref="M13:R13"/>
    <mergeCell ref="S53:S55"/>
    <mergeCell ref="M54:N54"/>
    <mergeCell ref="O54:Q54"/>
    <mergeCell ref="R54:R55"/>
    <mergeCell ref="A41:S41"/>
    <mergeCell ref="A42:S42"/>
    <mergeCell ref="A43:S43"/>
    <mergeCell ref="A44:S44"/>
    <mergeCell ref="A45:S45"/>
    <mergeCell ref="A53:A55"/>
    <mergeCell ref="B53:B55"/>
    <mergeCell ref="C53:C55"/>
    <mergeCell ref="D53:D55"/>
    <mergeCell ref="S13:S15"/>
    <mergeCell ref="M14:N14"/>
    <mergeCell ref="O14:Q14"/>
    <mergeCell ref="R14:R15"/>
    <mergeCell ref="A1:S1"/>
    <mergeCell ref="A2:S2"/>
    <mergeCell ref="A3:S3"/>
    <mergeCell ref="A4:S4"/>
    <mergeCell ref="A5:S5"/>
    <mergeCell ref="A13:A15"/>
    <mergeCell ref="B13:B15"/>
    <mergeCell ref="C13:C15"/>
    <mergeCell ref="D13:D15"/>
    <mergeCell ref="E13:E15"/>
    <mergeCell ref="F13:F15"/>
    <mergeCell ref="G13:I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0"/>
  <sheetViews>
    <sheetView topLeftCell="A37" zoomScale="50" zoomScaleNormal="50" workbookViewId="0">
      <selection sqref="A1:S1"/>
    </sheetView>
  </sheetViews>
  <sheetFormatPr defaultRowHeight="15"/>
  <cols>
    <col min="1" max="1" width="35.7109375" customWidth="1"/>
    <col min="2" max="2" width="34" customWidth="1"/>
    <col min="3" max="3" width="35.85546875" customWidth="1"/>
    <col min="4" max="4" width="27" customWidth="1"/>
    <col min="5" max="5" width="37.28515625" customWidth="1"/>
    <col min="6" max="6" width="36.85546875" customWidth="1"/>
    <col min="7" max="7" width="27.42578125" customWidth="1"/>
    <col min="8" max="8" width="26" customWidth="1"/>
    <col min="9" max="9" width="27.42578125" customWidth="1"/>
    <col min="10" max="10" width="28.140625" customWidth="1"/>
    <col min="11" max="11" width="18.85546875" customWidth="1"/>
    <col min="12" max="12" width="24.5703125" customWidth="1"/>
    <col min="13" max="13" width="30.28515625" customWidth="1"/>
    <col min="14" max="14" width="35.5703125" customWidth="1"/>
    <col min="15" max="15" width="26" customWidth="1"/>
    <col min="16" max="16" width="26.85546875" customWidth="1"/>
    <col min="17" max="17" width="37.85546875" customWidth="1"/>
    <col min="18" max="18" width="42.140625" customWidth="1"/>
    <col min="19" max="19" width="46.42578125" customWidth="1"/>
  </cols>
  <sheetData>
    <row r="1" spans="1:19" ht="23.25">
      <c r="A1" s="2097" t="s">
        <v>358</v>
      </c>
      <c r="B1" s="2097"/>
      <c r="C1" s="2097"/>
      <c r="D1" s="2097"/>
      <c r="E1" s="2097"/>
      <c r="F1" s="2097"/>
      <c r="G1" s="2097"/>
      <c r="H1" s="2097"/>
      <c r="I1" s="2097"/>
      <c r="J1" s="2097"/>
      <c r="K1" s="2097"/>
      <c r="L1" s="2097"/>
      <c r="M1" s="2097"/>
      <c r="N1" s="2097"/>
      <c r="O1" s="2097"/>
      <c r="P1" s="2097"/>
      <c r="Q1" s="2097"/>
      <c r="R1" s="2097"/>
      <c r="S1" s="2097"/>
    </row>
    <row r="2" spans="1:19" ht="23.25">
      <c r="A2" s="2097" t="s">
        <v>359</v>
      </c>
      <c r="B2" s="2097"/>
      <c r="C2" s="2097"/>
      <c r="D2" s="2097"/>
      <c r="E2" s="2097"/>
      <c r="F2" s="2097"/>
      <c r="G2" s="2097"/>
      <c r="H2" s="2097"/>
      <c r="I2" s="2097"/>
      <c r="J2" s="2097"/>
      <c r="K2" s="2097"/>
      <c r="L2" s="2097"/>
      <c r="M2" s="2097"/>
      <c r="N2" s="2097"/>
      <c r="O2" s="2097"/>
      <c r="P2" s="2097"/>
      <c r="Q2" s="2097"/>
      <c r="R2" s="2097"/>
      <c r="S2" s="2097"/>
    </row>
    <row r="3" spans="1:19" ht="23.25">
      <c r="A3" s="2097" t="s">
        <v>360</v>
      </c>
      <c r="B3" s="2097"/>
      <c r="C3" s="2097"/>
      <c r="D3" s="2097"/>
      <c r="E3" s="2097"/>
      <c r="F3" s="2097"/>
      <c r="G3" s="2097"/>
      <c r="H3" s="2097"/>
      <c r="I3" s="2097"/>
      <c r="J3" s="2097"/>
      <c r="K3" s="2097"/>
      <c r="L3" s="2097"/>
      <c r="M3" s="2097"/>
      <c r="N3" s="2097"/>
      <c r="O3" s="2097"/>
      <c r="P3" s="2097"/>
      <c r="Q3" s="2097"/>
      <c r="R3" s="2097"/>
      <c r="S3" s="2097"/>
    </row>
    <row r="4" spans="1:19" ht="23.25">
      <c r="A4" s="2097" t="s">
        <v>361</v>
      </c>
      <c r="B4" s="2097"/>
      <c r="C4" s="2097"/>
      <c r="D4" s="2097"/>
      <c r="E4" s="2097"/>
      <c r="F4" s="2097"/>
      <c r="G4" s="2097"/>
      <c r="H4" s="2097"/>
      <c r="I4" s="2097"/>
      <c r="J4" s="2097"/>
      <c r="K4" s="2097"/>
      <c r="L4" s="2097"/>
      <c r="M4" s="2097"/>
      <c r="N4" s="2097"/>
      <c r="O4" s="2097"/>
      <c r="P4" s="2097"/>
      <c r="Q4" s="2097"/>
      <c r="R4" s="2097"/>
      <c r="S4" s="2097"/>
    </row>
    <row r="5" spans="1:19" ht="23.25">
      <c r="A5" s="2098" t="s">
        <v>307</v>
      </c>
      <c r="B5" s="2098"/>
      <c r="C5" s="2098"/>
      <c r="D5" s="2098"/>
      <c r="E5" s="2098"/>
      <c r="F5" s="2098"/>
      <c r="G5" s="2098"/>
      <c r="H5" s="2098"/>
      <c r="I5" s="2098"/>
      <c r="J5" s="2098"/>
      <c r="K5" s="2098"/>
      <c r="L5" s="2098"/>
      <c r="M5" s="2098"/>
      <c r="N5" s="2098"/>
      <c r="O5" s="2098"/>
      <c r="P5" s="2098"/>
      <c r="Q5" s="2098"/>
      <c r="R5" s="2098"/>
      <c r="S5" s="2098"/>
    </row>
    <row r="6" spans="1:19" ht="24" thickBot="1">
      <c r="A6" s="820"/>
      <c r="B6" s="820"/>
      <c r="C6" s="820"/>
      <c r="D6" s="843"/>
      <c r="E6" s="844"/>
      <c r="F6" s="820"/>
      <c r="G6" s="820"/>
      <c r="H6" s="820"/>
      <c r="I6" s="845"/>
      <c r="J6" s="820"/>
      <c r="K6" s="846"/>
      <c r="L6" s="820"/>
      <c r="M6" s="845"/>
      <c r="N6" s="820"/>
      <c r="O6" s="820"/>
      <c r="P6" s="820"/>
      <c r="Q6" s="820"/>
      <c r="R6" s="820"/>
      <c r="S6" s="820"/>
    </row>
    <row r="7" spans="1:19" ht="23.25">
      <c r="A7" s="847" t="s">
        <v>67</v>
      </c>
      <c r="B7" s="848"/>
      <c r="C7" s="848"/>
      <c r="D7" s="849"/>
      <c r="E7" s="850"/>
      <c r="F7" s="851"/>
      <c r="G7" s="851"/>
      <c r="H7" s="851"/>
      <c r="I7" s="852"/>
      <c r="J7" s="851"/>
      <c r="K7" s="853"/>
      <c r="L7" s="851"/>
      <c r="M7" s="854"/>
      <c r="N7" s="855" t="s">
        <v>68</v>
      </c>
      <c r="O7" s="851"/>
      <c r="P7" s="851"/>
      <c r="Q7" s="851"/>
      <c r="R7" s="851"/>
      <c r="S7" s="856"/>
    </row>
    <row r="8" spans="1:19" ht="23.25">
      <c r="A8" s="857" t="s">
        <v>150</v>
      </c>
      <c r="B8" s="858"/>
      <c r="C8" s="858"/>
      <c r="D8" s="843"/>
      <c r="E8" s="844"/>
      <c r="F8" s="820"/>
      <c r="G8" s="820"/>
      <c r="H8" s="820"/>
      <c r="I8" s="845"/>
      <c r="J8" s="820"/>
      <c r="K8" s="846"/>
      <c r="L8" s="820"/>
      <c r="M8" s="859"/>
      <c r="N8" s="860" t="s">
        <v>70</v>
      </c>
      <c r="O8" s="861"/>
      <c r="P8" s="861" t="s">
        <v>71</v>
      </c>
      <c r="Q8" s="820"/>
      <c r="R8" s="820"/>
      <c r="S8" s="862"/>
    </row>
    <row r="9" spans="1:19" ht="23.25">
      <c r="A9" s="857" t="s">
        <v>362</v>
      </c>
      <c r="B9" s="858"/>
      <c r="C9" s="858"/>
      <c r="D9" s="843"/>
      <c r="E9" s="844"/>
      <c r="F9" s="820"/>
      <c r="G9" s="820"/>
      <c r="H9" s="820"/>
      <c r="I9" s="845"/>
      <c r="J9" s="863"/>
      <c r="K9" s="846"/>
      <c r="L9" s="863"/>
      <c r="M9" s="859"/>
      <c r="N9" s="864" t="s">
        <v>73</v>
      </c>
      <c r="O9" s="865"/>
      <c r="P9" s="820"/>
      <c r="Q9" s="866" t="s">
        <v>74</v>
      </c>
      <c r="R9" s="866"/>
      <c r="S9" s="862"/>
    </row>
    <row r="10" spans="1:19" ht="23.25">
      <c r="A10" s="857" t="s">
        <v>308</v>
      </c>
      <c r="B10" s="858"/>
      <c r="C10" s="858"/>
      <c r="D10" s="843"/>
      <c r="E10" s="844"/>
      <c r="F10" s="820"/>
      <c r="G10" s="820"/>
      <c r="H10" s="820"/>
      <c r="I10" s="845"/>
      <c r="J10" s="820"/>
      <c r="K10" s="846"/>
      <c r="L10" s="820"/>
      <c r="M10" s="859"/>
      <c r="N10" s="864" t="s">
        <v>75</v>
      </c>
      <c r="O10" s="865"/>
      <c r="P10" s="820"/>
      <c r="Q10" s="866" t="s">
        <v>76</v>
      </c>
      <c r="R10" s="866"/>
      <c r="S10" s="862"/>
    </row>
    <row r="11" spans="1:19" ht="23.25">
      <c r="A11" s="857"/>
      <c r="B11" s="858"/>
      <c r="C11" s="858"/>
      <c r="D11" s="843"/>
      <c r="E11" s="844"/>
      <c r="F11" s="820"/>
      <c r="G11" s="820"/>
      <c r="H11" s="820"/>
      <c r="I11" s="845"/>
      <c r="J11" s="820"/>
      <c r="K11" s="846"/>
      <c r="L11" s="820"/>
      <c r="M11" s="859"/>
      <c r="N11" s="864" t="s">
        <v>77</v>
      </c>
      <c r="O11" s="865"/>
      <c r="P11" s="820"/>
      <c r="Q11" s="866" t="s">
        <v>78</v>
      </c>
      <c r="R11" s="866"/>
      <c r="S11" s="862"/>
    </row>
    <row r="12" spans="1:19" ht="24" thickBot="1">
      <c r="A12" s="867"/>
      <c r="B12" s="868"/>
      <c r="C12" s="868"/>
      <c r="D12" s="869"/>
      <c r="E12" s="870"/>
      <c r="F12" s="871"/>
      <c r="G12" s="871"/>
      <c r="H12" s="871"/>
      <c r="I12" s="872"/>
      <c r="J12" s="871"/>
      <c r="K12" s="873"/>
      <c r="L12" s="871"/>
      <c r="M12" s="874"/>
      <c r="N12" s="875"/>
      <c r="O12" s="871"/>
      <c r="P12" s="871"/>
      <c r="Q12" s="871"/>
      <c r="R12" s="871"/>
      <c r="S12" s="876"/>
    </row>
    <row r="13" spans="1:19" ht="23.25">
      <c r="A13" s="2115" t="s">
        <v>363</v>
      </c>
      <c r="B13" s="2079" t="s">
        <v>309</v>
      </c>
      <c r="C13" s="2079" t="s">
        <v>81</v>
      </c>
      <c r="D13" s="2082" t="s">
        <v>310</v>
      </c>
      <c r="E13" s="2085" t="s">
        <v>83</v>
      </c>
      <c r="F13" s="2088" t="s">
        <v>84</v>
      </c>
      <c r="G13" s="2091" t="s">
        <v>85</v>
      </c>
      <c r="H13" s="2092"/>
      <c r="I13" s="2093"/>
      <c r="J13" s="2091" t="s">
        <v>86</v>
      </c>
      <c r="K13" s="2093"/>
      <c r="L13" s="2099" t="s">
        <v>87</v>
      </c>
      <c r="M13" s="2102" t="s">
        <v>88</v>
      </c>
      <c r="N13" s="2103"/>
      <c r="O13" s="2103"/>
      <c r="P13" s="2103"/>
      <c r="Q13" s="2103"/>
      <c r="R13" s="2104"/>
      <c r="S13" s="2106" t="s">
        <v>59</v>
      </c>
    </row>
    <row r="14" spans="1:19" ht="23.25">
      <c r="A14" s="2116"/>
      <c r="B14" s="2080"/>
      <c r="C14" s="2080"/>
      <c r="D14" s="2083"/>
      <c r="E14" s="2086"/>
      <c r="F14" s="2089"/>
      <c r="G14" s="2094"/>
      <c r="H14" s="2095"/>
      <c r="I14" s="2096"/>
      <c r="J14" s="2094"/>
      <c r="K14" s="2096"/>
      <c r="L14" s="2100"/>
      <c r="M14" s="2109" t="s">
        <v>90</v>
      </c>
      <c r="N14" s="2110"/>
      <c r="O14" s="2109" t="s">
        <v>91</v>
      </c>
      <c r="P14" s="2111"/>
      <c r="Q14" s="2112"/>
      <c r="R14" s="2113" t="s">
        <v>89</v>
      </c>
      <c r="S14" s="2107"/>
    </row>
    <row r="15" spans="1:19" ht="70.5" thickBot="1">
      <c r="A15" s="2117"/>
      <c r="B15" s="2081"/>
      <c r="C15" s="2081"/>
      <c r="D15" s="2084"/>
      <c r="E15" s="2087"/>
      <c r="F15" s="2090"/>
      <c r="G15" s="877" t="s">
        <v>92</v>
      </c>
      <c r="H15" s="878" t="s">
        <v>93</v>
      </c>
      <c r="I15" s="879" t="s">
        <v>25</v>
      </c>
      <c r="J15" s="877" t="s">
        <v>94</v>
      </c>
      <c r="K15" s="880" t="s">
        <v>95</v>
      </c>
      <c r="L15" s="2101"/>
      <c r="M15" s="881" t="s">
        <v>96</v>
      </c>
      <c r="N15" s="882" t="s">
        <v>97</v>
      </c>
      <c r="O15" s="883" t="s">
        <v>98</v>
      </c>
      <c r="P15" s="884" t="s">
        <v>153</v>
      </c>
      <c r="Q15" s="885" t="s">
        <v>100</v>
      </c>
      <c r="R15" s="2114"/>
      <c r="S15" s="2108"/>
    </row>
    <row r="16" spans="1:19" ht="25.5">
      <c r="A16" s="886" t="s">
        <v>101</v>
      </c>
      <c r="B16" s="887" t="s">
        <v>102</v>
      </c>
      <c r="C16" s="888" t="s">
        <v>103</v>
      </c>
      <c r="D16" s="889" t="s">
        <v>104</v>
      </c>
      <c r="E16" s="890" t="s">
        <v>105</v>
      </c>
      <c r="F16" s="891" t="s">
        <v>106</v>
      </c>
      <c r="G16" s="892" t="s">
        <v>107</v>
      </c>
      <c r="H16" s="891" t="s">
        <v>108</v>
      </c>
      <c r="I16" s="893" t="s">
        <v>109</v>
      </c>
      <c r="J16" s="891" t="s">
        <v>110</v>
      </c>
      <c r="K16" s="894" t="s">
        <v>111</v>
      </c>
      <c r="L16" s="887" t="s">
        <v>112</v>
      </c>
      <c r="M16" s="895" t="s">
        <v>113</v>
      </c>
      <c r="N16" s="887" t="s">
        <v>114</v>
      </c>
      <c r="O16" s="888" t="s">
        <v>115</v>
      </c>
      <c r="P16" s="891" t="s">
        <v>116</v>
      </c>
      <c r="Q16" s="896" t="s">
        <v>117</v>
      </c>
      <c r="R16" s="896" t="s">
        <v>118</v>
      </c>
      <c r="S16" s="896" t="s">
        <v>119</v>
      </c>
    </row>
    <row r="17" spans="1:19" ht="27">
      <c r="A17" s="897"/>
      <c r="B17" s="897"/>
      <c r="C17" s="897"/>
      <c r="D17" s="898"/>
      <c r="E17" s="899"/>
      <c r="F17" s="900"/>
      <c r="G17" s="897"/>
      <c r="H17" s="901"/>
      <c r="I17" s="902"/>
      <c r="J17" s="897"/>
      <c r="K17" s="903"/>
      <c r="L17" s="897"/>
      <c r="M17" s="904"/>
      <c r="N17" s="897"/>
      <c r="O17" s="897"/>
      <c r="P17" s="897"/>
      <c r="Q17" s="897"/>
      <c r="R17" s="897"/>
      <c r="S17" s="897"/>
    </row>
    <row r="18" spans="1:19" ht="27">
      <c r="A18" s="905" t="s">
        <v>60</v>
      </c>
      <c r="B18" s="906"/>
      <c r="C18" s="906"/>
      <c r="D18" s="907">
        <f>SUM(D19:D39)</f>
        <v>7772.666666666667</v>
      </c>
      <c r="E18" s="908">
        <f t="shared" ref="E18:I18" si="0">SUM(E19:E39)</f>
        <v>12419.53</v>
      </c>
      <c r="F18" s="908">
        <f t="shared" si="0"/>
        <v>0</v>
      </c>
      <c r="G18" s="908">
        <f t="shared" si="0"/>
        <v>5421.4925000000003</v>
      </c>
      <c r="H18" s="908">
        <f t="shared" si="0"/>
        <v>6998.0374999999995</v>
      </c>
      <c r="I18" s="908">
        <f t="shared" si="0"/>
        <v>12419.53</v>
      </c>
      <c r="J18" s="908">
        <f>AVERAGE(J19:J39)</f>
        <v>3.9566666666666661</v>
      </c>
      <c r="K18" s="908">
        <f>AVERAGE(K19:K39)</f>
        <v>2.32147619047619</v>
      </c>
      <c r="L18" s="909">
        <f t="shared" ref="L18:O18" si="1">AVERAGE(L19:L39)</f>
        <v>0.41666666666666669</v>
      </c>
      <c r="M18" s="908">
        <f t="shared" si="1"/>
        <v>24502.117647058825</v>
      </c>
      <c r="N18" s="908">
        <f t="shared" si="1"/>
        <v>11073959.698128572</v>
      </c>
      <c r="O18" s="908">
        <f t="shared" si="1"/>
        <v>74.883228000000003</v>
      </c>
      <c r="P18" s="908">
        <f>SUM(P19:P39)</f>
        <v>127</v>
      </c>
      <c r="Q18" s="908">
        <f>SUM(Q19:Q39)</f>
        <v>6787067.8949999996</v>
      </c>
      <c r="R18" s="908">
        <f>SUM(R19:R39)</f>
        <v>239340221.55569997</v>
      </c>
      <c r="S18" s="897" t="s">
        <v>364</v>
      </c>
    </row>
    <row r="19" spans="1:19" ht="27">
      <c r="A19" s="897" t="s">
        <v>154</v>
      </c>
      <c r="B19" s="910" t="s">
        <v>365</v>
      </c>
      <c r="C19" s="897" t="s">
        <v>312</v>
      </c>
      <c r="D19" s="911">
        <f>E19/0.75</f>
        <v>58.666666666666664</v>
      </c>
      <c r="E19" s="912">
        <v>44</v>
      </c>
      <c r="F19" s="913" t="s">
        <v>156</v>
      </c>
      <c r="G19" s="914">
        <f>E19-H19</f>
        <v>15.399999999999999</v>
      </c>
      <c r="H19" s="914">
        <f>E19-(E19*L19)</f>
        <v>28.6</v>
      </c>
      <c r="I19" s="915">
        <f>G19+H19</f>
        <v>44</v>
      </c>
      <c r="J19" s="914">
        <v>2.4700000000000002</v>
      </c>
      <c r="K19" s="914">
        <f>J19-(J19*L19)</f>
        <v>1.6055000000000001</v>
      </c>
      <c r="L19" s="916">
        <v>0.35</v>
      </c>
      <c r="M19" s="902">
        <v>25132</v>
      </c>
      <c r="N19" s="902">
        <f>(M19*G19)+(M19*L19*H19)</f>
        <v>638604.12</v>
      </c>
      <c r="O19" s="910"/>
      <c r="P19" s="910"/>
      <c r="Q19" s="910"/>
      <c r="R19" s="902">
        <f t="shared" ref="R19:R26" si="2">N19+Q19</f>
        <v>638604.12</v>
      </c>
      <c r="S19" s="897" t="s">
        <v>366</v>
      </c>
    </row>
    <row r="20" spans="1:19" ht="27">
      <c r="A20" s="897" t="s">
        <v>161</v>
      </c>
      <c r="B20" s="910" t="s">
        <v>367</v>
      </c>
      <c r="C20" s="897" t="s">
        <v>368</v>
      </c>
      <c r="D20" s="911">
        <v>1</v>
      </c>
      <c r="E20" s="912">
        <v>1</v>
      </c>
      <c r="F20" s="913" t="s">
        <v>160</v>
      </c>
      <c r="G20" s="914">
        <f t="shared" ref="G20:G80" si="3">E20-H20</f>
        <v>0.44999999999999996</v>
      </c>
      <c r="H20" s="914">
        <f t="shared" ref="H20:H80" si="4">E20-(E20*L20)</f>
        <v>0.55000000000000004</v>
      </c>
      <c r="I20" s="915">
        <f t="shared" ref="I20:I39" si="5">G20+H20</f>
        <v>1</v>
      </c>
      <c r="J20" s="914">
        <v>3.47</v>
      </c>
      <c r="K20" s="914">
        <f t="shared" ref="K20:K39" si="6">J20-(J20*L20)</f>
        <v>1.9085000000000001</v>
      </c>
      <c r="L20" s="916">
        <v>0.45</v>
      </c>
      <c r="M20" s="902">
        <v>28736</v>
      </c>
      <c r="N20" s="902">
        <f t="shared" ref="N20:N38" si="7">(M20*G20)+(M20*L20*H20)</f>
        <v>20043.36</v>
      </c>
      <c r="O20" s="910"/>
      <c r="P20" s="910"/>
      <c r="Q20" s="910"/>
      <c r="R20" s="902">
        <f t="shared" si="2"/>
        <v>20043.36</v>
      </c>
      <c r="S20" s="917" t="s">
        <v>369</v>
      </c>
    </row>
    <row r="21" spans="1:19" ht="27">
      <c r="A21" s="897" t="s">
        <v>164</v>
      </c>
      <c r="B21" s="910" t="s">
        <v>365</v>
      </c>
      <c r="C21" s="897"/>
      <c r="D21" s="911">
        <v>5</v>
      </c>
      <c r="E21" s="912">
        <v>2.5</v>
      </c>
      <c r="F21" s="913" t="s">
        <v>170</v>
      </c>
      <c r="G21" s="914">
        <f t="shared" si="3"/>
        <v>1.125</v>
      </c>
      <c r="H21" s="914">
        <f t="shared" si="4"/>
        <v>1.375</v>
      </c>
      <c r="I21" s="915">
        <f t="shared" si="5"/>
        <v>2.5</v>
      </c>
      <c r="J21" s="914">
        <v>2.54</v>
      </c>
      <c r="K21" s="914">
        <f t="shared" si="6"/>
        <v>1.397</v>
      </c>
      <c r="L21" s="916">
        <v>0.45</v>
      </c>
      <c r="M21" s="902"/>
      <c r="N21" s="902">
        <f t="shared" si="7"/>
        <v>0</v>
      </c>
      <c r="O21" s="910">
        <f t="shared" ref="O21:O67" si="8">G21*J21*L21</f>
        <v>1.2858750000000001</v>
      </c>
      <c r="P21" s="910">
        <v>55</v>
      </c>
      <c r="Q21" s="902">
        <f>O21*1000*P21</f>
        <v>70723.125</v>
      </c>
      <c r="R21" s="902">
        <f t="shared" si="2"/>
        <v>70723.125</v>
      </c>
      <c r="S21" s="918" t="s">
        <v>370</v>
      </c>
    </row>
    <row r="22" spans="1:19" ht="54">
      <c r="A22" s="897" t="s">
        <v>165</v>
      </c>
      <c r="B22" s="919" t="str">
        <f>B27</f>
        <v>IRRIGATED &amp; RAINFED</v>
      </c>
      <c r="C22" s="897"/>
      <c r="D22" s="911">
        <v>10</v>
      </c>
      <c r="E22" s="912">
        <v>11.5</v>
      </c>
      <c r="F22" s="913" t="s">
        <v>160</v>
      </c>
      <c r="G22" s="914">
        <f t="shared" si="3"/>
        <v>5.1749999999999998</v>
      </c>
      <c r="H22" s="914">
        <f t="shared" si="4"/>
        <v>6.3250000000000002</v>
      </c>
      <c r="I22" s="915">
        <f t="shared" si="5"/>
        <v>11.5</v>
      </c>
      <c r="J22" s="914">
        <v>3.95</v>
      </c>
      <c r="K22" s="914">
        <f t="shared" si="6"/>
        <v>2.1725000000000003</v>
      </c>
      <c r="L22" s="916">
        <v>0.45</v>
      </c>
      <c r="M22" s="902">
        <v>28736</v>
      </c>
      <c r="N22" s="902">
        <f t="shared" si="7"/>
        <v>230498.64</v>
      </c>
      <c r="O22" s="910"/>
      <c r="P22" s="910"/>
      <c r="Q22" s="920"/>
      <c r="R22" s="902">
        <f t="shared" si="2"/>
        <v>230498.64</v>
      </c>
      <c r="S22" s="918" t="s">
        <v>371</v>
      </c>
    </row>
    <row r="23" spans="1:19" ht="54">
      <c r="A23" s="897" t="s">
        <v>162</v>
      </c>
      <c r="B23" s="919" t="s">
        <v>372</v>
      </c>
      <c r="C23" s="897"/>
      <c r="D23" s="921">
        <v>15</v>
      </c>
      <c r="E23" s="915">
        <v>11.3</v>
      </c>
      <c r="F23" s="913" t="s">
        <v>160</v>
      </c>
      <c r="G23" s="914">
        <f t="shared" si="3"/>
        <v>5.0850000000000009</v>
      </c>
      <c r="H23" s="914">
        <f t="shared" si="4"/>
        <v>6.2149999999999999</v>
      </c>
      <c r="I23" s="915">
        <f t="shared" si="5"/>
        <v>11.3</v>
      </c>
      <c r="J23" s="914">
        <v>4.0199999999999996</v>
      </c>
      <c r="K23" s="914">
        <f t="shared" si="6"/>
        <v>2.2109999999999994</v>
      </c>
      <c r="L23" s="916">
        <v>0.45</v>
      </c>
      <c r="M23" s="902">
        <v>28736</v>
      </c>
      <c r="N23" s="902">
        <f t="shared" si="7"/>
        <v>226489.96800000002</v>
      </c>
      <c r="O23" s="910"/>
      <c r="P23" s="910"/>
      <c r="Q23" s="902"/>
      <c r="R23" s="902">
        <f t="shared" si="2"/>
        <v>226489.96800000002</v>
      </c>
      <c r="S23" s="918" t="s">
        <v>373</v>
      </c>
    </row>
    <row r="24" spans="1:19" ht="27">
      <c r="A24" s="897"/>
      <c r="B24" s="910"/>
      <c r="C24" s="922"/>
      <c r="D24" s="911"/>
      <c r="E24" s="915">
        <v>11.3</v>
      </c>
      <c r="F24" s="913" t="s">
        <v>170</v>
      </c>
      <c r="G24" s="914">
        <f t="shared" si="3"/>
        <v>5.0850000000000009</v>
      </c>
      <c r="H24" s="914">
        <f t="shared" si="4"/>
        <v>6.2149999999999999</v>
      </c>
      <c r="I24" s="915">
        <f t="shared" si="5"/>
        <v>11.3</v>
      </c>
      <c r="J24" s="914">
        <v>4.0199999999999996</v>
      </c>
      <c r="K24" s="914">
        <f t="shared" si="6"/>
        <v>2.2109999999999994</v>
      </c>
      <c r="L24" s="916">
        <v>0.45</v>
      </c>
      <c r="M24" s="902"/>
      <c r="N24" s="902">
        <f t="shared" si="7"/>
        <v>0</v>
      </c>
      <c r="O24" s="910">
        <f t="shared" si="8"/>
        <v>9.1987649999999999</v>
      </c>
      <c r="P24" s="910">
        <v>18</v>
      </c>
      <c r="Q24" s="902">
        <f>O24*1000*P24</f>
        <v>165577.76999999999</v>
      </c>
      <c r="R24" s="902">
        <f t="shared" si="2"/>
        <v>165577.76999999999</v>
      </c>
      <c r="S24" s="918" t="s">
        <v>374</v>
      </c>
    </row>
    <row r="25" spans="1:19" ht="27">
      <c r="A25" s="897"/>
      <c r="B25" s="910"/>
      <c r="C25" s="922"/>
      <c r="D25" s="911"/>
      <c r="E25" s="915">
        <v>11.3</v>
      </c>
      <c r="F25" s="913" t="s">
        <v>375</v>
      </c>
      <c r="G25" s="914">
        <f t="shared" si="3"/>
        <v>5.65</v>
      </c>
      <c r="H25" s="914">
        <f t="shared" si="4"/>
        <v>5.65</v>
      </c>
      <c r="I25" s="915">
        <f t="shared" si="5"/>
        <v>11.3</v>
      </c>
      <c r="J25" s="914">
        <v>4.0199999999999996</v>
      </c>
      <c r="K25" s="914">
        <f t="shared" si="6"/>
        <v>2.0099999999999998</v>
      </c>
      <c r="L25" s="923">
        <v>0.5</v>
      </c>
      <c r="M25" s="902"/>
      <c r="N25" s="902">
        <f t="shared" si="7"/>
        <v>0</v>
      </c>
      <c r="O25" s="910">
        <f t="shared" si="8"/>
        <v>11.356499999999999</v>
      </c>
      <c r="P25" s="910">
        <v>18</v>
      </c>
      <c r="Q25" s="902">
        <f>O25*1000*P25</f>
        <v>204416.99999999997</v>
      </c>
      <c r="R25" s="902">
        <f t="shared" si="2"/>
        <v>204416.99999999997</v>
      </c>
      <c r="S25" s="918" t="s">
        <v>376</v>
      </c>
    </row>
    <row r="26" spans="1:19" ht="27">
      <c r="A26" s="897" t="s">
        <v>167</v>
      </c>
      <c r="B26" s="910" t="s">
        <v>365</v>
      </c>
      <c r="C26" s="922"/>
      <c r="D26" s="911">
        <v>56</v>
      </c>
      <c r="E26" s="912">
        <v>42</v>
      </c>
      <c r="F26" s="913" t="s">
        <v>156</v>
      </c>
      <c r="G26" s="914">
        <f t="shared" si="3"/>
        <v>14.7</v>
      </c>
      <c r="H26" s="914">
        <f t="shared" si="4"/>
        <v>27.3</v>
      </c>
      <c r="I26" s="915">
        <f t="shared" si="5"/>
        <v>42</v>
      </c>
      <c r="J26" s="914">
        <v>1.93</v>
      </c>
      <c r="K26" s="914">
        <f t="shared" si="6"/>
        <v>1.2544999999999999</v>
      </c>
      <c r="L26" s="923">
        <v>0.35</v>
      </c>
      <c r="M26" s="902">
        <v>25132</v>
      </c>
      <c r="N26" s="902">
        <f t="shared" si="7"/>
        <v>609576.65999999992</v>
      </c>
      <c r="O26" s="910"/>
      <c r="P26" s="902"/>
      <c r="Q26" s="920"/>
      <c r="R26" s="902">
        <f t="shared" si="2"/>
        <v>609576.65999999992</v>
      </c>
      <c r="S26" s="922"/>
    </row>
    <row r="27" spans="1:19" ht="54">
      <c r="A27" s="897" t="s">
        <v>377</v>
      </c>
      <c r="B27" s="919" t="s">
        <v>372</v>
      </c>
      <c r="C27" s="922"/>
      <c r="D27" s="911">
        <v>26</v>
      </c>
      <c r="E27" s="912">
        <f>26+4.75</f>
        <v>30.75</v>
      </c>
      <c r="F27" s="913" t="s">
        <v>156</v>
      </c>
      <c r="G27" s="914">
        <f t="shared" si="3"/>
        <v>10.762499999999999</v>
      </c>
      <c r="H27" s="914">
        <f t="shared" si="4"/>
        <v>19.987500000000001</v>
      </c>
      <c r="I27" s="915">
        <f t="shared" si="5"/>
        <v>30.75</v>
      </c>
      <c r="J27" s="914">
        <v>4.28</v>
      </c>
      <c r="K27" s="914">
        <f t="shared" si="6"/>
        <v>2.782</v>
      </c>
      <c r="L27" s="923">
        <v>0.35</v>
      </c>
      <c r="M27" s="902">
        <v>25132</v>
      </c>
      <c r="N27" s="902">
        <f t="shared" si="7"/>
        <v>446297.19749999995</v>
      </c>
      <c r="O27" s="910"/>
      <c r="P27" s="902"/>
      <c r="Q27" s="920"/>
      <c r="R27" s="902">
        <f>N27+Q27</f>
        <v>446297.19749999995</v>
      </c>
      <c r="S27" s="897"/>
    </row>
    <row r="28" spans="1:19" ht="54">
      <c r="A28" s="897" t="s">
        <v>157</v>
      </c>
      <c r="B28" s="919" t="s">
        <v>372</v>
      </c>
      <c r="C28" s="922"/>
      <c r="D28" s="911">
        <v>216</v>
      </c>
      <c r="E28" s="912">
        <v>315</v>
      </c>
      <c r="F28" s="913" t="s">
        <v>375</v>
      </c>
      <c r="G28" s="914">
        <f t="shared" si="3"/>
        <v>157.5</v>
      </c>
      <c r="H28" s="914">
        <f t="shared" si="4"/>
        <v>157.5</v>
      </c>
      <c r="I28" s="915">
        <f t="shared" si="5"/>
        <v>315</v>
      </c>
      <c r="J28" s="914">
        <v>4.0199999999999996</v>
      </c>
      <c r="K28" s="914">
        <f t="shared" si="6"/>
        <v>2.0099999999999998</v>
      </c>
      <c r="L28" s="923">
        <v>0.5</v>
      </c>
      <c r="M28" s="902">
        <v>25132</v>
      </c>
      <c r="N28" s="902">
        <f t="shared" si="7"/>
        <v>5937435</v>
      </c>
      <c r="O28" s="910">
        <f t="shared" si="8"/>
        <v>316.57499999999999</v>
      </c>
      <c r="P28" s="902">
        <v>18</v>
      </c>
      <c r="Q28" s="902">
        <f>O28*1000*P28</f>
        <v>5698350</v>
      </c>
      <c r="R28" s="902">
        <f>N28+Q28</f>
        <v>11635785</v>
      </c>
      <c r="S28" s="897"/>
    </row>
    <row r="29" spans="1:19" ht="27">
      <c r="A29" s="897" t="s">
        <v>120</v>
      </c>
      <c r="B29" s="919">
        <f>B5</f>
        <v>0</v>
      </c>
      <c r="C29" s="922"/>
      <c r="D29" s="911">
        <f>301+45</f>
        <v>346</v>
      </c>
      <c r="E29" s="912">
        <f>413.86+51.1</f>
        <v>464.96000000000004</v>
      </c>
      <c r="F29" s="913" t="s">
        <v>320</v>
      </c>
      <c r="G29" s="914">
        <f t="shared" si="3"/>
        <v>139.488</v>
      </c>
      <c r="H29" s="914">
        <f t="shared" si="4"/>
        <v>325.47200000000004</v>
      </c>
      <c r="I29" s="915">
        <f t="shared" si="5"/>
        <v>464.96000000000004</v>
      </c>
      <c r="J29" s="914">
        <v>5.89</v>
      </c>
      <c r="K29" s="914">
        <f t="shared" si="6"/>
        <v>4.1229999999999993</v>
      </c>
      <c r="L29" s="923">
        <v>0.3</v>
      </c>
      <c r="M29" s="902">
        <v>3560</v>
      </c>
      <c r="N29" s="902">
        <f t="shared" si="7"/>
        <v>844181.37599999993</v>
      </c>
      <c r="O29" s="910"/>
      <c r="P29" s="910"/>
      <c r="Q29" s="920"/>
      <c r="R29" s="902">
        <f>N29+Q29</f>
        <v>844181.37599999993</v>
      </c>
      <c r="S29" s="897"/>
    </row>
    <row r="30" spans="1:19" ht="27">
      <c r="A30" s="897"/>
      <c r="B30" s="910"/>
      <c r="C30" s="922"/>
      <c r="D30" s="911"/>
      <c r="E30" s="912">
        <f t="shared" ref="E30:E31" si="9">413.86+51.1</f>
        <v>464.96000000000004</v>
      </c>
      <c r="F30" s="913" t="s">
        <v>156</v>
      </c>
      <c r="G30" s="914">
        <f t="shared" si="3"/>
        <v>162.73599999999999</v>
      </c>
      <c r="H30" s="914">
        <f t="shared" si="4"/>
        <v>302.22400000000005</v>
      </c>
      <c r="I30" s="915">
        <f t="shared" si="5"/>
        <v>464.96000000000004</v>
      </c>
      <c r="J30" s="914">
        <v>5.89</v>
      </c>
      <c r="K30" s="914">
        <f t="shared" si="6"/>
        <v>3.8285</v>
      </c>
      <c r="L30" s="923">
        <v>0.35</v>
      </c>
      <c r="M30" s="902">
        <v>25132</v>
      </c>
      <c r="N30" s="902">
        <f t="shared" si="7"/>
        <v>6748303.9007999999</v>
      </c>
      <c r="O30" s="910"/>
      <c r="P30" s="910"/>
      <c r="Q30" s="910"/>
      <c r="R30" s="902">
        <f t="shared" ref="R30:R73" si="10">N30+Q30</f>
        <v>6748303.9007999999</v>
      </c>
      <c r="S30" s="897"/>
    </row>
    <row r="31" spans="1:19" ht="27">
      <c r="A31" s="897"/>
      <c r="B31" s="910"/>
      <c r="C31" s="922"/>
      <c r="D31" s="911"/>
      <c r="E31" s="912">
        <f t="shared" si="9"/>
        <v>464.96000000000004</v>
      </c>
      <c r="F31" s="913" t="s">
        <v>160</v>
      </c>
      <c r="G31" s="914">
        <f t="shared" si="3"/>
        <v>162.73599999999999</v>
      </c>
      <c r="H31" s="914">
        <f t="shared" si="4"/>
        <v>302.22400000000005</v>
      </c>
      <c r="I31" s="915">
        <f t="shared" si="5"/>
        <v>464.96000000000004</v>
      </c>
      <c r="J31" s="914">
        <v>5.89</v>
      </c>
      <c r="K31" s="914">
        <f t="shared" si="6"/>
        <v>3.8285</v>
      </c>
      <c r="L31" s="923">
        <v>0.35</v>
      </c>
      <c r="M31" s="902">
        <v>28736</v>
      </c>
      <c r="N31" s="902">
        <f t="shared" si="7"/>
        <v>7716029.7983999997</v>
      </c>
      <c r="O31" s="910"/>
      <c r="P31" s="910"/>
      <c r="Q31" s="920"/>
      <c r="R31" s="902">
        <f t="shared" si="10"/>
        <v>7716029.7983999997</v>
      </c>
      <c r="S31" s="897"/>
    </row>
    <row r="32" spans="1:19" ht="54">
      <c r="A32" s="897" t="s">
        <v>127</v>
      </c>
      <c r="B32" s="919" t="s">
        <v>372</v>
      </c>
      <c r="C32" s="922"/>
      <c r="D32" s="924">
        <v>3565</v>
      </c>
      <c r="E32" s="925">
        <v>6282</v>
      </c>
      <c r="F32" s="913" t="s">
        <v>160</v>
      </c>
      <c r="G32" s="914">
        <f t="shared" si="3"/>
        <v>2826.9</v>
      </c>
      <c r="H32" s="914">
        <f t="shared" si="4"/>
        <v>3455.1</v>
      </c>
      <c r="I32" s="915">
        <f t="shared" si="5"/>
        <v>6282</v>
      </c>
      <c r="J32" s="914">
        <v>6</v>
      </c>
      <c r="K32" s="914">
        <f t="shared" si="6"/>
        <v>3.3</v>
      </c>
      <c r="L32" s="923">
        <v>0.45</v>
      </c>
      <c r="M32" s="902">
        <v>28736</v>
      </c>
      <c r="N32" s="902">
        <f t="shared" si="7"/>
        <v>125912387.52000001</v>
      </c>
      <c r="O32" s="910"/>
      <c r="P32" s="910"/>
      <c r="Q32" s="920"/>
      <c r="R32" s="902">
        <f t="shared" si="10"/>
        <v>125912387.52000001</v>
      </c>
      <c r="S32" s="897"/>
    </row>
    <row r="33" spans="1:19" ht="81">
      <c r="A33" s="897" t="s">
        <v>168</v>
      </c>
      <c r="B33" s="919" t="s">
        <v>378</v>
      </c>
      <c r="C33" s="922"/>
      <c r="D33" s="924">
        <v>2100</v>
      </c>
      <c r="E33" s="904">
        <v>3050</v>
      </c>
      <c r="F33" s="913" t="s">
        <v>160</v>
      </c>
      <c r="G33" s="914">
        <f t="shared" si="3"/>
        <v>1372.5</v>
      </c>
      <c r="H33" s="914">
        <f t="shared" si="4"/>
        <v>1677.5</v>
      </c>
      <c r="I33" s="915">
        <f t="shared" si="5"/>
        <v>3050</v>
      </c>
      <c r="J33" s="914">
        <v>4.9000000000000004</v>
      </c>
      <c r="K33" s="914">
        <f t="shared" si="6"/>
        <v>2.6950000000000003</v>
      </c>
      <c r="L33" s="923">
        <v>0.45</v>
      </c>
      <c r="M33" s="902">
        <v>28736</v>
      </c>
      <c r="N33" s="902">
        <f t="shared" si="7"/>
        <v>61132248</v>
      </c>
      <c r="O33" s="910"/>
      <c r="P33" s="910"/>
      <c r="Q33" s="920"/>
      <c r="R33" s="902">
        <f t="shared" si="10"/>
        <v>61132248</v>
      </c>
      <c r="S33" s="897"/>
    </row>
    <row r="34" spans="1:19" ht="54">
      <c r="A34" s="897" t="s">
        <v>209</v>
      </c>
      <c r="B34" s="919" t="s">
        <v>372</v>
      </c>
      <c r="C34" s="922"/>
      <c r="D34" s="926">
        <v>64</v>
      </c>
      <c r="E34" s="912">
        <f>20+10+5+5+2+1+5</f>
        <v>48</v>
      </c>
      <c r="F34" s="913" t="s">
        <v>320</v>
      </c>
      <c r="G34" s="914">
        <f t="shared" si="3"/>
        <v>16.799999999999997</v>
      </c>
      <c r="H34" s="914">
        <f t="shared" si="4"/>
        <v>31.200000000000003</v>
      </c>
      <c r="I34" s="915">
        <f t="shared" si="5"/>
        <v>48</v>
      </c>
      <c r="J34" s="914">
        <v>3</v>
      </c>
      <c r="K34" s="914">
        <f t="shared" si="6"/>
        <v>1.9500000000000002</v>
      </c>
      <c r="L34" s="923">
        <v>0.35</v>
      </c>
      <c r="M34" s="902">
        <v>3560</v>
      </c>
      <c r="N34" s="902">
        <f t="shared" si="7"/>
        <v>98683.199999999997</v>
      </c>
      <c r="O34" s="910"/>
      <c r="P34" s="910"/>
      <c r="Q34" s="920"/>
      <c r="R34" s="902">
        <f t="shared" si="10"/>
        <v>98683.199999999997</v>
      </c>
      <c r="S34" s="897"/>
    </row>
    <row r="35" spans="1:19" ht="27">
      <c r="A35" s="897"/>
      <c r="B35" s="910"/>
      <c r="C35" s="922"/>
      <c r="D35" s="926"/>
      <c r="E35" s="912">
        <f t="shared" ref="E35:E36" si="11">20+10+5+5+2+1+5</f>
        <v>48</v>
      </c>
      <c r="F35" s="897" t="s">
        <v>160</v>
      </c>
      <c r="G35" s="914">
        <f t="shared" si="3"/>
        <v>21.6</v>
      </c>
      <c r="H35" s="914">
        <f t="shared" si="4"/>
        <v>26.4</v>
      </c>
      <c r="I35" s="915">
        <f t="shared" si="5"/>
        <v>48</v>
      </c>
      <c r="J35" s="914">
        <v>3</v>
      </c>
      <c r="K35" s="914">
        <f t="shared" si="6"/>
        <v>1.65</v>
      </c>
      <c r="L35" s="923">
        <v>0.45</v>
      </c>
      <c r="M35" s="902">
        <v>28736</v>
      </c>
      <c r="N35" s="902">
        <f t="shared" si="7"/>
        <v>962081.28000000003</v>
      </c>
      <c r="O35" s="910"/>
      <c r="P35" s="910"/>
      <c r="Q35" s="910"/>
      <c r="R35" s="902">
        <f t="shared" si="10"/>
        <v>962081.28000000003</v>
      </c>
      <c r="S35" s="922"/>
    </row>
    <row r="36" spans="1:19" ht="27">
      <c r="A36" s="897"/>
      <c r="B36" s="910"/>
      <c r="C36" s="922"/>
      <c r="D36" s="926"/>
      <c r="E36" s="912">
        <f t="shared" si="11"/>
        <v>48</v>
      </c>
      <c r="F36" s="913" t="s">
        <v>170</v>
      </c>
      <c r="G36" s="914">
        <f t="shared" si="3"/>
        <v>24</v>
      </c>
      <c r="H36" s="914">
        <f t="shared" si="4"/>
        <v>24</v>
      </c>
      <c r="I36" s="915">
        <f t="shared" si="5"/>
        <v>48</v>
      </c>
      <c r="J36" s="914">
        <v>3</v>
      </c>
      <c r="K36" s="914">
        <f t="shared" si="6"/>
        <v>1.5</v>
      </c>
      <c r="L36" s="923">
        <v>0.5</v>
      </c>
      <c r="M36" s="902"/>
      <c r="N36" s="902">
        <f t="shared" si="7"/>
        <v>0</v>
      </c>
      <c r="O36" s="910">
        <f t="shared" si="8"/>
        <v>36</v>
      </c>
      <c r="P36" s="910">
        <v>18</v>
      </c>
      <c r="Q36" s="902">
        <f>O36*1000*P36</f>
        <v>648000</v>
      </c>
      <c r="R36" s="902">
        <f t="shared" si="10"/>
        <v>648000</v>
      </c>
      <c r="S36" s="922"/>
    </row>
    <row r="37" spans="1:19" ht="54">
      <c r="A37" s="897" t="s">
        <v>171</v>
      </c>
      <c r="B37" s="919" t="s">
        <v>372</v>
      </c>
      <c r="C37" s="922"/>
      <c r="D37" s="926">
        <v>1071</v>
      </c>
      <c r="E37" s="912">
        <f>607+196</f>
        <v>803</v>
      </c>
      <c r="F37" s="913" t="s">
        <v>160</v>
      </c>
      <c r="G37" s="914">
        <f t="shared" si="3"/>
        <v>361.35</v>
      </c>
      <c r="H37" s="914">
        <f t="shared" si="4"/>
        <v>441.65</v>
      </c>
      <c r="I37" s="915">
        <f t="shared" si="5"/>
        <v>803</v>
      </c>
      <c r="J37" s="914">
        <v>2.4700000000000002</v>
      </c>
      <c r="K37" s="914">
        <f t="shared" si="6"/>
        <v>1.3585</v>
      </c>
      <c r="L37" s="923">
        <v>0.45</v>
      </c>
      <c r="M37" s="902">
        <v>28736</v>
      </c>
      <c r="N37" s="902">
        <f t="shared" si="7"/>
        <v>16094818.080000002</v>
      </c>
      <c r="O37" s="910"/>
      <c r="P37" s="910"/>
      <c r="Q37" s="910"/>
      <c r="R37" s="902">
        <f t="shared" si="10"/>
        <v>16094818.080000002</v>
      </c>
      <c r="S37" s="922"/>
    </row>
    <row r="38" spans="1:19" ht="54">
      <c r="A38" s="897" t="s">
        <v>175</v>
      </c>
      <c r="B38" s="919" t="s">
        <v>372</v>
      </c>
      <c r="C38" s="922"/>
      <c r="D38" s="926">
        <v>205</v>
      </c>
      <c r="E38" s="912">
        <v>197</v>
      </c>
      <c r="F38" s="913" t="s">
        <v>160</v>
      </c>
      <c r="G38" s="914">
        <f t="shared" si="3"/>
        <v>88.65</v>
      </c>
      <c r="H38" s="914">
        <f t="shared" si="4"/>
        <v>108.35</v>
      </c>
      <c r="I38" s="915">
        <f t="shared" si="5"/>
        <v>197</v>
      </c>
      <c r="J38" s="914">
        <v>4.59</v>
      </c>
      <c r="K38" s="914">
        <f t="shared" si="6"/>
        <v>2.5244999999999997</v>
      </c>
      <c r="L38" s="923">
        <v>0.45</v>
      </c>
      <c r="M38" s="902">
        <v>28736</v>
      </c>
      <c r="N38" s="902">
        <f t="shared" si="7"/>
        <v>3948541.9200000004</v>
      </c>
      <c r="O38" s="910"/>
      <c r="P38" s="910"/>
      <c r="Q38" s="910"/>
      <c r="R38" s="902">
        <f t="shared" si="10"/>
        <v>3948541.9200000004</v>
      </c>
      <c r="S38" s="922"/>
    </row>
    <row r="39" spans="1:19" ht="54">
      <c r="A39" s="897" t="s">
        <v>287</v>
      </c>
      <c r="B39" s="919" t="s">
        <v>372</v>
      </c>
      <c r="C39" s="922"/>
      <c r="D39" s="926">
        <v>34</v>
      </c>
      <c r="E39" s="912">
        <v>68</v>
      </c>
      <c r="F39" s="913" t="s">
        <v>156</v>
      </c>
      <c r="G39" s="914">
        <f t="shared" si="3"/>
        <v>23.799999999999997</v>
      </c>
      <c r="H39" s="914">
        <f t="shared" si="4"/>
        <v>44.2</v>
      </c>
      <c r="I39" s="915">
        <f t="shared" si="5"/>
        <v>68</v>
      </c>
      <c r="J39" s="914">
        <v>3.74</v>
      </c>
      <c r="K39" s="914">
        <f t="shared" si="6"/>
        <v>2.431</v>
      </c>
      <c r="L39" s="923">
        <v>0.35</v>
      </c>
      <c r="M39" s="902">
        <v>25132</v>
      </c>
      <c r="N39" s="902">
        <f>(M39*G39)+(M39*L39*H39)</f>
        <v>986933.6399999999</v>
      </c>
      <c r="O39" s="910"/>
      <c r="P39" s="910"/>
      <c r="Q39" s="910"/>
      <c r="R39" s="902">
        <f t="shared" si="10"/>
        <v>986933.6399999999</v>
      </c>
      <c r="S39" s="922"/>
    </row>
    <row r="40" spans="1:19" ht="27">
      <c r="A40" s="905" t="s">
        <v>61</v>
      </c>
      <c r="B40" s="906"/>
      <c r="C40" s="906"/>
      <c r="D40" s="907">
        <f>SUM(D41:D73)</f>
        <v>656</v>
      </c>
      <c r="E40" s="907">
        <f t="shared" ref="E40:R40" si="12">SUM(E41:E73)</f>
        <v>2167.1199999999994</v>
      </c>
      <c r="F40" s="907">
        <f t="shared" si="12"/>
        <v>0</v>
      </c>
      <c r="G40" s="907">
        <f>SUM(G41:G73)</f>
        <v>264.46499999999997</v>
      </c>
      <c r="H40" s="907">
        <f t="shared" si="12"/>
        <v>599.1450000000001</v>
      </c>
      <c r="I40" s="907">
        <f t="shared" si="12"/>
        <v>868.92000000000007</v>
      </c>
      <c r="J40" s="907">
        <f>AVERAGE(J41:J73)</f>
        <v>4.7575757575757578</v>
      </c>
      <c r="K40" s="907">
        <f t="shared" ref="K40:M40" si="13">AVERAGE(K41:K73)</f>
        <v>2.4640909090909098</v>
      </c>
      <c r="L40" s="909">
        <f t="shared" si="13"/>
        <v>0.49878787878787884</v>
      </c>
      <c r="M40" s="908">
        <f t="shared" si="13"/>
        <v>17818.588235294119</v>
      </c>
      <c r="N40" s="908">
        <f t="shared" si="12"/>
        <v>1807366.5083999999</v>
      </c>
      <c r="O40" s="907">
        <f t="shared" si="12"/>
        <v>313.63900000000001</v>
      </c>
      <c r="P40" s="907">
        <f t="shared" si="12"/>
        <v>359.90000000000003</v>
      </c>
      <c r="Q40" s="907">
        <f t="shared" si="12"/>
        <v>5337401.0999999996</v>
      </c>
      <c r="R40" s="907">
        <f t="shared" si="12"/>
        <v>7144767.6083999993</v>
      </c>
      <c r="S40" s="905"/>
    </row>
    <row r="41" spans="1:19" ht="27">
      <c r="A41" s="927" t="s">
        <v>379</v>
      </c>
      <c r="B41" s="928" t="s">
        <v>380</v>
      </c>
      <c r="C41" s="929" t="s">
        <v>381</v>
      </c>
      <c r="D41" s="930">
        <v>1</v>
      </c>
      <c r="E41" s="930">
        <v>0.5</v>
      </c>
      <c r="F41" s="929" t="s">
        <v>170</v>
      </c>
      <c r="G41" s="930">
        <v>0.5</v>
      </c>
      <c r="H41" s="930"/>
      <c r="I41" s="930">
        <v>0.5</v>
      </c>
      <c r="J41" s="930">
        <v>4.5</v>
      </c>
      <c r="K41" s="931">
        <f t="shared" ref="K41:K73" si="14">J41-(J41*L41)</f>
        <v>0</v>
      </c>
      <c r="L41" s="932">
        <v>1</v>
      </c>
      <c r="M41" s="930"/>
      <c r="N41" s="933">
        <f t="shared" ref="N41:N73" si="15">(M41*G41)+(M41*L41*H41)</f>
        <v>0</v>
      </c>
      <c r="O41" s="914">
        <f>G41*J41*L41</f>
        <v>2.25</v>
      </c>
      <c r="P41" s="930">
        <v>17</v>
      </c>
      <c r="Q41" s="904">
        <f t="shared" ref="Q41:Q73" si="16">P41*(O41*1000)</f>
        <v>38250</v>
      </c>
      <c r="R41" s="902">
        <f t="shared" si="10"/>
        <v>38250</v>
      </c>
      <c r="S41" s="930" t="s">
        <v>382</v>
      </c>
    </row>
    <row r="42" spans="1:19" ht="27">
      <c r="A42" s="934" t="s">
        <v>383</v>
      </c>
      <c r="B42" s="935" t="s">
        <v>384</v>
      </c>
      <c r="C42" s="929" t="s">
        <v>385</v>
      </c>
      <c r="D42" s="936">
        <v>2</v>
      </c>
      <c r="E42" s="936">
        <v>3.25</v>
      </c>
      <c r="F42" s="937" t="s">
        <v>386</v>
      </c>
      <c r="G42" s="930">
        <v>2.2999999999999998</v>
      </c>
      <c r="H42" s="930"/>
      <c r="I42" s="930">
        <f t="shared" ref="I42:I48" si="17">G42+H42</f>
        <v>2.2999999999999998</v>
      </c>
      <c r="J42" s="930">
        <v>4.5</v>
      </c>
      <c r="K42" s="931">
        <f t="shared" si="14"/>
        <v>0.89999999999999991</v>
      </c>
      <c r="L42" s="932">
        <v>0.8</v>
      </c>
      <c r="M42" s="933"/>
      <c r="N42" s="933">
        <f t="shared" si="15"/>
        <v>0</v>
      </c>
      <c r="O42" s="914">
        <f t="shared" si="8"/>
        <v>8.2799999999999994</v>
      </c>
      <c r="P42" s="933">
        <v>17</v>
      </c>
      <c r="Q42" s="904">
        <f t="shared" si="16"/>
        <v>140760</v>
      </c>
      <c r="R42" s="902">
        <f t="shared" si="10"/>
        <v>140760</v>
      </c>
      <c r="S42" s="930"/>
    </row>
    <row r="43" spans="1:19" ht="27">
      <c r="A43" s="934"/>
      <c r="B43" s="935" t="s">
        <v>384</v>
      </c>
      <c r="C43" s="929" t="s">
        <v>385</v>
      </c>
      <c r="D43" s="936">
        <v>1</v>
      </c>
      <c r="E43" s="936">
        <v>1.5</v>
      </c>
      <c r="F43" s="937" t="s">
        <v>386</v>
      </c>
      <c r="G43" s="930">
        <v>1.05</v>
      </c>
      <c r="H43" s="930"/>
      <c r="I43" s="930">
        <f t="shared" si="17"/>
        <v>1.05</v>
      </c>
      <c r="J43" s="930">
        <v>4.5</v>
      </c>
      <c r="K43" s="931">
        <f t="shared" si="14"/>
        <v>0.89999999999999991</v>
      </c>
      <c r="L43" s="932">
        <v>0.8</v>
      </c>
      <c r="M43" s="933"/>
      <c r="N43" s="933">
        <f t="shared" si="15"/>
        <v>0</v>
      </c>
      <c r="O43" s="914">
        <f>G43*J43*L43</f>
        <v>3.7800000000000007</v>
      </c>
      <c r="P43" s="933">
        <v>17</v>
      </c>
      <c r="Q43" s="904">
        <f t="shared" si="16"/>
        <v>64260.000000000015</v>
      </c>
      <c r="R43" s="902">
        <f t="shared" si="10"/>
        <v>64260.000000000015</v>
      </c>
      <c r="S43" s="930"/>
    </row>
    <row r="44" spans="1:19" ht="27">
      <c r="A44" s="934" t="s">
        <v>387</v>
      </c>
      <c r="B44" s="935" t="s">
        <v>121</v>
      </c>
      <c r="C44" s="929" t="s">
        <v>381</v>
      </c>
      <c r="D44" s="936">
        <v>1</v>
      </c>
      <c r="E44" s="936">
        <v>0.5</v>
      </c>
      <c r="F44" s="937" t="s">
        <v>124</v>
      </c>
      <c r="G44" s="930"/>
      <c r="H44" s="938">
        <v>0.25</v>
      </c>
      <c r="I44" s="938">
        <f t="shared" si="17"/>
        <v>0.25</v>
      </c>
      <c r="J44" s="930">
        <v>4.5</v>
      </c>
      <c r="K44" s="931">
        <f t="shared" si="14"/>
        <v>2.25</v>
      </c>
      <c r="L44" s="932">
        <v>0.5</v>
      </c>
      <c r="M44" s="933">
        <v>25132</v>
      </c>
      <c r="N44" s="933">
        <f>(M44*G44)+(M44*L44*H44)</f>
        <v>3141.5</v>
      </c>
      <c r="O44" s="914"/>
      <c r="P44" s="933"/>
      <c r="Q44" s="904">
        <f t="shared" si="16"/>
        <v>0</v>
      </c>
      <c r="R44" s="902">
        <f t="shared" si="10"/>
        <v>3141.5</v>
      </c>
      <c r="S44" s="939"/>
    </row>
    <row r="45" spans="1:19" ht="27">
      <c r="A45" s="934"/>
      <c r="B45" s="935" t="s">
        <v>121</v>
      </c>
      <c r="C45" s="929" t="s">
        <v>381</v>
      </c>
      <c r="D45" s="936">
        <v>4</v>
      </c>
      <c r="E45" s="936">
        <v>4</v>
      </c>
      <c r="F45" s="937" t="s">
        <v>51</v>
      </c>
      <c r="G45" s="930"/>
      <c r="H45" s="938">
        <v>2</v>
      </c>
      <c r="I45" s="938">
        <f t="shared" si="17"/>
        <v>2</v>
      </c>
      <c r="J45" s="930">
        <v>4.5</v>
      </c>
      <c r="K45" s="931">
        <f t="shared" si="14"/>
        <v>2.25</v>
      </c>
      <c r="L45" s="932">
        <v>0.5</v>
      </c>
      <c r="M45" s="933">
        <v>28736</v>
      </c>
      <c r="N45" s="933">
        <f t="shared" si="15"/>
        <v>28736</v>
      </c>
      <c r="O45" s="914"/>
      <c r="P45" s="933"/>
      <c r="Q45" s="904">
        <f t="shared" si="16"/>
        <v>0</v>
      </c>
      <c r="R45" s="902">
        <f t="shared" si="10"/>
        <v>28736</v>
      </c>
      <c r="S45" s="939"/>
    </row>
    <row r="46" spans="1:19" ht="27">
      <c r="A46" s="934"/>
      <c r="B46" s="935" t="s">
        <v>121</v>
      </c>
      <c r="C46" s="929" t="s">
        <v>381</v>
      </c>
      <c r="D46" s="936">
        <v>3</v>
      </c>
      <c r="E46" s="936">
        <v>3</v>
      </c>
      <c r="F46" s="937" t="s">
        <v>170</v>
      </c>
      <c r="G46" s="930"/>
      <c r="H46" s="938">
        <v>1</v>
      </c>
      <c r="I46" s="938">
        <f t="shared" si="17"/>
        <v>1</v>
      </c>
      <c r="J46" s="930">
        <v>4.5</v>
      </c>
      <c r="K46" s="931">
        <f t="shared" si="14"/>
        <v>2.25</v>
      </c>
      <c r="L46" s="932">
        <v>0.5</v>
      </c>
      <c r="M46" s="933"/>
      <c r="N46" s="933">
        <f t="shared" si="15"/>
        <v>0</v>
      </c>
      <c r="O46" s="914">
        <f t="shared" si="8"/>
        <v>0</v>
      </c>
      <c r="P46" s="933">
        <v>17</v>
      </c>
      <c r="Q46" s="904">
        <f t="shared" si="16"/>
        <v>0</v>
      </c>
      <c r="R46" s="902">
        <f t="shared" si="10"/>
        <v>0</v>
      </c>
      <c r="S46" s="939"/>
    </row>
    <row r="47" spans="1:19" ht="27">
      <c r="A47" s="934" t="s">
        <v>388</v>
      </c>
      <c r="B47" s="935" t="s">
        <v>384</v>
      </c>
      <c r="C47" s="929" t="s">
        <v>385</v>
      </c>
      <c r="D47" s="936">
        <v>3</v>
      </c>
      <c r="E47" s="936">
        <v>4</v>
      </c>
      <c r="F47" s="937" t="s">
        <v>386</v>
      </c>
      <c r="G47" s="930"/>
      <c r="H47" s="930">
        <v>4</v>
      </c>
      <c r="I47" s="930">
        <f t="shared" si="17"/>
        <v>4</v>
      </c>
      <c r="J47" s="930">
        <v>3</v>
      </c>
      <c r="K47" s="931">
        <f t="shared" si="14"/>
        <v>2.1</v>
      </c>
      <c r="L47" s="932">
        <v>0.3</v>
      </c>
      <c r="M47" s="933"/>
      <c r="N47" s="933">
        <f t="shared" si="15"/>
        <v>0</v>
      </c>
      <c r="O47" s="914">
        <f t="shared" si="8"/>
        <v>0</v>
      </c>
      <c r="P47" s="933">
        <v>17</v>
      </c>
      <c r="Q47" s="904">
        <f t="shared" si="16"/>
        <v>0</v>
      </c>
      <c r="R47" s="902">
        <f t="shared" si="10"/>
        <v>0</v>
      </c>
      <c r="S47" s="930"/>
    </row>
    <row r="48" spans="1:19" ht="27">
      <c r="A48" s="934"/>
      <c r="B48" s="935" t="s">
        <v>384</v>
      </c>
      <c r="C48" s="929" t="s">
        <v>385</v>
      </c>
      <c r="D48" s="936">
        <v>1</v>
      </c>
      <c r="E48" s="936">
        <v>0.75</v>
      </c>
      <c r="F48" s="937" t="s">
        <v>386</v>
      </c>
      <c r="G48" s="930"/>
      <c r="H48" s="930">
        <v>0.75</v>
      </c>
      <c r="I48" s="930">
        <f t="shared" si="17"/>
        <v>0.75</v>
      </c>
      <c r="J48" s="930">
        <v>3</v>
      </c>
      <c r="K48" s="931">
        <f t="shared" si="14"/>
        <v>2.1</v>
      </c>
      <c r="L48" s="932">
        <v>0.3</v>
      </c>
      <c r="M48" s="933"/>
      <c r="N48" s="933">
        <f t="shared" si="15"/>
        <v>0</v>
      </c>
      <c r="O48" s="914">
        <f t="shared" si="8"/>
        <v>0</v>
      </c>
      <c r="P48" s="933">
        <v>17</v>
      </c>
      <c r="Q48" s="904">
        <f t="shared" si="16"/>
        <v>0</v>
      </c>
      <c r="R48" s="902">
        <f t="shared" si="10"/>
        <v>0</v>
      </c>
      <c r="S48" s="930"/>
    </row>
    <row r="49" spans="1:19" ht="27">
      <c r="A49" s="934" t="s">
        <v>389</v>
      </c>
      <c r="B49" s="935" t="s">
        <v>390</v>
      </c>
      <c r="C49" s="929" t="s">
        <v>381</v>
      </c>
      <c r="D49" s="936">
        <v>1</v>
      </c>
      <c r="E49" s="936">
        <v>1</v>
      </c>
      <c r="F49" s="937" t="s">
        <v>22</v>
      </c>
      <c r="G49" s="930">
        <v>1</v>
      </c>
      <c r="H49" s="930"/>
      <c r="I49" s="930">
        <v>1</v>
      </c>
      <c r="J49" s="930">
        <v>3.5</v>
      </c>
      <c r="K49" s="931">
        <f t="shared" si="14"/>
        <v>0</v>
      </c>
      <c r="L49" s="932">
        <v>1</v>
      </c>
      <c r="M49" s="933"/>
      <c r="N49" s="933">
        <f t="shared" si="15"/>
        <v>0</v>
      </c>
      <c r="O49" s="914">
        <f t="shared" si="8"/>
        <v>3.5</v>
      </c>
      <c r="P49" s="933">
        <v>18</v>
      </c>
      <c r="Q49" s="904">
        <f t="shared" si="16"/>
        <v>63000</v>
      </c>
      <c r="R49" s="902">
        <f t="shared" si="10"/>
        <v>63000</v>
      </c>
      <c r="S49" s="930"/>
    </row>
    <row r="50" spans="1:19" ht="27">
      <c r="A50" s="934"/>
      <c r="B50" s="935" t="s">
        <v>390</v>
      </c>
      <c r="C50" s="929" t="s">
        <v>381</v>
      </c>
      <c r="D50" s="936">
        <v>1</v>
      </c>
      <c r="E50" s="936">
        <v>1</v>
      </c>
      <c r="F50" s="937" t="s">
        <v>123</v>
      </c>
      <c r="G50" s="930">
        <v>1</v>
      </c>
      <c r="H50" s="930"/>
      <c r="I50" s="930">
        <v>1</v>
      </c>
      <c r="J50" s="930">
        <v>3.5</v>
      </c>
      <c r="K50" s="931">
        <f t="shared" si="14"/>
        <v>0</v>
      </c>
      <c r="L50" s="932">
        <v>1</v>
      </c>
      <c r="M50" s="933">
        <v>17500</v>
      </c>
      <c r="N50" s="933">
        <f t="shared" si="15"/>
        <v>17500</v>
      </c>
      <c r="O50" s="914">
        <f t="shared" si="8"/>
        <v>3.5</v>
      </c>
      <c r="P50" s="933" t="s">
        <v>176</v>
      </c>
      <c r="Q50" s="904"/>
      <c r="R50" s="902">
        <f t="shared" si="10"/>
        <v>17500</v>
      </c>
      <c r="S50" s="930"/>
    </row>
    <row r="51" spans="1:19" ht="54">
      <c r="A51" s="934" t="s">
        <v>391</v>
      </c>
      <c r="B51" s="935" t="s">
        <v>392</v>
      </c>
      <c r="C51" s="929"/>
      <c r="D51" s="936">
        <v>8</v>
      </c>
      <c r="E51" s="936">
        <v>15</v>
      </c>
      <c r="F51" s="937" t="s">
        <v>393</v>
      </c>
      <c r="G51" s="930">
        <v>12</v>
      </c>
      <c r="H51" s="930">
        <v>3</v>
      </c>
      <c r="I51" s="930">
        <v>15</v>
      </c>
      <c r="J51" s="930">
        <v>4.5</v>
      </c>
      <c r="K51" s="931">
        <f t="shared" si="14"/>
        <v>0.45000000000000018</v>
      </c>
      <c r="L51" s="932">
        <v>0.9</v>
      </c>
      <c r="M51" s="933"/>
      <c r="N51" s="933">
        <f t="shared" si="15"/>
        <v>0</v>
      </c>
      <c r="O51" s="914">
        <f t="shared" si="8"/>
        <v>48.6</v>
      </c>
      <c r="P51" s="933">
        <v>17</v>
      </c>
      <c r="Q51" s="904">
        <f t="shared" si="16"/>
        <v>826200</v>
      </c>
      <c r="R51" s="902">
        <f t="shared" si="10"/>
        <v>826200</v>
      </c>
      <c r="S51" s="930"/>
    </row>
    <row r="52" spans="1:19" ht="54">
      <c r="A52" s="934"/>
      <c r="B52" s="935" t="s">
        <v>394</v>
      </c>
      <c r="C52" s="929"/>
      <c r="D52" s="936">
        <v>3</v>
      </c>
      <c r="E52" s="936">
        <v>4</v>
      </c>
      <c r="F52" s="937" t="s">
        <v>393</v>
      </c>
      <c r="G52" s="930">
        <v>4</v>
      </c>
      <c r="H52" s="930">
        <v>0</v>
      </c>
      <c r="I52" s="930">
        <v>4</v>
      </c>
      <c r="J52" s="930">
        <v>4.5</v>
      </c>
      <c r="K52" s="931">
        <f t="shared" si="14"/>
        <v>0</v>
      </c>
      <c r="L52" s="932">
        <v>1</v>
      </c>
      <c r="M52" s="933"/>
      <c r="N52" s="933">
        <f t="shared" si="15"/>
        <v>0</v>
      </c>
      <c r="O52" s="914">
        <f t="shared" si="8"/>
        <v>18</v>
      </c>
      <c r="P52" s="933">
        <v>17</v>
      </c>
      <c r="Q52" s="904">
        <f t="shared" si="16"/>
        <v>306000</v>
      </c>
      <c r="R52" s="902">
        <f t="shared" si="10"/>
        <v>306000</v>
      </c>
      <c r="S52" s="930"/>
    </row>
    <row r="53" spans="1:19" ht="27">
      <c r="A53" s="934" t="s">
        <v>395</v>
      </c>
      <c r="B53" s="935" t="s">
        <v>396</v>
      </c>
      <c r="C53" s="929" t="s">
        <v>381</v>
      </c>
      <c r="D53" s="936">
        <v>10</v>
      </c>
      <c r="E53" s="936">
        <v>1308</v>
      </c>
      <c r="F53" s="937" t="s">
        <v>397</v>
      </c>
      <c r="G53" s="930">
        <v>1.75</v>
      </c>
      <c r="H53" s="930">
        <v>7.55</v>
      </c>
      <c r="I53" s="930">
        <v>9.3000000000000007</v>
      </c>
      <c r="J53" s="930">
        <v>4.5</v>
      </c>
      <c r="K53" s="931">
        <f t="shared" si="14"/>
        <v>1.9800000000000004</v>
      </c>
      <c r="L53" s="932">
        <v>0.55999999999999994</v>
      </c>
      <c r="M53" s="933">
        <v>25132</v>
      </c>
      <c r="N53" s="933">
        <f t="shared" si="15"/>
        <v>150239.09599999999</v>
      </c>
      <c r="O53" s="914"/>
      <c r="P53" s="933"/>
      <c r="Q53" s="904">
        <f t="shared" si="16"/>
        <v>0</v>
      </c>
      <c r="R53" s="902">
        <f t="shared" si="10"/>
        <v>150239.09599999999</v>
      </c>
      <c r="S53" s="930"/>
    </row>
    <row r="54" spans="1:19" ht="27">
      <c r="A54" s="934"/>
      <c r="B54" s="935" t="s">
        <v>398</v>
      </c>
      <c r="C54" s="929"/>
      <c r="D54" s="936">
        <v>2</v>
      </c>
      <c r="E54" s="936">
        <v>7</v>
      </c>
      <c r="F54" s="937" t="s">
        <v>397</v>
      </c>
      <c r="G54" s="930">
        <v>0.9</v>
      </c>
      <c r="H54" s="930">
        <v>0.39</v>
      </c>
      <c r="I54" s="930">
        <v>4.8</v>
      </c>
      <c r="J54" s="930">
        <v>5</v>
      </c>
      <c r="K54" s="931">
        <f t="shared" si="14"/>
        <v>4.0999999999999996</v>
      </c>
      <c r="L54" s="932">
        <v>0.18</v>
      </c>
      <c r="M54" s="940">
        <v>29112</v>
      </c>
      <c r="N54" s="933">
        <f t="shared" si="15"/>
        <v>28244.4624</v>
      </c>
      <c r="O54" s="914"/>
      <c r="P54" s="933"/>
      <c r="Q54" s="904">
        <f t="shared" si="16"/>
        <v>0</v>
      </c>
      <c r="R54" s="902">
        <f t="shared" si="10"/>
        <v>28244.4624</v>
      </c>
      <c r="S54" s="930"/>
    </row>
    <row r="55" spans="1:19" ht="27">
      <c r="A55" s="934"/>
      <c r="B55" s="935" t="s">
        <v>367</v>
      </c>
      <c r="C55" s="929" t="s">
        <v>398</v>
      </c>
      <c r="D55" s="936">
        <v>11</v>
      </c>
      <c r="E55" s="936"/>
      <c r="F55" s="937" t="s">
        <v>399</v>
      </c>
      <c r="G55" s="930">
        <v>6.5</v>
      </c>
      <c r="H55" s="930">
        <v>7</v>
      </c>
      <c r="I55" s="930">
        <v>13.5</v>
      </c>
      <c r="J55" s="938">
        <v>5</v>
      </c>
      <c r="K55" s="931">
        <f t="shared" si="14"/>
        <v>3.3499999999999996</v>
      </c>
      <c r="L55" s="932">
        <v>0.33</v>
      </c>
      <c r="M55" s="940">
        <v>32716</v>
      </c>
      <c r="N55" s="933">
        <f t="shared" si="15"/>
        <v>288227.96000000002</v>
      </c>
      <c r="O55" s="914"/>
      <c r="P55" s="933"/>
      <c r="Q55" s="904">
        <f t="shared" si="16"/>
        <v>0</v>
      </c>
      <c r="R55" s="902">
        <f t="shared" si="10"/>
        <v>288227.96000000002</v>
      </c>
      <c r="S55" s="930"/>
    </row>
    <row r="56" spans="1:19" ht="27">
      <c r="A56" s="934"/>
      <c r="B56" s="929" t="s">
        <v>367</v>
      </c>
      <c r="C56" s="929" t="s">
        <v>400</v>
      </c>
      <c r="D56" s="930">
        <v>5</v>
      </c>
      <c r="E56" s="930"/>
      <c r="F56" s="929" t="s">
        <v>401</v>
      </c>
      <c r="G56" s="930">
        <v>2.5</v>
      </c>
      <c r="H56" s="930">
        <v>2.5</v>
      </c>
      <c r="I56" s="930">
        <v>5</v>
      </c>
      <c r="J56" s="930">
        <v>4.5</v>
      </c>
      <c r="K56" s="931">
        <f t="shared" si="14"/>
        <v>2.25</v>
      </c>
      <c r="L56" s="932">
        <v>0.5</v>
      </c>
      <c r="M56" s="930"/>
      <c r="N56" s="933">
        <f t="shared" si="15"/>
        <v>0</v>
      </c>
      <c r="O56" s="914">
        <f t="shared" si="8"/>
        <v>5.625</v>
      </c>
      <c r="P56" s="930">
        <v>18</v>
      </c>
      <c r="Q56" s="904">
        <f t="shared" si="16"/>
        <v>101250</v>
      </c>
      <c r="R56" s="902">
        <f t="shared" si="10"/>
        <v>101250</v>
      </c>
      <c r="S56" s="930"/>
    </row>
    <row r="57" spans="1:19" ht="27">
      <c r="A57" s="934"/>
      <c r="B57" s="929" t="s">
        <v>367</v>
      </c>
      <c r="C57" s="929" t="s">
        <v>400</v>
      </c>
      <c r="D57" s="936">
        <v>7</v>
      </c>
      <c r="E57" s="936"/>
      <c r="F57" s="937" t="s">
        <v>401</v>
      </c>
      <c r="G57" s="930">
        <v>5.85</v>
      </c>
      <c r="H57" s="930">
        <v>6.25</v>
      </c>
      <c r="I57" s="930">
        <v>13.9</v>
      </c>
      <c r="J57" s="930">
        <v>4.5</v>
      </c>
      <c r="K57" s="931">
        <f t="shared" si="14"/>
        <v>1.9799999999999995</v>
      </c>
      <c r="L57" s="932">
        <v>0.56000000000000005</v>
      </c>
      <c r="M57" s="930"/>
      <c r="N57" s="933">
        <f t="shared" si="15"/>
        <v>0</v>
      </c>
      <c r="O57" s="914">
        <f t="shared" si="8"/>
        <v>14.742000000000001</v>
      </c>
      <c r="P57" s="930">
        <v>18</v>
      </c>
      <c r="Q57" s="904">
        <f t="shared" si="16"/>
        <v>265356</v>
      </c>
      <c r="R57" s="902">
        <f t="shared" si="10"/>
        <v>265356</v>
      </c>
      <c r="S57" s="930"/>
    </row>
    <row r="58" spans="1:19" ht="27">
      <c r="A58" s="934"/>
      <c r="B58" s="935" t="s">
        <v>121</v>
      </c>
      <c r="C58" s="929" t="s">
        <v>321</v>
      </c>
      <c r="D58" s="936">
        <v>1</v>
      </c>
      <c r="E58" s="936">
        <v>5</v>
      </c>
      <c r="F58" s="937" t="s">
        <v>401</v>
      </c>
      <c r="G58" s="930">
        <v>0.2</v>
      </c>
      <c r="H58" s="930">
        <v>0.8</v>
      </c>
      <c r="I58" s="930">
        <v>1</v>
      </c>
      <c r="J58" s="930">
        <v>5</v>
      </c>
      <c r="K58" s="931">
        <f t="shared" si="14"/>
        <v>4</v>
      </c>
      <c r="L58" s="932">
        <v>0.2</v>
      </c>
      <c r="M58" s="930"/>
      <c r="N58" s="933">
        <f t="shared" si="15"/>
        <v>0</v>
      </c>
      <c r="O58" s="914">
        <f t="shared" si="8"/>
        <v>0.2</v>
      </c>
      <c r="P58" s="930">
        <v>14</v>
      </c>
      <c r="Q58" s="904">
        <f t="shared" si="16"/>
        <v>2800</v>
      </c>
      <c r="R58" s="902">
        <f t="shared" si="10"/>
        <v>2800</v>
      </c>
      <c r="S58" s="930"/>
    </row>
    <row r="59" spans="1:19" ht="27">
      <c r="A59" s="934" t="s">
        <v>402</v>
      </c>
      <c r="B59" s="935" t="s">
        <v>403</v>
      </c>
      <c r="C59" s="929"/>
      <c r="D59" s="936">
        <v>121</v>
      </c>
      <c r="E59" s="936">
        <v>155</v>
      </c>
      <c r="F59" s="937" t="s">
        <v>386</v>
      </c>
      <c r="G59" s="930">
        <v>46.5</v>
      </c>
      <c r="H59" s="930">
        <v>104.5</v>
      </c>
      <c r="I59" s="930">
        <f>SUM(G59:H59)</f>
        <v>151</v>
      </c>
      <c r="J59" s="930">
        <v>4.5</v>
      </c>
      <c r="K59" s="931">
        <f t="shared" si="14"/>
        <v>3.1500000000000004</v>
      </c>
      <c r="L59" s="932">
        <v>0.3</v>
      </c>
      <c r="M59" s="933">
        <v>0</v>
      </c>
      <c r="N59" s="933">
        <f t="shared" si="15"/>
        <v>0</v>
      </c>
      <c r="O59" s="914">
        <f t="shared" si="8"/>
        <v>62.774999999999999</v>
      </c>
      <c r="P59" s="933">
        <v>17</v>
      </c>
      <c r="Q59" s="904">
        <f t="shared" si="16"/>
        <v>1067175</v>
      </c>
      <c r="R59" s="902">
        <f t="shared" si="10"/>
        <v>1067175</v>
      </c>
      <c r="S59" s="930"/>
    </row>
    <row r="60" spans="1:19" ht="27">
      <c r="A60" s="934" t="s">
        <v>404</v>
      </c>
      <c r="B60" s="935" t="s">
        <v>405</v>
      </c>
      <c r="C60" s="929" t="s">
        <v>385</v>
      </c>
      <c r="D60" s="930">
        <v>10</v>
      </c>
      <c r="E60" s="930">
        <v>17.05</v>
      </c>
      <c r="F60" s="929" t="s">
        <v>320</v>
      </c>
      <c r="G60" s="930">
        <v>5.25</v>
      </c>
      <c r="H60" s="930">
        <v>11.8</v>
      </c>
      <c r="I60" s="930">
        <v>17.05</v>
      </c>
      <c r="J60" s="930">
        <v>4</v>
      </c>
      <c r="K60" s="931">
        <f t="shared" si="14"/>
        <v>3.4</v>
      </c>
      <c r="L60" s="932">
        <v>0.15</v>
      </c>
      <c r="M60" s="930"/>
      <c r="N60" s="933">
        <f t="shared" si="15"/>
        <v>0</v>
      </c>
      <c r="O60" s="914">
        <f t="shared" si="8"/>
        <v>3.15</v>
      </c>
      <c r="P60" s="933">
        <v>17</v>
      </c>
      <c r="Q60" s="904">
        <f t="shared" si="16"/>
        <v>53550</v>
      </c>
      <c r="R60" s="902">
        <f t="shared" si="10"/>
        <v>53550</v>
      </c>
      <c r="S60" s="930"/>
    </row>
    <row r="61" spans="1:19" ht="27">
      <c r="A61" s="934"/>
      <c r="B61" s="935" t="s">
        <v>406</v>
      </c>
      <c r="C61" s="929"/>
      <c r="D61" s="936">
        <v>8</v>
      </c>
      <c r="E61" s="936">
        <v>11.5</v>
      </c>
      <c r="F61" s="937" t="s">
        <v>320</v>
      </c>
      <c r="G61" s="936">
        <v>7.5</v>
      </c>
      <c r="H61" s="936">
        <v>4</v>
      </c>
      <c r="I61" s="936">
        <v>11.5</v>
      </c>
      <c r="J61" s="936">
        <v>12</v>
      </c>
      <c r="K61" s="931">
        <f t="shared" si="14"/>
        <v>6.6</v>
      </c>
      <c r="L61" s="941">
        <v>0.45</v>
      </c>
      <c r="M61" s="925">
        <v>16800</v>
      </c>
      <c r="N61" s="933">
        <f t="shared" si="15"/>
        <v>156240</v>
      </c>
      <c r="O61" s="914"/>
      <c r="P61" s="936"/>
      <c r="Q61" s="904">
        <f t="shared" si="16"/>
        <v>0</v>
      </c>
      <c r="R61" s="902">
        <f t="shared" si="10"/>
        <v>156240</v>
      </c>
      <c r="S61" s="930"/>
    </row>
    <row r="62" spans="1:19" ht="27">
      <c r="A62" s="934"/>
      <c r="B62" s="942" t="s">
        <v>367</v>
      </c>
      <c r="C62" s="929"/>
      <c r="D62" s="936">
        <v>5</v>
      </c>
      <c r="E62" s="936">
        <v>7.5</v>
      </c>
      <c r="F62" s="937" t="s">
        <v>160</v>
      </c>
      <c r="G62" s="936">
        <v>2.0499999999999998</v>
      </c>
      <c r="H62" s="936">
        <v>5.45</v>
      </c>
      <c r="I62" s="936">
        <v>7.5</v>
      </c>
      <c r="J62" s="936">
        <v>4</v>
      </c>
      <c r="K62" s="931">
        <f t="shared" si="14"/>
        <v>3.2800000000000002</v>
      </c>
      <c r="L62" s="941">
        <v>0.18</v>
      </c>
      <c r="M62" s="925">
        <v>25050</v>
      </c>
      <c r="N62" s="933">
        <f t="shared" si="15"/>
        <v>75926.549999999988</v>
      </c>
      <c r="O62" s="914"/>
      <c r="P62" s="936"/>
      <c r="Q62" s="904">
        <f t="shared" si="16"/>
        <v>0</v>
      </c>
      <c r="R62" s="902">
        <f t="shared" si="10"/>
        <v>75926.549999999988</v>
      </c>
      <c r="S62" s="930"/>
    </row>
    <row r="63" spans="1:19" ht="27">
      <c r="A63" s="934"/>
      <c r="B63" s="929" t="s">
        <v>406</v>
      </c>
      <c r="C63" s="929"/>
      <c r="D63" s="936">
        <v>10</v>
      </c>
      <c r="E63" s="936">
        <v>10.85</v>
      </c>
      <c r="F63" s="937" t="s">
        <v>160</v>
      </c>
      <c r="G63" s="936">
        <v>10.050000000000001</v>
      </c>
      <c r="H63" s="936">
        <v>0.8</v>
      </c>
      <c r="I63" s="936">
        <v>10.85</v>
      </c>
      <c r="J63" s="943">
        <v>12</v>
      </c>
      <c r="K63" s="931">
        <f t="shared" si="14"/>
        <v>9.6</v>
      </c>
      <c r="L63" s="944">
        <v>0.2</v>
      </c>
      <c r="M63" s="933">
        <v>25050</v>
      </c>
      <c r="N63" s="933">
        <f t="shared" si="15"/>
        <v>255760.50000000003</v>
      </c>
      <c r="O63" s="914"/>
      <c r="P63" s="925">
        <v>0</v>
      </c>
      <c r="Q63" s="904">
        <f t="shared" si="16"/>
        <v>0</v>
      </c>
      <c r="R63" s="902">
        <f t="shared" si="10"/>
        <v>255760.50000000003</v>
      </c>
      <c r="S63" s="930"/>
    </row>
    <row r="64" spans="1:19" ht="27">
      <c r="A64" s="934"/>
      <c r="B64" s="935" t="s">
        <v>367</v>
      </c>
      <c r="C64" s="929"/>
      <c r="D64" s="936">
        <v>73</v>
      </c>
      <c r="E64" s="936">
        <v>112.3</v>
      </c>
      <c r="F64" s="937" t="s">
        <v>170</v>
      </c>
      <c r="G64" s="936">
        <v>63.375</v>
      </c>
      <c r="H64" s="936">
        <v>48.924999999999997</v>
      </c>
      <c r="I64" s="936">
        <v>112.3</v>
      </c>
      <c r="J64" s="943">
        <v>4</v>
      </c>
      <c r="K64" s="931">
        <f t="shared" si="14"/>
        <v>3</v>
      </c>
      <c r="L64" s="944">
        <v>0.25</v>
      </c>
      <c r="M64" s="925">
        <v>0</v>
      </c>
      <c r="N64" s="933">
        <f t="shared" si="15"/>
        <v>0</v>
      </c>
      <c r="O64" s="914">
        <f t="shared" si="8"/>
        <v>63.375</v>
      </c>
      <c r="P64" s="925">
        <v>17.3</v>
      </c>
      <c r="Q64" s="904">
        <f t="shared" si="16"/>
        <v>1096387.5</v>
      </c>
      <c r="R64" s="902">
        <f t="shared" si="10"/>
        <v>1096387.5</v>
      </c>
      <c r="S64" s="930"/>
    </row>
    <row r="65" spans="1:19" ht="27">
      <c r="A65" s="934"/>
      <c r="B65" s="935" t="s">
        <v>406</v>
      </c>
      <c r="C65" s="929"/>
      <c r="D65" s="930">
        <v>17</v>
      </c>
      <c r="E65" s="930">
        <v>29.75</v>
      </c>
      <c r="F65" s="929" t="s">
        <v>170</v>
      </c>
      <c r="G65" s="930">
        <v>12.950000000000001</v>
      </c>
      <c r="H65" s="930">
        <v>16.8</v>
      </c>
      <c r="I65" s="930">
        <v>29.75</v>
      </c>
      <c r="J65" s="943">
        <v>4</v>
      </c>
      <c r="K65" s="931">
        <f t="shared" si="14"/>
        <v>3</v>
      </c>
      <c r="L65" s="932">
        <v>0.25</v>
      </c>
      <c r="M65" s="933">
        <v>0</v>
      </c>
      <c r="N65" s="933">
        <f t="shared" si="15"/>
        <v>0</v>
      </c>
      <c r="O65" s="914">
        <f t="shared" si="8"/>
        <v>12.950000000000001</v>
      </c>
      <c r="P65" s="925">
        <v>17.3</v>
      </c>
      <c r="Q65" s="904">
        <f t="shared" si="16"/>
        <v>224035.00000000003</v>
      </c>
      <c r="R65" s="902">
        <f t="shared" si="10"/>
        <v>224035.00000000003</v>
      </c>
      <c r="S65" s="930"/>
    </row>
    <row r="66" spans="1:19" ht="27">
      <c r="A66" s="945"/>
      <c r="B66" s="946" t="s">
        <v>367</v>
      </c>
      <c r="C66" s="929"/>
      <c r="D66" s="930">
        <v>107</v>
      </c>
      <c r="E66" s="930">
        <v>158.10000000000002</v>
      </c>
      <c r="F66" s="929" t="s">
        <v>158</v>
      </c>
      <c r="G66" s="930">
        <v>75.84</v>
      </c>
      <c r="H66" s="930">
        <v>82.259999999999991</v>
      </c>
      <c r="I66" s="930">
        <v>158.10000000000002</v>
      </c>
      <c r="J66" s="943">
        <v>4</v>
      </c>
      <c r="K66" s="931">
        <f t="shared" si="14"/>
        <v>3.2</v>
      </c>
      <c r="L66" s="932">
        <v>0.2</v>
      </c>
      <c r="M66" s="933">
        <v>0</v>
      </c>
      <c r="N66" s="933">
        <f t="shared" si="15"/>
        <v>0</v>
      </c>
      <c r="O66" s="914">
        <f t="shared" si="8"/>
        <v>60.672000000000004</v>
      </c>
      <c r="P66" s="925">
        <v>17.3</v>
      </c>
      <c r="Q66" s="904">
        <f t="shared" si="16"/>
        <v>1049625.6000000001</v>
      </c>
      <c r="R66" s="902">
        <f t="shared" si="10"/>
        <v>1049625.6000000001</v>
      </c>
      <c r="S66" s="930"/>
    </row>
    <row r="67" spans="1:19" ht="27">
      <c r="A67" s="945"/>
      <c r="B67" s="946" t="s">
        <v>406</v>
      </c>
      <c r="C67" s="929"/>
      <c r="D67" s="936">
        <v>2</v>
      </c>
      <c r="E67" s="936">
        <v>4</v>
      </c>
      <c r="F67" s="937" t="s">
        <v>158</v>
      </c>
      <c r="G67" s="936">
        <v>1.4</v>
      </c>
      <c r="H67" s="936">
        <v>2.6</v>
      </c>
      <c r="I67" s="936">
        <v>4</v>
      </c>
      <c r="J67" s="943">
        <v>4</v>
      </c>
      <c r="K67" s="931">
        <f t="shared" si="14"/>
        <v>2.4</v>
      </c>
      <c r="L67" s="944">
        <v>0.4</v>
      </c>
      <c r="M67" s="925">
        <v>0</v>
      </c>
      <c r="N67" s="933">
        <f t="shared" si="15"/>
        <v>0</v>
      </c>
      <c r="O67" s="914">
        <f t="shared" si="8"/>
        <v>2.2399999999999998</v>
      </c>
      <c r="P67" s="925">
        <v>17.3</v>
      </c>
      <c r="Q67" s="904">
        <f t="shared" si="16"/>
        <v>38751.999999999993</v>
      </c>
      <c r="R67" s="902">
        <f t="shared" si="10"/>
        <v>38751.999999999993</v>
      </c>
      <c r="S67" s="930"/>
    </row>
    <row r="68" spans="1:19" ht="27">
      <c r="A68" s="947" t="s">
        <v>407</v>
      </c>
      <c r="B68" s="942" t="s">
        <v>121</v>
      </c>
      <c r="C68" s="929" t="s">
        <v>408</v>
      </c>
      <c r="D68" s="936">
        <v>3</v>
      </c>
      <c r="E68" s="936">
        <v>2.25</v>
      </c>
      <c r="F68" s="937" t="s">
        <v>409</v>
      </c>
      <c r="G68" s="936"/>
      <c r="H68" s="936">
        <v>1.8</v>
      </c>
      <c r="I68" s="936">
        <v>1.8</v>
      </c>
      <c r="J68" s="936">
        <v>4.5</v>
      </c>
      <c r="K68" s="931">
        <f t="shared" si="14"/>
        <v>0.89999999999999991</v>
      </c>
      <c r="L68" s="944">
        <v>0.8</v>
      </c>
      <c r="M68" s="925">
        <v>9000</v>
      </c>
      <c r="N68" s="933">
        <f t="shared" si="15"/>
        <v>12960</v>
      </c>
      <c r="O68" s="914"/>
      <c r="P68" s="925">
        <v>0</v>
      </c>
      <c r="Q68" s="904">
        <f t="shared" si="16"/>
        <v>0</v>
      </c>
      <c r="R68" s="902">
        <f t="shared" si="10"/>
        <v>12960</v>
      </c>
      <c r="S68" s="930"/>
    </row>
    <row r="69" spans="1:19" ht="27">
      <c r="A69" s="947"/>
      <c r="B69" s="942" t="s">
        <v>121</v>
      </c>
      <c r="C69" s="929" t="s">
        <v>408</v>
      </c>
      <c r="D69" s="936">
        <v>11</v>
      </c>
      <c r="E69" s="936">
        <v>5</v>
      </c>
      <c r="F69" s="937"/>
      <c r="G69" s="936"/>
      <c r="H69" s="936">
        <v>3.6</v>
      </c>
      <c r="I69" s="936">
        <v>3.6</v>
      </c>
      <c r="J69" s="936">
        <v>4.5</v>
      </c>
      <c r="K69" s="931">
        <f t="shared" si="14"/>
        <v>0.89999999999999991</v>
      </c>
      <c r="L69" s="941">
        <v>0.8</v>
      </c>
      <c r="M69" s="925">
        <v>43188</v>
      </c>
      <c r="N69" s="948">
        <f>(M69*G69)+(M69*L69*H69)</f>
        <v>124381.44</v>
      </c>
      <c r="O69" s="914"/>
      <c r="P69" s="925"/>
      <c r="Q69" s="904">
        <f t="shared" si="16"/>
        <v>0</v>
      </c>
      <c r="R69" s="902">
        <f t="shared" si="10"/>
        <v>124381.44</v>
      </c>
      <c r="S69" s="930"/>
    </row>
    <row r="70" spans="1:19" ht="27">
      <c r="A70" s="947"/>
      <c r="B70" s="942" t="s">
        <v>121</v>
      </c>
      <c r="C70" s="929" t="s">
        <v>408</v>
      </c>
      <c r="D70" s="936">
        <v>13</v>
      </c>
      <c r="E70" s="936">
        <v>11</v>
      </c>
      <c r="F70" s="937"/>
      <c r="G70" s="936"/>
      <c r="H70" s="936">
        <v>8.8000000000000007</v>
      </c>
      <c r="I70" s="936">
        <v>8.8000000000000007</v>
      </c>
      <c r="J70" s="936">
        <v>4.5</v>
      </c>
      <c r="K70" s="931">
        <f t="shared" si="14"/>
        <v>0.89999999999999991</v>
      </c>
      <c r="L70" s="944">
        <v>0.8</v>
      </c>
      <c r="M70" s="925"/>
      <c r="N70" s="933">
        <f t="shared" si="15"/>
        <v>0</v>
      </c>
      <c r="O70" s="914">
        <f t="shared" ref="O70:O73" si="18">G70*J70*L70</f>
        <v>0</v>
      </c>
      <c r="P70" s="925">
        <v>17.3</v>
      </c>
      <c r="Q70" s="904">
        <f t="shared" si="16"/>
        <v>0</v>
      </c>
      <c r="R70" s="902">
        <f t="shared" si="10"/>
        <v>0</v>
      </c>
      <c r="S70" s="930"/>
    </row>
    <row r="71" spans="1:19" ht="27">
      <c r="A71" s="929" t="s">
        <v>410</v>
      </c>
      <c r="B71" s="929" t="s">
        <v>121</v>
      </c>
      <c r="C71" s="937"/>
      <c r="D71" s="936">
        <v>117</v>
      </c>
      <c r="E71" s="936">
        <v>142.59</v>
      </c>
      <c r="F71" s="937" t="s">
        <v>160</v>
      </c>
      <c r="G71" s="936"/>
      <c r="H71" s="936">
        <v>130.59</v>
      </c>
      <c r="I71" s="936">
        <v>130.59</v>
      </c>
      <c r="J71" s="936">
        <v>4.5</v>
      </c>
      <c r="K71" s="931">
        <f t="shared" si="14"/>
        <v>3.6</v>
      </c>
      <c r="L71" s="941">
        <v>0.19999999999999998</v>
      </c>
      <c r="M71" s="925">
        <v>25500</v>
      </c>
      <c r="N71" s="933">
        <f t="shared" si="15"/>
        <v>666009</v>
      </c>
      <c r="O71" s="914"/>
      <c r="P71" s="925"/>
      <c r="Q71" s="904">
        <f t="shared" si="16"/>
        <v>0</v>
      </c>
      <c r="R71" s="902">
        <f t="shared" si="10"/>
        <v>666009</v>
      </c>
      <c r="S71" s="930"/>
    </row>
    <row r="72" spans="1:19" ht="27">
      <c r="A72" s="929"/>
      <c r="B72" s="929" t="s">
        <v>121</v>
      </c>
      <c r="C72" s="937"/>
      <c r="D72" s="936">
        <v>42</v>
      </c>
      <c r="E72" s="936">
        <v>44.55</v>
      </c>
      <c r="F72" s="937" t="s">
        <v>170</v>
      </c>
      <c r="G72" s="936"/>
      <c r="H72" s="936">
        <v>44.55</v>
      </c>
      <c r="I72" s="936">
        <v>44.55</v>
      </c>
      <c r="J72" s="936">
        <v>4.5</v>
      </c>
      <c r="K72" s="931">
        <f t="shared" si="14"/>
        <v>3.15</v>
      </c>
      <c r="L72" s="941">
        <v>0.30000000000000004</v>
      </c>
      <c r="M72" s="925"/>
      <c r="N72" s="933">
        <f t="shared" si="15"/>
        <v>0</v>
      </c>
      <c r="O72" s="914">
        <f t="shared" si="18"/>
        <v>0</v>
      </c>
      <c r="P72" s="925">
        <v>17.7</v>
      </c>
      <c r="Q72" s="904">
        <f t="shared" si="16"/>
        <v>0</v>
      </c>
      <c r="R72" s="902">
        <f t="shared" si="10"/>
        <v>0</v>
      </c>
      <c r="S72" s="930"/>
    </row>
    <row r="73" spans="1:19" ht="27">
      <c r="A73" s="929"/>
      <c r="B73" s="929" t="s">
        <v>121</v>
      </c>
      <c r="C73" s="937"/>
      <c r="D73" s="936">
        <v>52</v>
      </c>
      <c r="E73" s="936">
        <v>97.18</v>
      </c>
      <c r="F73" s="937" t="s">
        <v>158</v>
      </c>
      <c r="G73" s="936"/>
      <c r="H73" s="936">
        <v>97.18</v>
      </c>
      <c r="I73" s="936">
        <v>97.18</v>
      </c>
      <c r="J73" s="936">
        <v>4.5</v>
      </c>
      <c r="K73" s="931">
        <f t="shared" si="14"/>
        <v>3.375</v>
      </c>
      <c r="L73" s="941">
        <v>0.25</v>
      </c>
      <c r="M73" s="925"/>
      <c r="N73" s="933">
        <f t="shared" si="15"/>
        <v>0</v>
      </c>
      <c r="O73" s="914">
        <f t="shared" si="18"/>
        <v>0</v>
      </c>
      <c r="P73" s="925">
        <v>17.7</v>
      </c>
      <c r="Q73" s="904">
        <f t="shared" si="16"/>
        <v>0</v>
      </c>
      <c r="R73" s="902">
        <f t="shared" si="10"/>
        <v>0</v>
      </c>
      <c r="S73" s="930"/>
    </row>
    <row r="74" spans="1:19" ht="27">
      <c r="A74" s="905" t="s">
        <v>411</v>
      </c>
      <c r="B74" s="949">
        <f>SUM(B75:B76)</f>
        <v>0</v>
      </c>
      <c r="C74" s="949">
        <f t="shared" ref="C74" si="19">SUM(C75:C76)</f>
        <v>0</v>
      </c>
      <c r="D74" s="907">
        <f>SUM(D83:D88)</f>
        <v>405</v>
      </c>
      <c r="E74" s="908">
        <f t="shared" ref="E74:I74" si="20">SUM(E83:E88)</f>
        <v>1073.9000000000001</v>
      </c>
      <c r="F74" s="908">
        <f t="shared" si="20"/>
        <v>0</v>
      </c>
      <c r="G74" s="908">
        <f t="shared" si="20"/>
        <v>400.625</v>
      </c>
      <c r="H74" s="908">
        <f t="shared" si="20"/>
        <v>673.27499999999998</v>
      </c>
      <c r="I74" s="908">
        <f t="shared" si="20"/>
        <v>1073.9000000000001</v>
      </c>
      <c r="J74" s="908">
        <f>AVERAGE(J83:J88)</f>
        <v>4.833333333333333</v>
      </c>
      <c r="K74" s="908">
        <f t="shared" ref="K74:M74" si="21">AVERAGE(K83:K88)</f>
        <v>2.8163333333333331</v>
      </c>
      <c r="L74" s="909">
        <f t="shared" si="21"/>
        <v>0.41666666666666669</v>
      </c>
      <c r="M74" s="908">
        <f t="shared" si="21"/>
        <v>11150</v>
      </c>
      <c r="N74" s="908">
        <f>SUM(N83:N88)</f>
        <v>1782565.075</v>
      </c>
      <c r="O74" s="908">
        <f t="shared" ref="O74:R74" si="22">SUM(O83:O88)</f>
        <v>0</v>
      </c>
      <c r="P74" s="908">
        <f t="shared" si="22"/>
        <v>0</v>
      </c>
      <c r="Q74" s="908">
        <f t="shared" si="22"/>
        <v>0</v>
      </c>
      <c r="R74" s="908">
        <f t="shared" si="22"/>
        <v>1782565.075</v>
      </c>
      <c r="S74" s="897"/>
    </row>
    <row r="75" spans="1:19" ht="27">
      <c r="A75" s="897" t="s">
        <v>412</v>
      </c>
      <c r="B75" s="922"/>
      <c r="C75" s="897" t="s">
        <v>312</v>
      </c>
      <c r="D75" s="950"/>
      <c r="E75" s="933">
        <v>5</v>
      </c>
      <c r="F75" s="901" t="s">
        <v>413</v>
      </c>
      <c r="G75" s="914">
        <f t="shared" si="3"/>
        <v>2.25</v>
      </c>
      <c r="H75" s="914">
        <f t="shared" si="4"/>
        <v>2.75</v>
      </c>
      <c r="I75" s="933">
        <v>5</v>
      </c>
      <c r="J75" s="951">
        <v>4.76</v>
      </c>
      <c r="K75" s="931">
        <f>J75-(J75*L75)</f>
        <v>2.6179999999999999</v>
      </c>
      <c r="L75" s="923">
        <v>0.45</v>
      </c>
      <c r="M75" s="933">
        <v>17200</v>
      </c>
      <c r="N75" s="933">
        <f t="shared" ref="N75:N78" si="23">(M75*G75)+(M75*L75*H75)</f>
        <v>59985</v>
      </c>
      <c r="O75" s="910"/>
      <c r="P75" s="901"/>
      <c r="Q75" s="904"/>
      <c r="R75" s="952">
        <f>N75</f>
        <v>59985</v>
      </c>
      <c r="S75" s="897"/>
    </row>
    <row r="76" spans="1:19" ht="27">
      <c r="A76" s="897" t="s">
        <v>414</v>
      </c>
      <c r="B76" s="922"/>
      <c r="C76" s="897" t="s">
        <v>312</v>
      </c>
      <c r="D76" s="950">
        <v>130</v>
      </c>
      <c r="E76" s="933">
        <v>805</v>
      </c>
      <c r="F76" s="901" t="s">
        <v>415</v>
      </c>
      <c r="G76" s="914">
        <f t="shared" si="3"/>
        <v>281.75</v>
      </c>
      <c r="H76" s="914">
        <f t="shared" si="4"/>
        <v>523.25</v>
      </c>
      <c r="I76" s="933">
        <f>H76+G76</f>
        <v>805</v>
      </c>
      <c r="J76" s="951">
        <v>4.3099999999999996</v>
      </c>
      <c r="K76" s="931">
        <f t="shared" ref="K76:K91" si="24">J76-(J76*L76)</f>
        <v>2.8014999999999999</v>
      </c>
      <c r="L76" s="923">
        <v>0.35</v>
      </c>
      <c r="M76" s="933">
        <v>17200</v>
      </c>
      <c r="N76" s="933">
        <v>172000</v>
      </c>
      <c r="O76" s="910"/>
      <c r="P76" s="901"/>
      <c r="Q76" s="904"/>
      <c r="R76" s="952">
        <f t="shared" ref="R76:R81" si="25">N76</f>
        <v>172000</v>
      </c>
      <c r="S76" s="897"/>
    </row>
    <row r="77" spans="1:19" ht="27">
      <c r="A77" s="897"/>
      <c r="B77" s="922"/>
      <c r="C77" s="897" t="s">
        <v>312</v>
      </c>
      <c r="D77" s="950">
        <v>152</v>
      </c>
      <c r="E77" s="933">
        <v>233.2</v>
      </c>
      <c r="F77" s="901" t="s">
        <v>413</v>
      </c>
      <c r="G77" s="914">
        <f t="shared" si="3"/>
        <v>104.94</v>
      </c>
      <c r="H77" s="914">
        <f t="shared" si="4"/>
        <v>128.26</v>
      </c>
      <c r="I77" s="933">
        <f>H77+G77</f>
        <v>233.2</v>
      </c>
      <c r="J77" s="951">
        <v>4.5</v>
      </c>
      <c r="K77" s="931">
        <f t="shared" si="24"/>
        <v>2.4750000000000001</v>
      </c>
      <c r="L77" s="923">
        <v>0.45</v>
      </c>
      <c r="M77" s="933">
        <v>8100</v>
      </c>
      <c r="N77" s="933">
        <f t="shared" si="23"/>
        <v>1317521.7</v>
      </c>
      <c r="O77" s="910"/>
      <c r="P77" s="901"/>
      <c r="Q77" s="904"/>
      <c r="R77" s="952">
        <f t="shared" si="25"/>
        <v>1317521.7</v>
      </c>
      <c r="S77" s="897"/>
    </row>
    <row r="78" spans="1:19" ht="27">
      <c r="A78" s="897" t="s">
        <v>416</v>
      </c>
      <c r="B78" s="922"/>
      <c r="C78" s="897" t="s">
        <v>312</v>
      </c>
      <c r="D78" s="950">
        <v>10</v>
      </c>
      <c r="E78" s="933">
        <v>2.5</v>
      </c>
      <c r="F78" s="901" t="s">
        <v>413</v>
      </c>
      <c r="G78" s="914">
        <f t="shared" si="3"/>
        <v>1.125</v>
      </c>
      <c r="H78" s="914">
        <f t="shared" si="4"/>
        <v>1.375</v>
      </c>
      <c r="I78" s="933">
        <f>H78+G78</f>
        <v>2.5</v>
      </c>
      <c r="J78" s="951">
        <v>5.09</v>
      </c>
      <c r="K78" s="931">
        <f t="shared" si="24"/>
        <v>2.7994999999999997</v>
      </c>
      <c r="L78" s="923">
        <v>0.45</v>
      </c>
      <c r="M78" s="933">
        <v>8100</v>
      </c>
      <c r="N78" s="933">
        <f t="shared" si="23"/>
        <v>14124.375</v>
      </c>
      <c r="O78" s="910"/>
      <c r="P78" s="901"/>
      <c r="Q78" s="904"/>
      <c r="R78" s="952">
        <f t="shared" si="25"/>
        <v>14124.375</v>
      </c>
      <c r="S78" s="897"/>
    </row>
    <row r="79" spans="1:19" ht="27">
      <c r="A79" s="897" t="s">
        <v>417</v>
      </c>
      <c r="B79" s="922"/>
      <c r="C79" s="897" t="s">
        <v>312</v>
      </c>
      <c r="D79" s="953">
        <v>85</v>
      </c>
      <c r="E79" s="954">
        <v>21.3</v>
      </c>
      <c r="F79" s="955" t="s">
        <v>123</v>
      </c>
      <c r="G79" s="914">
        <f t="shared" si="3"/>
        <v>7.4550000000000001</v>
      </c>
      <c r="H79" s="914">
        <f t="shared" si="4"/>
        <v>13.845000000000001</v>
      </c>
      <c r="I79" s="933">
        <f>H79+G79</f>
        <v>21.3</v>
      </c>
      <c r="J79" s="951">
        <v>5.17</v>
      </c>
      <c r="K79" s="931">
        <f t="shared" si="24"/>
        <v>3.3605</v>
      </c>
      <c r="L79" s="923">
        <v>0.35</v>
      </c>
      <c r="M79" s="933">
        <v>9500</v>
      </c>
      <c r="N79" s="933">
        <v>190119</v>
      </c>
      <c r="O79" s="910"/>
      <c r="P79" s="901"/>
      <c r="Q79" s="904"/>
      <c r="R79" s="952">
        <f t="shared" si="25"/>
        <v>190119</v>
      </c>
      <c r="S79" s="897"/>
    </row>
    <row r="80" spans="1:19" ht="27">
      <c r="A80" s="897"/>
      <c r="B80" s="922"/>
      <c r="C80" s="897" t="s">
        <v>312</v>
      </c>
      <c r="D80" s="953">
        <v>28</v>
      </c>
      <c r="E80" s="954">
        <v>6.9</v>
      </c>
      <c r="F80" s="955" t="s">
        <v>413</v>
      </c>
      <c r="G80" s="914">
        <f t="shared" si="3"/>
        <v>3.1050000000000004</v>
      </c>
      <c r="H80" s="914">
        <f t="shared" si="4"/>
        <v>3.7949999999999999</v>
      </c>
      <c r="I80" s="933">
        <v>6.9</v>
      </c>
      <c r="J80" s="951">
        <v>5.17</v>
      </c>
      <c r="K80" s="931">
        <f t="shared" si="24"/>
        <v>2.8434999999999997</v>
      </c>
      <c r="L80" s="923">
        <v>0.45</v>
      </c>
      <c r="M80" s="933">
        <v>6800</v>
      </c>
      <c r="N80" s="951">
        <v>28815</v>
      </c>
      <c r="O80" s="910"/>
      <c r="P80" s="951"/>
      <c r="Q80" s="903"/>
      <c r="R80" s="952">
        <f t="shared" si="25"/>
        <v>28815</v>
      </c>
      <c r="S80" s="897"/>
    </row>
    <row r="81" spans="1:19" ht="27">
      <c r="A81" s="897"/>
      <c r="B81" s="897"/>
      <c r="C81" s="897"/>
      <c r="D81" s="953"/>
      <c r="E81" s="954"/>
      <c r="F81" s="955"/>
      <c r="G81" s="901"/>
      <c r="H81" s="901"/>
      <c r="I81" s="933"/>
      <c r="J81" s="901"/>
      <c r="K81" s="931">
        <f t="shared" si="24"/>
        <v>0</v>
      </c>
      <c r="L81" s="901"/>
      <c r="M81" s="933"/>
      <c r="N81" s="901"/>
      <c r="O81" s="910"/>
      <c r="P81" s="901"/>
      <c r="Q81" s="897"/>
      <c r="R81" s="952">
        <f t="shared" si="25"/>
        <v>0</v>
      </c>
      <c r="S81" s="897"/>
    </row>
    <row r="82" spans="1:19" ht="27">
      <c r="A82" s="897"/>
      <c r="B82" s="897"/>
      <c r="C82" s="897"/>
      <c r="D82" s="953"/>
      <c r="E82" s="954"/>
      <c r="F82" s="955"/>
      <c r="G82" s="901"/>
      <c r="H82" s="901"/>
      <c r="I82" s="933"/>
      <c r="J82" s="901"/>
      <c r="K82" s="931">
        <f t="shared" si="24"/>
        <v>0</v>
      </c>
      <c r="L82" s="901"/>
      <c r="M82" s="933"/>
      <c r="N82" s="901"/>
      <c r="O82" s="910"/>
      <c r="P82" s="901"/>
      <c r="Q82" s="897"/>
      <c r="R82" s="952">
        <f>SUM(N82,Q82)</f>
        <v>0</v>
      </c>
      <c r="S82" s="897"/>
    </row>
    <row r="83" spans="1:19" ht="27">
      <c r="A83" s="897" t="s">
        <v>412</v>
      </c>
      <c r="B83" s="922"/>
      <c r="C83" s="897" t="s">
        <v>312</v>
      </c>
      <c r="D83" s="950"/>
      <c r="E83" s="933">
        <v>5</v>
      </c>
      <c r="F83" s="901" t="s">
        <v>413</v>
      </c>
      <c r="G83" s="914">
        <f t="shared" ref="G83:G88" si="26">E83-H83</f>
        <v>2.25</v>
      </c>
      <c r="H83" s="914">
        <f t="shared" ref="H83:H88" si="27">E83-(E83*L83)</f>
        <v>2.75</v>
      </c>
      <c r="I83" s="933">
        <v>5</v>
      </c>
      <c r="J83" s="951">
        <v>4.76</v>
      </c>
      <c r="K83" s="931">
        <f>J83-(J83*L83)</f>
        <v>2.6179999999999999</v>
      </c>
      <c r="L83" s="923">
        <v>0.45</v>
      </c>
      <c r="M83" s="933">
        <v>17200</v>
      </c>
      <c r="N83" s="933">
        <f t="shared" ref="N83:N86" si="28">(M83*G83)+(M83*L83*H83)</f>
        <v>59985</v>
      </c>
      <c r="O83" s="910"/>
      <c r="P83" s="901"/>
      <c r="Q83" s="904"/>
      <c r="R83" s="952">
        <f>N83</f>
        <v>59985</v>
      </c>
      <c r="S83" s="897" t="s">
        <v>418</v>
      </c>
    </row>
    <row r="84" spans="1:19" ht="27">
      <c r="A84" s="897" t="s">
        <v>414</v>
      </c>
      <c r="B84" s="922"/>
      <c r="C84" s="897" t="s">
        <v>312</v>
      </c>
      <c r="D84" s="950">
        <v>130</v>
      </c>
      <c r="E84" s="933">
        <v>805</v>
      </c>
      <c r="F84" s="901" t="s">
        <v>415</v>
      </c>
      <c r="G84" s="914">
        <f t="shared" si="26"/>
        <v>281.75</v>
      </c>
      <c r="H84" s="914">
        <f t="shared" si="27"/>
        <v>523.25</v>
      </c>
      <c r="I84" s="933">
        <f>H84+G84</f>
        <v>805</v>
      </c>
      <c r="J84" s="951">
        <v>4.3099999999999996</v>
      </c>
      <c r="K84" s="931">
        <f t="shared" ref="K84:K88" si="29">J84-(J84*L84)</f>
        <v>2.8014999999999999</v>
      </c>
      <c r="L84" s="923">
        <v>0.35</v>
      </c>
      <c r="M84" s="933">
        <v>17200</v>
      </c>
      <c r="N84" s="933">
        <v>172000</v>
      </c>
      <c r="O84" s="910"/>
      <c r="P84" s="901"/>
      <c r="Q84" s="904"/>
      <c r="R84" s="952">
        <f t="shared" ref="R84:R88" si="30">N84</f>
        <v>172000</v>
      </c>
      <c r="S84" s="897"/>
    </row>
    <row r="85" spans="1:19" ht="27">
      <c r="A85" s="897"/>
      <c r="B85" s="922"/>
      <c r="C85" s="897" t="s">
        <v>312</v>
      </c>
      <c r="D85" s="950">
        <v>152</v>
      </c>
      <c r="E85" s="933">
        <v>233.2</v>
      </c>
      <c r="F85" s="901" t="s">
        <v>413</v>
      </c>
      <c r="G85" s="914">
        <f t="shared" si="26"/>
        <v>104.94</v>
      </c>
      <c r="H85" s="914">
        <f t="shared" si="27"/>
        <v>128.26</v>
      </c>
      <c r="I85" s="933">
        <f>H85+G85</f>
        <v>233.2</v>
      </c>
      <c r="J85" s="951">
        <v>4.5</v>
      </c>
      <c r="K85" s="931">
        <f t="shared" si="29"/>
        <v>2.4750000000000001</v>
      </c>
      <c r="L85" s="923">
        <v>0.45</v>
      </c>
      <c r="M85" s="933">
        <v>8100</v>
      </c>
      <c r="N85" s="933">
        <f t="shared" si="28"/>
        <v>1317521.7</v>
      </c>
      <c r="O85" s="910"/>
      <c r="P85" s="901"/>
      <c r="Q85" s="904"/>
      <c r="R85" s="952">
        <f t="shared" si="30"/>
        <v>1317521.7</v>
      </c>
      <c r="S85" s="897"/>
    </row>
    <row r="86" spans="1:19" ht="27">
      <c r="A86" s="897" t="s">
        <v>416</v>
      </c>
      <c r="B86" s="922"/>
      <c r="C86" s="897" t="s">
        <v>312</v>
      </c>
      <c r="D86" s="950">
        <v>10</v>
      </c>
      <c r="E86" s="933">
        <v>2.5</v>
      </c>
      <c r="F86" s="901" t="s">
        <v>413</v>
      </c>
      <c r="G86" s="914">
        <f t="shared" si="26"/>
        <v>1.125</v>
      </c>
      <c r="H86" s="914">
        <f t="shared" si="27"/>
        <v>1.375</v>
      </c>
      <c r="I86" s="933">
        <f>H86+G86</f>
        <v>2.5</v>
      </c>
      <c r="J86" s="951">
        <v>5.09</v>
      </c>
      <c r="K86" s="931">
        <f t="shared" si="29"/>
        <v>2.7994999999999997</v>
      </c>
      <c r="L86" s="923">
        <v>0.45</v>
      </c>
      <c r="M86" s="933">
        <v>8100</v>
      </c>
      <c r="N86" s="933">
        <f t="shared" si="28"/>
        <v>14124.375</v>
      </c>
      <c r="O86" s="910"/>
      <c r="P86" s="901"/>
      <c r="Q86" s="904"/>
      <c r="R86" s="952">
        <f t="shared" si="30"/>
        <v>14124.375</v>
      </c>
      <c r="S86" s="897"/>
    </row>
    <row r="87" spans="1:19" ht="27">
      <c r="A87" s="897" t="s">
        <v>417</v>
      </c>
      <c r="B87" s="922"/>
      <c r="C87" s="897" t="s">
        <v>312</v>
      </c>
      <c r="D87" s="953">
        <v>85</v>
      </c>
      <c r="E87" s="954">
        <v>21.3</v>
      </c>
      <c r="F87" s="955" t="s">
        <v>123</v>
      </c>
      <c r="G87" s="914">
        <f t="shared" si="26"/>
        <v>7.4550000000000001</v>
      </c>
      <c r="H87" s="914">
        <f t="shared" si="27"/>
        <v>13.845000000000001</v>
      </c>
      <c r="I87" s="933">
        <f>H87+G87</f>
        <v>21.3</v>
      </c>
      <c r="J87" s="951">
        <v>5.17</v>
      </c>
      <c r="K87" s="931">
        <f t="shared" si="29"/>
        <v>3.3605</v>
      </c>
      <c r="L87" s="923">
        <v>0.35</v>
      </c>
      <c r="M87" s="933">
        <v>9500</v>
      </c>
      <c r="N87" s="933">
        <v>190119</v>
      </c>
      <c r="O87" s="910"/>
      <c r="P87" s="901"/>
      <c r="Q87" s="904"/>
      <c r="R87" s="952">
        <f t="shared" si="30"/>
        <v>190119</v>
      </c>
      <c r="S87" s="897"/>
    </row>
    <row r="88" spans="1:19" ht="27">
      <c r="A88" s="897"/>
      <c r="B88" s="922"/>
      <c r="C88" s="897" t="s">
        <v>312</v>
      </c>
      <c r="D88" s="953">
        <v>28</v>
      </c>
      <c r="E88" s="954">
        <v>6.9</v>
      </c>
      <c r="F88" s="955" t="s">
        <v>413</v>
      </c>
      <c r="G88" s="914">
        <f t="shared" si="26"/>
        <v>3.1050000000000004</v>
      </c>
      <c r="H88" s="914">
        <f t="shared" si="27"/>
        <v>3.7949999999999999</v>
      </c>
      <c r="I88" s="933">
        <v>6.9</v>
      </c>
      <c r="J88" s="951">
        <v>5.17</v>
      </c>
      <c r="K88" s="931">
        <f t="shared" si="29"/>
        <v>2.8434999999999997</v>
      </c>
      <c r="L88" s="923">
        <v>0.45</v>
      </c>
      <c r="M88" s="933">
        <v>6800</v>
      </c>
      <c r="N88" s="951">
        <v>28815</v>
      </c>
      <c r="O88" s="910"/>
      <c r="P88" s="951"/>
      <c r="Q88" s="903"/>
      <c r="R88" s="952">
        <f t="shared" si="30"/>
        <v>28815</v>
      </c>
      <c r="S88" s="897"/>
    </row>
    <row r="89" spans="1:19" ht="27">
      <c r="A89" s="897"/>
      <c r="B89" s="897"/>
      <c r="C89" s="897"/>
      <c r="D89" s="953"/>
      <c r="E89" s="954"/>
      <c r="F89" s="955"/>
      <c r="G89" s="901"/>
      <c r="H89" s="901"/>
      <c r="I89" s="933"/>
      <c r="J89" s="901"/>
      <c r="K89" s="931">
        <f t="shared" si="24"/>
        <v>0</v>
      </c>
      <c r="L89" s="901"/>
      <c r="M89" s="933"/>
      <c r="N89" s="901"/>
      <c r="O89" s="910"/>
      <c r="P89" s="901"/>
      <c r="Q89" s="897"/>
      <c r="R89" s="897"/>
      <c r="S89" s="897"/>
    </row>
    <row r="90" spans="1:19" ht="27">
      <c r="A90" s="897"/>
      <c r="B90" s="897"/>
      <c r="C90" s="897"/>
      <c r="D90" s="953"/>
      <c r="E90" s="954"/>
      <c r="F90" s="955"/>
      <c r="G90" s="901"/>
      <c r="H90" s="901"/>
      <c r="I90" s="933"/>
      <c r="J90" s="901"/>
      <c r="K90" s="931">
        <f t="shared" si="24"/>
        <v>0</v>
      </c>
      <c r="L90" s="901"/>
      <c r="M90" s="933"/>
      <c r="N90" s="901"/>
      <c r="O90" s="910"/>
      <c r="P90" s="901"/>
      <c r="Q90" s="897"/>
      <c r="R90" s="897"/>
      <c r="S90" s="897"/>
    </row>
    <row r="91" spans="1:19" ht="27.75" thickBot="1">
      <c r="A91" s="956"/>
      <c r="B91" s="956"/>
      <c r="C91" s="956"/>
      <c r="D91" s="957"/>
      <c r="E91" s="958"/>
      <c r="F91" s="959"/>
      <c r="G91" s="960"/>
      <c r="H91" s="960"/>
      <c r="I91" s="961"/>
      <c r="J91" s="960"/>
      <c r="K91" s="962">
        <f t="shared" si="24"/>
        <v>0</v>
      </c>
      <c r="L91" s="960"/>
      <c r="M91" s="961"/>
      <c r="N91" s="963"/>
      <c r="O91" s="964"/>
      <c r="P91" s="963"/>
      <c r="Q91" s="965"/>
      <c r="R91" s="965"/>
      <c r="S91" s="966"/>
    </row>
    <row r="92" spans="1:19" ht="27.75" thickBot="1">
      <c r="A92" s="967" t="s">
        <v>25</v>
      </c>
      <c r="B92" s="968">
        <f t="shared" ref="B92:I92" si="31">SUM(B74,B40,B18)</f>
        <v>0</v>
      </c>
      <c r="C92" s="968">
        <f t="shared" si="31"/>
        <v>0</v>
      </c>
      <c r="D92" s="969">
        <f t="shared" si="31"/>
        <v>8833.6666666666679</v>
      </c>
      <c r="E92" s="969">
        <f t="shared" si="31"/>
        <v>15660.55</v>
      </c>
      <c r="F92" s="969">
        <f t="shared" si="31"/>
        <v>0</v>
      </c>
      <c r="G92" s="969">
        <f t="shared" si="31"/>
        <v>6086.5825000000004</v>
      </c>
      <c r="H92" s="969">
        <f t="shared" si="31"/>
        <v>8270.4575000000004</v>
      </c>
      <c r="I92" s="969">
        <f t="shared" si="31"/>
        <v>14362.35</v>
      </c>
      <c r="J92" s="969">
        <f>AVERAGE(J74,J40,J18)</f>
        <v>4.5158585858585854</v>
      </c>
      <c r="K92" s="970">
        <f>AVERAGE(K74,K40,K18)</f>
        <v>2.533966810966811</v>
      </c>
      <c r="L92" s="971">
        <f>AVERAGE(L74,L40,L18)</f>
        <v>0.44404040404040407</v>
      </c>
      <c r="M92" s="969">
        <f t="shared" ref="M92:R92" si="32">SUM(M74,M40,M18)</f>
        <v>53470.705882352944</v>
      </c>
      <c r="N92" s="969">
        <f t="shared" si="32"/>
        <v>14663891.281528572</v>
      </c>
      <c r="O92" s="969">
        <f t="shared" si="32"/>
        <v>388.52222800000004</v>
      </c>
      <c r="P92" s="969">
        <f t="shared" si="32"/>
        <v>486.90000000000003</v>
      </c>
      <c r="Q92" s="969">
        <f t="shared" si="32"/>
        <v>12124468.994999999</v>
      </c>
      <c r="R92" s="969">
        <f t="shared" si="32"/>
        <v>248267554.23909998</v>
      </c>
      <c r="S92" s="972">
        <f>SUM(S18:S91)</f>
        <v>0</v>
      </c>
    </row>
    <row r="93" spans="1:19" ht="23.25">
      <c r="A93" s="973"/>
      <c r="B93" s="973"/>
      <c r="C93" s="973"/>
      <c r="D93" s="974"/>
      <c r="E93" s="975"/>
      <c r="F93" s="976"/>
      <c r="G93" s="973"/>
      <c r="H93" s="977"/>
      <c r="I93" s="978"/>
      <c r="J93" s="973"/>
      <c r="K93" s="979"/>
      <c r="L93" s="973"/>
      <c r="M93" s="978"/>
      <c r="N93" s="865"/>
      <c r="O93" s="865"/>
      <c r="P93" s="865"/>
      <c r="Q93" s="865"/>
      <c r="R93" s="865"/>
      <c r="S93" s="973"/>
    </row>
    <row r="94" spans="1:19" ht="35.25">
      <c r="A94" s="980"/>
      <c r="B94" s="980"/>
      <c r="C94" s="980"/>
      <c r="D94" s="981"/>
      <c r="E94" s="982"/>
      <c r="F94" s="983"/>
      <c r="G94" s="980"/>
      <c r="H94" s="984"/>
      <c r="I94" s="985"/>
      <c r="J94" s="980"/>
      <c r="K94" s="986"/>
      <c r="L94" s="980"/>
      <c r="M94" s="985"/>
      <c r="N94" s="987"/>
      <c r="O94" s="987"/>
      <c r="P94" s="987"/>
      <c r="Q94" s="987"/>
      <c r="R94" s="987"/>
      <c r="S94" s="980"/>
    </row>
    <row r="95" spans="1:19" ht="25.5">
      <c r="A95" s="988"/>
      <c r="B95" s="989"/>
      <c r="C95" s="990"/>
      <c r="D95" s="991"/>
      <c r="E95" s="992"/>
      <c r="F95" s="989"/>
      <c r="G95" s="991"/>
      <c r="H95" s="991"/>
      <c r="I95" s="991"/>
      <c r="J95" s="991"/>
      <c r="K95" s="991"/>
      <c r="L95" s="993"/>
      <c r="M95" s="993"/>
      <c r="N95" s="994"/>
      <c r="O95" s="993"/>
      <c r="P95" s="993"/>
      <c r="Q95" s="993"/>
      <c r="R95" s="994"/>
      <c r="S95" s="989"/>
    </row>
    <row r="96" spans="1:19" ht="34.5">
      <c r="A96" s="995" t="s">
        <v>128</v>
      </c>
      <c r="B96" s="996"/>
      <c r="C96" s="997"/>
      <c r="D96" s="998"/>
      <c r="E96" s="999"/>
      <c r="F96" s="1000"/>
      <c r="G96" s="996"/>
      <c r="H96" s="1001"/>
      <c r="I96" s="1002"/>
      <c r="J96" s="996"/>
      <c r="K96" s="1003"/>
      <c r="L96" s="1000" t="s">
        <v>419</v>
      </c>
      <c r="M96" s="1004"/>
      <c r="N96" s="1005"/>
      <c r="O96" s="1006"/>
      <c r="P96" s="1006"/>
      <c r="Q96" s="1006"/>
      <c r="R96" s="1006"/>
      <c r="S96" s="996"/>
    </row>
    <row r="97" spans="1:19" ht="34.5">
      <c r="A97" s="1000"/>
      <c r="B97" s="996"/>
      <c r="C97" s="997"/>
      <c r="D97" s="998"/>
      <c r="E97" s="999"/>
      <c r="F97" s="1000"/>
      <c r="G97" s="996"/>
      <c r="H97" s="1001"/>
      <c r="I97" s="1002"/>
      <c r="J97" s="996"/>
      <c r="K97" s="1003"/>
      <c r="L97" s="1005"/>
      <c r="M97" s="1002"/>
      <c r="N97" s="1005"/>
      <c r="O97" s="1006"/>
      <c r="P97" s="1006"/>
      <c r="Q97" s="1006"/>
      <c r="R97" s="1006"/>
      <c r="S97" s="996"/>
    </row>
    <row r="98" spans="1:19" ht="34.5">
      <c r="A98" s="996"/>
      <c r="B98" s="996"/>
      <c r="C98" s="997"/>
      <c r="D98" s="998"/>
      <c r="E98" s="999"/>
      <c r="F98" s="1000"/>
      <c r="G98" s="996"/>
      <c r="H98" s="1001"/>
      <c r="I98" s="1002"/>
      <c r="J98" s="996"/>
      <c r="K98" s="1003"/>
      <c r="L98" s="996"/>
      <c r="M98" s="1002"/>
      <c r="N98" s="1006"/>
      <c r="O98" s="1006"/>
      <c r="P98" s="1006"/>
      <c r="Q98" s="1006"/>
      <c r="R98" s="1006"/>
      <c r="S98" s="996"/>
    </row>
    <row r="99" spans="1:19" ht="34.5">
      <c r="A99" s="996"/>
      <c r="B99" s="996"/>
      <c r="C99" s="997"/>
      <c r="D99" s="998"/>
      <c r="E99" s="999"/>
      <c r="F99" s="1000"/>
      <c r="G99" s="996"/>
      <c r="H99" s="1001"/>
      <c r="I99" s="1002"/>
      <c r="J99" s="996"/>
      <c r="K99" s="1003"/>
      <c r="L99" s="996"/>
      <c r="M99" s="1002"/>
      <c r="N99" s="1006"/>
      <c r="O99" s="1006"/>
      <c r="P99" s="1006"/>
      <c r="Q99" s="1006"/>
      <c r="R99" s="1006"/>
      <c r="S99" s="996"/>
    </row>
    <row r="100" spans="1:19" ht="34.5">
      <c r="A100" s="996"/>
      <c r="B100" s="996"/>
      <c r="C100" s="997"/>
      <c r="D100" s="998"/>
      <c r="E100" s="999"/>
      <c r="F100" s="1000"/>
      <c r="G100" s="996"/>
      <c r="H100" s="1001"/>
      <c r="I100" s="1002"/>
      <c r="J100" s="996"/>
      <c r="K100" s="1003"/>
      <c r="L100" s="996"/>
      <c r="M100" s="1002"/>
      <c r="N100" s="1006"/>
      <c r="O100" s="1006"/>
      <c r="P100" s="1006"/>
      <c r="Q100" s="1006"/>
      <c r="R100" s="1006"/>
      <c r="S100" s="996"/>
    </row>
    <row r="101" spans="1:19" ht="34.5">
      <c r="A101" s="996" t="s">
        <v>420</v>
      </c>
      <c r="B101" s="996"/>
      <c r="C101" s="997"/>
      <c r="D101" s="998"/>
      <c r="E101" s="999"/>
      <c r="F101" s="1000"/>
      <c r="G101" s="996"/>
      <c r="H101" s="1001"/>
      <c r="I101" s="1002"/>
      <c r="J101" s="996"/>
      <c r="K101" s="1003"/>
      <c r="L101" s="996" t="s">
        <v>421</v>
      </c>
      <c r="M101" s="1002"/>
      <c r="N101" s="1006"/>
      <c r="O101" s="1006"/>
      <c r="P101" s="1006"/>
      <c r="Q101" s="1006"/>
      <c r="R101" s="1006"/>
      <c r="S101" s="996"/>
    </row>
    <row r="102" spans="1:19" ht="34.5">
      <c r="A102" s="1007" t="s">
        <v>422</v>
      </c>
      <c r="B102" s="1007"/>
      <c r="C102" s="997"/>
      <c r="D102" s="998"/>
      <c r="E102" s="999"/>
      <c r="F102" s="1000"/>
      <c r="G102" s="996"/>
      <c r="H102" s="1001"/>
      <c r="I102" s="1002"/>
      <c r="J102" s="996"/>
      <c r="K102" s="1003"/>
      <c r="L102" s="1007" t="s">
        <v>423</v>
      </c>
      <c r="M102" s="1002"/>
      <c r="N102" s="1006"/>
      <c r="O102" s="1006"/>
      <c r="P102" s="1006"/>
      <c r="Q102" s="1006"/>
      <c r="R102" s="1006"/>
      <c r="S102" s="996"/>
    </row>
    <row r="103" spans="1:19" ht="34.5">
      <c r="A103" s="996"/>
      <c r="B103" s="996"/>
      <c r="C103" s="997"/>
      <c r="D103" s="998"/>
      <c r="E103" s="999"/>
      <c r="F103" s="1000"/>
      <c r="G103" s="996"/>
      <c r="H103" s="1001"/>
      <c r="I103" s="1002"/>
      <c r="J103" s="996"/>
      <c r="K103" s="1003"/>
      <c r="L103" s="996"/>
      <c r="M103" s="1002"/>
      <c r="N103" s="1006"/>
      <c r="O103" s="1006"/>
      <c r="P103" s="1006"/>
      <c r="Q103" s="1006"/>
      <c r="R103" s="1006"/>
      <c r="S103" s="996"/>
    </row>
    <row r="104" spans="1:19" ht="34.5">
      <c r="A104" s="996"/>
      <c r="B104" s="996"/>
      <c r="C104" s="997"/>
      <c r="D104" s="998"/>
      <c r="E104" s="999"/>
      <c r="F104" s="1000"/>
      <c r="G104" s="996"/>
      <c r="H104" s="1001"/>
      <c r="I104" s="1002"/>
      <c r="J104" s="996"/>
      <c r="K104" s="1003"/>
      <c r="L104" s="996"/>
      <c r="M104" s="1002"/>
      <c r="N104" s="1006"/>
      <c r="O104" s="1006"/>
      <c r="P104" s="1006"/>
      <c r="Q104" s="1006"/>
      <c r="R104" s="1006"/>
      <c r="S104" s="996"/>
    </row>
    <row r="105" spans="1:19" ht="34.5">
      <c r="A105" s="996"/>
      <c r="B105" s="996"/>
      <c r="C105" s="997"/>
      <c r="D105" s="998"/>
      <c r="E105" s="999"/>
      <c r="F105" s="1000"/>
      <c r="G105" s="996"/>
      <c r="H105" s="1001"/>
      <c r="I105" s="1002"/>
      <c r="J105" s="996"/>
      <c r="K105" s="1003"/>
      <c r="L105" s="996"/>
      <c r="M105" s="1002"/>
      <c r="N105" s="1006"/>
      <c r="O105" s="1006"/>
      <c r="P105" s="1006"/>
      <c r="Q105" s="1006"/>
      <c r="R105" s="1006"/>
      <c r="S105" s="996"/>
    </row>
    <row r="106" spans="1:19" ht="34.5">
      <c r="A106" s="1005"/>
      <c r="B106" s="996"/>
      <c r="C106" s="997"/>
      <c r="D106" s="998"/>
      <c r="E106" s="999"/>
      <c r="F106" s="1000"/>
      <c r="G106" s="996"/>
      <c r="H106" s="1001"/>
      <c r="I106" s="1002"/>
      <c r="J106" s="996"/>
      <c r="K106" s="1003"/>
      <c r="L106" s="1005"/>
      <c r="M106" s="1005"/>
      <c r="N106" s="1006"/>
      <c r="O106" s="1006"/>
      <c r="P106" s="1006"/>
      <c r="Q106" s="1006"/>
      <c r="R106" s="1006"/>
      <c r="S106" s="996"/>
    </row>
    <row r="107" spans="1:19" ht="34.5">
      <c r="A107" s="995" t="s">
        <v>129</v>
      </c>
      <c r="B107" s="996"/>
      <c r="C107" s="997"/>
      <c r="D107" s="998"/>
      <c r="E107" s="999"/>
      <c r="F107" s="1000"/>
      <c r="G107" s="996"/>
      <c r="H107" s="1001"/>
      <c r="I107" s="1002"/>
      <c r="J107" s="996"/>
      <c r="K107" s="1003"/>
      <c r="L107" s="1000"/>
      <c r="M107" s="1002"/>
      <c r="N107" s="1006"/>
      <c r="O107" s="1006"/>
      <c r="P107" s="1006"/>
      <c r="Q107" s="1006"/>
      <c r="R107" s="1006"/>
      <c r="S107" s="996"/>
    </row>
    <row r="108" spans="1:19" ht="34.5">
      <c r="A108" s="1008"/>
      <c r="B108" s="1009"/>
      <c r="C108" s="1010"/>
      <c r="D108" s="1011"/>
      <c r="E108" s="1002"/>
      <c r="F108" s="1006"/>
      <c r="G108" s="1006"/>
      <c r="H108" s="1006"/>
      <c r="I108" s="1002"/>
      <c r="J108" s="1006"/>
      <c r="K108" s="1003"/>
      <c r="L108" s="1006"/>
      <c r="M108" s="1002"/>
      <c r="N108" s="1006"/>
      <c r="O108" s="1006"/>
      <c r="P108" s="1006"/>
      <c r="Q108" s="1006"/>
      <c r="R108" s="1006"/>
      <c r="S108" s="1006"/>
    </row>
    <row r="109" spans="1:19" ht="34.5">
      <c r="A109" s="2105"/>
      <c r="B109" s="2105"/>
      <c r="C109" s="2105"/>
      <c r="D109" s="2105"/>
      <c r="E109" s="2105"/>
      <c r="F109" s="2105"/>
      <c r="G109" s="2105"/>
      <c r="H109" s="2105"/>
      <c r="I109" s="2105"/>
      <c r="J109" s="2105"/>
      <c r="K109" s="2105"/>
      <c r="L109" s="2105"/>
      <c r="M109" s="2105"/>
      <c r="N109" s="2105"/>
      <c r="O109" s="1012"/>
      <c r="P109" s="1012"/>
      <c r="Q109" s="1012"/>
      <c r="R109" s="1013"/>
      <c r="S109" s="1014"/>
    </row>
    <row r="110" spans="1:19" ht="34.5">
      <c r="A110" s="1008" t="s">
        <v>424</v>
      </c>
      <c r="B110" s="1014"/>
      <c r="C110" s="1015"/>
      <c r="D110" s="1016"/>
      <c r="E110" s="1017"/>
      <c r="F110" s="1014"/>
      <c r="G110" s="1016"/>
      <c r="H110" s="1016"/>
      <c r="I110" s="1016"/>
      <c r="J110" s="1016"/>
      <c r="K110" s="1016"/>
      <c r="L110" s="1016"/>
      <c r="M110" s="1018"/>
      <c r="N110" s="1018"/>
      <c r="O110" s="1016"/>
      <c r="P110" s="1016"/>
      <c r="Q110" s="1016"/>
      <c r="R110" s="1018"/>
      <c r="S110" s="1014"/>
    </row>
    <row r="111" spans="1:19" ht="34.5">
      <c r="A111" s="1019" t="s">
        <v>425</v>
      </c>
      <c r="B111" s="1020"/>
      <c r="C111" s="1020"/>
      <c r="D111" s="1021"/>
      <c r="E111" s="1022"/>
      <c r="F111" s="1023"/>
      <c r="G111" s="1023"/>
      <c r="H111" s="1023"/>
      <c r="I111" s="1024"/>
      <c r="J111" s="1023"/>
      <c r="K111" s="1025"/>
      <c r="L111" s="1023"/>
      <c r="M111" s="1024"/>
      <c r="N111" s="1023"/>
      <c r="O111" s="1023"/>
      <c r="P111" s="1023"/>
      <c r="Q111" s="1023"/>
      <c r="R111" s="1023"/>
      <c r="S111" s="1023"/>
    </row>
    <row r="114" spans="1:19" ht="23.25">
      <c r="A114" s="2097" t="s">
        <v>519</v>
      </c>
      <c r="B114" s="2097"/>
      <c r="C114" s="2097"/>
      <c r="D114" s="2097"/>
      <c r="E114" s="2097"/>
      <c r="F114" s="2097"/>
      <c r="G114" s="2097"/>
      <c r="H114" s="2097"/>
      <c r="I114" s="2097"/>
      <c r="J114" s="2097"/>
      <c r="K114" s="2097"/>
      <c r="L114" s="2097"/>
      <c r="M114" s="2097"/>
      <c r="N114" s="2097"/>
      <c r="O114" s="2097"/>
      <c r="P114" s="2097"/>
      <c r="Q114" s="2097"/>
      <c r="R114" s="2097"/>
      <c r="S114" s="2097"/>
    </row>
    <row r="115" spans="1:19" ht="23.25">
      <c r="A115" s="2097" t="s">
        <v>359</v>
      </c>
      <c r="B115" s="2097"/>
      <c r="C115" s="2097"/>
      <c r="D115" s="2097"/>
      <c r="E115" s="2097"/>
      <c r="F115" s="2097"/>
      <c r="G115" s="2097"/>
      <c r="H115" s="2097"/>
      <c r="I115" s="2097"/>
      <c r="J115" s="2097"/>
      <c r="K115" s="2097"/>
      <c r="L115" s="2097"/>
      <c r="M115" s="2097"/>
      <c r="N115" s="2097"/>
      <c r="O115" s="2097"/>
      <c r="P115" s="2097"/>
      <c r="Q115" s="2097"/>
      <c r="R115" s="2097"/>
      <c r="S115" s="2097"/>
    </row>
    <row r="116" spans="1:19" ht="25.5" customHeight="1">
      <c r="A116" s="2097" t="s">
        <v>360</v>
      </c>
      <c r="B116" s="2097"/>
      <c r="C116" s="2097"/>
      <c r="D116" s="2097"/>
      <c r="E116" s="2097"/>
      <c r="F116" s="2097"/>
      <c r="G116" s="2097"/>
      <c r="H116" s="2097"/>
      <c r="I116" s="2097"/>
      <c r="J116" s="2097"/>
      <c r="K116" s="2097"/>
      <c r="L116" s="2097"/>
      <c r="M116" s="2097"/>
      <c r="N116" s="2097"/>
      <c r="O116" s="2097"/>
      <c r="P116" s="2097"/>
      <c r="Q116" s="2097"/>
      <c r="R116" s="2097"/>
      <c r="S116" s="2097"/>
    </row>
    <row r="117" spans="1:19" ht="25.5" customHeight="1">
      <c r="A117" s="2097" t="s">
        <v>361</v>
      </c>
      <c r="B117" s="2097"/>
      <c r="C117" s="2097"/>
      <c r="D117" s="2097"/>
      <c r="E117" s="2097"/>
      <c r="F117" s="2097"/>
      <c r="G117" s="2097"/>
      <c r="H117" s="2097"/>
      <c r="I117" s="2097"/>
      <c r="J117" s="2097"/>
      <c r="K117" s="2097"/>
      <c r="L117" s="2097"/>
      <c r="M117" s="2097"/>
      <c r="N117" s="2097"/>
      <c r="O117" s="2097"/>
      <c r="P117" s="2097"/>
      <c r="Q117" s="2097"/>
      <c r="R117" s="2097"/>
      <c r="S117" s="2097"/>
    </row>
    <row r="118" spans="1:19" ht="23.25">
      <c r="A118" s="2098" t="s">
        <v>307</v>
      </c>
      <c r="B118" s="2098"/>
      <c r="C118" s="2098"/>
      <c r="D118" s="2098"/>
      <c r="E118" s="2098"/>
      <c r="F118" s="2098"/>
      <c r="G118" s="2098"/>
      <c r="H118" s="2098"/>
      <c r="I118" s="2098"/>
      <c r="J118" s="2098"/>
      <c r="K118" s="2098"/>
      <c r="L118" s="2098"/>
      <c r="M118" s="2098"/>
      <c r="N118" s="2098"/>
      <c r="O118" s="2098"/>
      <c r="P118" s="2098"/>
      <c r="Q118" s="2098"/>
      <c r="R118" s="2098"/>
      <c r="S118" s="2098"/>
    </row>
    <row r="119" spans="1:19" s="582" customFormat="1" ht="23.25">
      <c r="A119" s="1195"/>
      <c r="B119" s="1195"/>
      <c r="C119" s="1195"/>
      <c r="D119" s="1195"/>
      <c r="E119" s="1195"/>
      <c r="F119" s="1195"/>
      <c r="G119" s="1195"/>
      <c r="H119" s="1195"/>
      <c r="I119" s="1195"/>
      <c r="J119" s="1195"/>
      <c r="K119" s="1195"/>
      <c r="L119" s="1195"/>
      <c r="M119" s="1195"/>
      <c r="N119" s="1195"/>
      <c r="O119" s="1195"/>
      <c r="P119" s="1195"/>
      <c r="Q119" s="1195"/>
      <c r="R119" s="1195"/>
      <c r="S119" s="1195"/>
    </row>
    <row r="120" spans="1:19" s="582" customFormat="1" ht="23.25">
      <c r="A120" s="1195"/>
      <c r="B120" s="1195"/>
      <c r="C120" s="1195"/>
      <c r="D120" s="1195"/>
      <c r="E120" s="1195"/>
      <c r="F120" s="1195"/>
      <c r="G120" s="1195"/>
      <c r="H120" s="1195"/>
      <c r="I120" s="1195"/>
      <c r="J120" s="1195"/>
      <c r="K120" s="1195"/>
      <c r="L120" s="1195"/>
      <c r="M120" s="1195"/>
      <c r="N120" s="1195"/>
      <c r="O120" s="1195"/>
      <c r="P120" s="1195"/>
      <c r="Q120" s="1195"/>
      <c r="R120" s="1195"/>
      <c r="S120" s="1195"/>
    </row>
    <row r="121" spans="1:19" s="582" customFormat="1" ht="23.25">
      <c r="A121" s="1195"/>
      <c r="B121" s="1195"/>
      <c r="C121" s="1195"/>
      <c r="D121" s="1195"/>
      <c r="E121" s="1195"/>
      <c r="F121" s="1195"/>
      <c r="G121" s="1195"/>
      <c r="H121" s="1195"/>
      <c r="I121" s="1195"/>
      <c r="J121" s="1195"/>
      <c r="K121" s="1195"/>
      <c r="L121" s="1195"/>
      <c r="M121" s="1195"/>
      <c r="N121" s="1195"/>
      <c r="O121" s="1195"/>
      <c r="P121" s="1195"/>
      <c r="Q121" s="1195"/>
      <c r="R121" s="1195"/>
      <c r="S121" s="1195"/>
    </row>
    <row r="122" spans="1:19" ht="25.5">
      <c r="A122" s="1026" t="s">
        <v>101</v>
      </c>
      <c r="B122" s="1027" t="s">
        <v>102</v>
      </c>
      <c r="C122" s="1028" t="s">
        <v>103</v>
      </c>
      <c r="D122" s="1029" t="s">
        <v>104</v>
      </c>
      <c r="E122" s="1030" t="s">
        <v>105</v>
      </c>
      <c r="F122" s="1027" t="s">
        <v>106</v>
      </c>
      <c r="G122" s="1029" t="s">
        <v>107</v>
      </c>
      <c r="H122" s="1029" t="s">
        <v>108</v>
      </c>
      <c r="I122" s="1029" t="s">
        <v>109</v>
      </c>
      <c r="J122" s="1029" t="s">
        <v>110</v>
      </c>
      <c r="K122" s="1029" t="s">
        <v>111</v>
      </c>
      <c r="L122" s="1031" t="s">
        <v>112</v>
      </c>
      <c r="M122" s="1029" t="s">
        <v>113</v>
      </c>
      <c r="N122" s="1032" t="s">
        <v>114</v>
      </c>
      <c r="O122" s="1029" t="s">
        <v>115</v>
      </c>
      <c r="P122" s="1029" t="s">
        <v>116</v>
      </c>
      <c r="Q122" s="1029" t="s">
        <v>117</v>
      </c>
      <c r="R122" s="1032" t="s">
        <v>118</v>
      </c>
      <c r="S122" s="1027" t="s">
        <v>119</v>
      </c>
    </row>
    <row r="123" spans="1:19" ht="25.5">
      <c r="A123" s="1033"/>
      <c r="B123" s="1034"/>
      <c r="C123" s="1035"/>
      <c r="D123" s="1036"/>
      <c r="E123" s="1037"/>
      <c r="F123" s="1034"/>
      <c r="G123" s="1036"/>
      <c r="H123" s="1036"/>
      <c r="I123" s="1036"/>
      <c r="J123" s="1036"/>
      <c r="K123" s="1036"/>
      <c r="L123" s="1038"/>
      <c r="M123" s="1036"/>
      <c r="N123" s="1039"/>
      <c r="O123" s="1036"/>
      <c r="P123" s="1036"/>
      <c r="Q123" s="1036"/>
      <c r="R123" s="1039"/>
      <c r="S123" s="1034"/>
    </row>
    <row r="124" spans="1:19" ht="25.5">
      <c r="A124" s="1040" t="s">
        <v>60</v>
      </c>
      <c r="B124" s="1041">
        <f>SUM(B125:B137)</f>
        <v>0</v>
      </c>
      <c r="C124" s="1042" t="s">
        <v>322</v>
      </c>
      <c r="D124" s="1043">
        <f>SUM(D125:D142)</f>
        <v>4931</v>
      </c>
      <c r="E124" s="1044">
        <f t="shared" ref="E124:I124" si="33">SUM(E125:E142)</f>
        <v>16160.9</v>
      </c>
      <c r="F124" s="1044">
        <f t="shared" si="33"/>
        <v>0</v>
      </c>
      <c r="G124" s="1044">
        <f>SUM(G125:G142)</f>
        <v>11614.125000000002</v>
      </c>
      <c r="H124" s="1044">
        <f t="shared" si="33"/>
        <v>4546.7749999999996</v>
      </c>
      <c r="I124" s="1044">
        <f t="shared" si="33"/>
        <v>13519.15</v>
      </c>
      <c r="J124" s="1044">
        <f>AVERAGE(J125:J142)</f>
        <v>2.75</v>
      </c>
      <c r="K124" s="1044">
        <f t="shared" ref="K124:P124" si="34">AVERAGE(K125:K142)</f>
        <v>0.83611111111111114</v>
      </c>
      <c r="L124" s="1045">
        <f t="shared" si="34"/>
        <v>0.70000000000000007</v>
      </c>
      <c r="M124" s="1044">
        <f t="shared" si="34"/>
        <v>27563.333333333332</v>
      </c>
      <c r="N124" s="1044">
        <f t="shared" si="34"/>
        <v>14435101.302083334</v>
      </c>
      <c r="O124" s="1044">
        <f>AVERAGE(O125:O142)</f>
        <v>1401.5100000000002</v>
      </c>
      <c r="P124" s="1044">
        <f t="shared" si="34"/>
        <v>12</v>
      </c>
      <c r="Q124" s="1044">
        <f>SUM(Q125:Q142)</f>
        <v>100908720</v>
      </c>
      <c r="R124" s="1044">
        <f>SUM(R125:R142)</f>
        <v>360740543.4375</v>
      </c>
      <c r="S124" s="1046" t="s">
        <v>364</v>
      </c>
    </row>
    <row r="125" spans="1:19" ht="33.75">
      <c r="A125" s="1047" t="s">
        <v>154</v>
      </c>
      <c r="B125" s="1034"/>
      <c r="C125" s="1035"/>
      <c r="D125" s="1048">
        <v>241</v>
      </c>
      <c r="E125" s="1049">
        <v>461.5</v>
      </c>
      <c r="F125" s="1050" t="s">
        <v>156</v>
      </c>
      <c r="G125" s="1051">
        <f>E125-H125</f>
        <v>346.125</v>
      </c>
      <c r="H125" s="1051">
        <f>E125-(E125*L125)</f>
        <v>115.375</v>
      </c>
      <c r="I125" s="1051">
        <f>SUM(H125,G125)</f>
        <v>461.5</v>
      </c>
      <c r="J125" s="1052">
        <v>3</v>
      </c>
      <c r="K125" s="1053">
        <f>J125-(J125*L125)</f>
        <v>0.75</v>
      </c>
      <c r="L125" s="1054">
        <v>0.75</v>
      </c>
      <c r="M125" s="1055">
        <v>23530</v>
      </c>
      <c r="N125" s="1051">
        <f>(M125*G125)+(M125*L125*H125)</f>
        <v>10180401.5625</v>
      </c>
      <c r="O125" s="1050"/>
      <c r="P125" s="1050"/>
      <c r="Q125" s="1050"/>
      <c r="R125" s="1051">
        <f t="shared" ref="R125:R142" si="35">SUM(N125,Q125)</f>
        <v>10180401.5625</v>
      </c>
      <c r="S125" s="1035" t="s">
        <v>426</v>
      </c>
    </row>
    <row r="126" spans="1:19" ht="33.75">
      <c r="A126" s="1047" t="s">
        <v>157</v>
      </c>
      <c r="B126" s="1034"/>
      <c r="C126" s="1035"/>
      <c r="D126" s="1056">
        <v>228</v>
      </c>
      <c r="E126" s="1049">
        <v>1837</v>
      </c>
      <c r="F126" s="1050" t="s">
        <v>158</v>
      </c>
      <c r="G126" s="1051">
        <f t="shared" ref="G126:G189" si="36">E126-H126</f>
        <v>1469.6000000000001</v>
      </c>
      <c r="H126" s="1051">
        <f t="shared" ref="H126:H189" si="37">E126-(E126*L126)</f>
        <v>367.39999999999986</v>
      </c>
      <c r="I126" s="1051">
        <f>G126</f>
        <v>1469.6000000000001</v>
      </c>
      <c r="J126" s="1052">
        <v>2</v>
      </c>
      <c r="K126" s="1053">
        <f t="shared" ref="K126:K142" si="38">J126-(J126*L126)</f>
        <v>0.39999999999999991</v>
      </c>
      <c r="L126" s="1054">
        <v>0.8</v>
      </c>
      <c r="M126" s="1055"/>
      <c r="N126" s="1051">
        <f t="shared" ref="N126:N142" si="39">(M126*G126)+(M126*L126*H126)</f>
        <v>0</v>
      </c>
      <c r="O126" s="1050">
        <f t="shared" ref="O126:O142" si="40">G126*J126*L126</f>
        <v>2351.36</v>
      </c>
      <c r="P126" s="1050">
        <v>12</v>
      </c>
      <c r="Q126" s="1051">
        <f>O126*1000*P126</f>
        <v>28216320</v>
      </c>
      <c r="R126" s="1051">
        <f>SUM(N126,Q126)</f>
        <v>28216320</v>
      </c>
      <c r="S126" s="1057" t="s">
        <v>369</v>
      </c>
    </row>
    <row r="127" spans="1:19" ht="25.5">
      <c r="A127" s="1047" t="s">
        <v>159</v>
      </c>
      <c r="B127" s="1034"/>
      <c r="C127" s="1035"/>
      <c r="D127" s="1056">
        <v>4</v>
      </c>
      <c r="E127" s="1049">
        <v>2268</v>
      </c>
      <c r="F127" s="1050" t="s">
        <v>160</v>
      </c>
      <c r="G127" s="1051">
        <f t="shared" si="36"/>
        <v>1134</v>
      </c>
      <c r="H127" s="1051">
        <f t="shared" si="37"/>
        <v>1134</v>
      </c>
      <c r="I127" s="1051">
        <f t="shared" ref="I127:I137" si="41">SUM(H127,G127)</f>
        <v>2268</v>
      </c>
      <c r="J127" s="1058">
        <v>3</v>
      </c>
      <c r="K127" s="1053">
        <f t="shared" si="38"/>
        <v>1.5</v>
      </c>
      <c r="L127" s="1054">
        <v>0.5</v>
      </c>
      <c r="M127" s="1055">
        <v>35630</v>
      </c>
      <c r="N127" s="1051">
        <f t="shared" si="39"/>
        <v>60606630</v>
      </c>
      <c r="O127" s="1050"/>
      <c r="P127" s="1050"/>
      <c r="Q127" s="1050"/>
      <c r="R127" s="1051">
        <f t="shared" si="35"/>
        <v>60606630</v>
      </c>
      <c r="S127" s="1034" t="s">
        <v>427</v>
      </c>
    </row>
    <row r="128" spans="1:19" ht="25.5">
      <c r="A128" s="1047" t="s">
        <v>161</v>
      </c>
      <c r="B128" s="1034"/>
      <c r="C128" s="1035"/>
      <c r="D128" s="1056">
        <v>92</v>
      </c>
      <c r="E128" s="1049">
        <v>274</v>
      </c>
      <c r="F128" s="1050" t="s">
        <v>160</v>
      </c>
      <c r="G128" s="1051">
        <f t="shared" si="36"/>
        <v>137</v>
      </c>
      <c r="H128" s="1051">
        <f t="shared" si="37"/>
        <v>137</v>
      </c>
      <c r="I128" s="1051">
        <f t="shared" si="41"/>
        <v>274</v>
      </c>
      <c r="J128" s="1058">
        <v>3</v>
      </c>
      <c r="K128" s="1053">
        <f t="shared" si="38"/>
        <v>1.5</v>
      </c>
      <c r="L128" s="1054">
        <v>0.5</v>
      </c>
      <c r="M128" s="1055">
        <v>35630</v>
      </c>
      <c r="N128" s="1051">
        <f t="shared" si="39"/>
        <v>7321965</v>
      </c>
      <c r="O128" s="1050"/>
      <c r="P128" s="1050"/>
      <c r="Q128" s="1050"/>
      <c r="R128" s="1051">
        <f t="shared" si="35"/>
        <v>7321965</v>
      </c>
      <c r="S128" s="1034"/>
    </row>
    <row r="129" spans="1:19" ht="25.5">
      <c r="A129" s="1047" t="s">
        <v>162</v>
      </c>
      <c r="B129" s="1034"/>
      <c r="C129" s="1035"/>
      <c r="D129" s="1059">
        <v>8</v>
      </c>
      <c r="E129" s="1049">
        <v>277.5</v>
      </c>
      <c r="F129" s="1060" t="s">
        <v>160</v>
      </c>
      <c r="G129" s="1051">
        <f t="shared" si="36"/>
        <v>138.75</v>
      </c>
      <c r="H129" s="1051">
        <f t="shared" si="37"/>
        <v>138.75</v>
      </c>
      <c r="I129" s="1051">
        <f t="shared" si="41"/>
        <v>277.5</v>
      </c>
      <c r="J129" s="1058">
        <v>3</v>
      </c>
      <c r="K129" s="1053">
        <f t="shared" si="38"/>
        <v>1.5</v>
      </c>
      <c r="L129" s="1054">
        <v>0.5</v>
      </c>
      <c r="M129" s="1055">
        <v>35630</v>
      </c>
      <c r="N129" s="1051">
        <f t="shared" si="39"/>
        <v>7415493.75</v>
      </c>
      <c r="O129" s="1050"/>
      <c r="P129" s="1050"/>
      <c r="Q129" s="1051"/>
      <c r="R129" s="1051">
        <f t="shared" si="35"/>
        <v>7415493.75</v>
      </c>
      <c r="S129" s="1034"/>
    </row>
    <row r="130" spans="1:19" ht="25.5">
      <c r="A130" s="1047" t="s">
        <v>163</v>
      </c>
      <c r="B130" s="1034"/>
      <c r="C130" s="1035"/>
      <c r="D130" s="1059">
        <v>10</v>
      </c>
      <c r="E130" s="1049">
        <v>138</v>
      </c>
      <c r="F130" s="1060" t="s">
        <v>156</v>
      </c>
      <c r="G130" s="1051">
        <f t="shared" si="36"/>
        <v>103.5</v>
      </c>
      <c r="H130" s="1051">
        <f t="shared" si="37"/>
        <v>34.5</v>
      </c>
      <c r="I130" s="1051">
        <f t="shared" si="41"/>
        <v>138</v>
      </c>
      <c r="J130" s="1061">
        <v>3.5</v>
      </c>
      <c r="K130" s="1053">
        <f t="shared" si="38"/>
        <v>0.875</v>
      </c>
      <c r="L130" s="1054">
        <v>0.75</v>
      </c>
      <c r="M130" s="1055">
        <v>23530</v>
      </c>
      <c r="N130" s="1051">
        <f t="shared" si="39"/>
        <v>3044193.75</v>
      </c>
      <c r="O130" s="1050"/>
      <c r="P130" s="1050"/>
      <c r="Q130" s="1051"/>
      <c r="R130" s="1051">
        <f t="shared" si="35"/>
        <v>3044193.75</v>
      </c>
      <c r="S130" s="1034"/>
    </row>
    <row r="131" spans="1:19" ht="25.5">
      <c r="A131" s="1047" t="s">
        <v>164</v>
      </c>
      <c r="B131" s="1034"/>
      <c r="C131" s="1035"/>
      <c r="D131" s="1062">
        <v>84</v>
      </c>
      <c r="E131" s="1049">
        <v>1510</v>
      </c>
      <c r="F131" s="1060" t="s">
        <v>158</v>
      </c>
      <c r="G131" s="1051">
        <f t="shared" si="36"/>
        <v>1208</v>
      </c>
      <c r="H131" s="1051">
        <f t="shared" si="37"/>
        <v>302</v>
      </c>
      <c r="I131" s="1051">
        <f t="shared" si="41"/>
        <v>1510</v>
      </c>
      <c r="J131" s="1063">
        <v>3.5</v>
      </c>
      <c r="K131" s="1053">
        <f t="shared" si="38"/>
        <v>0.69999999999999973</v>
      </c>
      <c r="L131" s="1054">
        <v>0.8</v>
      </c>
      <c r="M131" s="1055"/>
      <c r="N131" s="1051">
        <f t="shared" si="39"/>
        <v>0</v>
      </c>
      <c r="O131" s="1050">
        <f t="shared" si="40"/>
        <v>3382.4</v>
      </c>
      <c r="P131" s="1050">
        <v>12</v>
      </c>
      <c r="Q131" s="1051">
        <f>O131*1000*P131</f>
        <v>40588800</v>
      </c>
      <c r="R131" s="1051">
        <f t="shared" si="35"/>
        <v>40588800</v>
      </c>
      <c r="S131" s="1034"/>
    </row>
    <row r="132" spans="1:19" ht="25.5">
      <c r="A132" s="1047" t="s">
        <v>165</v>
      </c>
      <c r="B132" s="1034"/>
      <c r="C132" s="1035"/>
      <c r="D132" s="1056">
        <v>20</v>
      </c>
      <c r="E132" s="1049">
        <v>772.4</v>
      </c>
      <c r="F132" s="1060" t="s">
        <v>156</v>
      </c>
      <c r="G132" s="1051">
        <f t="shared" si="36"/>
        <v>579.29999999999995</v>
      </c>
      <c r="H132" s="1051">
        <f t="shared" si="37"/>
        <v>193.10000000000002</v>
      </c>
      <c r="I132" s="1051">
        <f t="shared" si="41"/>
        <v>772.4</v>
      </c>
      <c r="J132" s="1061">
        <v>3</v>
      </c>
      <c r="K132" s="1053">
        <f t="shared" si="38"/>
        <v>0.75</v>
      </c>
      <c r="L132" s="1054">
        <v>0.75</v>
      </c>
      <c r="M132" s="1055">
        <v>23530</v>
      </c>
      <c r="N132" s="1051">
        <f t="shared" si="39"/>
        <v>17038661.25</v>
      </c>
      <c r="O132" s="1050"/>
      <c r="P132" s="1050"/>
      <c r="Q132" s="1051"/>
      <c r="R132" s="1051">
        <f t="shared" si="35"/>
        <v>17038661.25</v>
      </c>
      <c r="S132" s="1034"/>
    </row>
    <row r="133" spans="1:19" ht="25.5">
      <c r="A133" s="1047" t="s">
        <v>166</v>
      </c>
      <c r="B133" s="1034"/>
      <c r="C133" s="1035"/>
      <c r="D133" s="1059">
        <v>8</v>
      </c>
      <c r="E133" s="1064">
        <v>368</v>
      </c>
      <c r="F133" s="1060" t="s">
        <v>156</v>
      </c>
      <c r="G133" s="1051">
        <f t="shared" si="36"/>
        <v>276</v>
      </c>
      <c r="H133" s="1051">
        <f t="shared" si="37"/>
        <v>92</v>
      </c>
      <c r="I133" s="1051">
        <f t="shared" si="41"/>
        <v>368</v>
      </c>
      <c r="J133" s="1065">
        <v>2.5</v>
      </c>
      <c r="K133" s="1053">
        <f t="shared" si="38"/>
        <v>0.625</v>
      </c>
      <c r="L133" s="1054">
        <v>0.75</v>
      </c>
      <c r="M133" s="1055">
        <v>23530</v>
      </c>
      <c r="N133" s="1051">
        <f t="shared" si="39"/>
        <v>8117850</v>
      </c>
      <c r="O133" s="1050"/>
      <c r="P133" s="1050"/>
      <c r="Q133" s="1051"/>
      <c r="R133" s="1051">
        <f t="shared" si="35"/>
        <v>8117850</v>
      </c>
      <c r="S133" s="1034"/>
    </row>
    <row r="134" spans="1:19" ht="25.5">
      <c r="A134" s="1047" t="s">
        <v>167</v>
      </c>
      <c r="B134" s="1034"/>
      <c r="C134" s="1035"/>
      <c r="D134" s="1066">
        <v>89</v>
      </c>
      <c r="E134" s="1049">
        <v>810</v>
      </c>
      <c r="F134" s="1060" t="s">
        <v>156</v>
      </c>
      <c r="G134" s="1051">
        <f t="shared" si="36"/>
        <v>607.5</v>
      </c>
      <c r="H134" s="1051">
        <f t="shared" si="37"/>
        <v>202.5</v>
      </c>
      <c r="I134" s="1051">
        <f t="shared" si="41"/>
        <v>810</v>
      </c>
      <c r="J134" s="1065">
        <v>2.5</v>
      </c>
      <c r="K134" s="1053">
        <f t="shared" si="38"/>
        <v>0.625</v>
      </c>
      <c r="L134" s="1054">
        <v>0.75</v>
      </c>
      <c r="M134" s="1055">
        <v>23530</v>
      </c>
      <c r="N134" s="1051">
        <f t="shared" si="39"/>
        <v>17868093.75</v>
      </c>
      <c r="O134" s="1050"/>
      <c r="P134" s="1050"/>
      <c r="Q134" s="1050"/>
      <c r="R134" s="1051">
        <f t="shared" si="35"/>
        <v>17868093.75</v>
      </c>
      <c r="S134" s="1034"/>
    </row>
    <row r="135" spans="1:19" ht="25.5">
      <c r="A135" s="1047" t="s">
        <v>168</v>
      </c>
      <c r="B135" s="1034"/>
      <c r="C135" s="1035"/>
      <c r="D135" s="1059">
        <v>3000</v>
      </c>
      <c r="E135" s="1049">
        <v>2615</v>
      </c>
      <c r="F135" s="1060" t="s">
        <v>156</v>
      </c>
      <c r="G135" s="1051">
        <f t="shared" si="36"/>
        <v>1961.25</v>
      </c>
      <c r="H135" s="1051">
        <f t="shared" si="37"/>
        <v>653.75</v>
      </c>
      <c r="I135" s="1051">
        <f t="shared" si="41"/>
        <v>2615</v>
      </c>
      <c r="J135" s="1065">
        <v>2.5</v>
      </c>
      <c r="K135" s="1053">
        <f t="shared" si="38"/>
        <v>0.625</v>
      </c>
      <c r="L135" s="1054">
        <v>0.75</v>
      </c>
      <c r="M135" s="1055">
        <v>23530</v>
      </c>
      <c r="N135" s="1051">
        <f t="shared" si="39"/>
        <v>57685265.625</v>
      </c>
      <c r="O135" s="1050"/>
      <c r="P135" s="1050"/>
      <c r="Q135" s="1050"/>
      <c r="R135" s="1051">
        <f t="shared" si="35"/>
        <v>57685265.625</v>
      </c>
      <c r="S135" s="1034"/>
    </row>
    <row r="136" spans="1:19" ht="25.5">
      <c r="A136" s="1047" t="s">
        <v>127</v>
      </c>
      <c r="B136" s="1034"/>
      <c r="C136" s="1035"/>
      <c r="D136" s="1059">
        <v>10</v>
      </c>
      <c r="E136" s="1049">
        <v>400</v>
      </c>
      <c r="F136" s="1060" t="s">
        <v>158</v>
      </c>
      <c r="G136" s="1051">
        <f t="shared" si="36"/>
        <v>320</v>
      </c>
      <c r="H136" s="1051">
        <f t="shared" si="37"/>
        <v>80</v>
      </c>
      <c r="I136" s="1051">
        <f t="shared" si="41"/>
        <v>400</v>
      </c>
      <c r="J136" s="1065">
        <v>2.5</v>
      </c>
      <c r="K136" s="1053">
        <f t="shared" si="38"/>
        <v>0.5</v>
      </c>
      <c r="L136" s="1054">
        <v>0.8</v>
      </c>
      <c r="M136" s="1055"/>
      <c r="N136" s="1051">
        <f t="shared" si="39"/>
        <v>0</v>
      </c>
      <c r="O136" s="1050">
        <f t="shared" si="40"/>
        <v>640</v>
      </c>
      <c r="P136" s="1050">
        <v>12</v>
      </c>
      <c r="Q136" s="1051">
        <f>O136*1000*P136</f>
        <v>7680000</v>
      </c>
      <c r="R136" s="1051">
        <f t="shared" si="35"/>
        <v>7680000</v>
      </c>
      <c r="S136" s="1034"/>
    </row>
    <row r="137" spans="1:19" ht="25.5">
      <c r="A137" s="1047" t="s">
        <v>171</v>
      </c>
      <c r="B137" s="1034"/>
      <c r="C137" s="1035"/>
      <c r="D137" s="1059">
        <v>400</v>
      </c>
      <c r="E137" s="1049">
        <v>840</v>
      </c>
      <c r="F137" s="1060" t="s">
        <v>156</v>
      </c>
      <c r="G137" s="1051">
        <f t="shared" si="36"/>
        <v>630</v>
      </c>
      <c r="H137" s="1051">
        <f t="shared" si="37"/>
        <v>210</v>
      </c>
      <c r="I137" s="1051">
        <f t="shared" si="41"/>
        <v>840</v>
      </c>
      <c r="J137" s="1065">
        <v>2.5</v>
      </c>
      <c r="K137" s="1053">
        <f t="shared" si="38"/>
        <v>0.625</v>
      </c>
      <c r="L137" s="1054">
        <v>0.75</v>
      </c>
      <c r="M137" s="1055">
        <v>23530</v>
      </c>
      <c r="N137" s="1051">
        <f t="shared" si="39"/>
        <v>18529875</v>
      </c>
      <c r="O137" s="1050"/>
      <c r="P137" s="1050"/>
      <c r="Q137" s="1051"/>
      <c r="R137" s="1051">
        <f t="shared" si="35"/>
        <v>18529875</v>
      </c>
      <c r="S137" s="1034"/>
    </row>
    <row r="138" spans="1:19" ht="25.5">
      <c r="A138" s="1047" t="s">
        <v>172</v>
      </c>
      <c r="B138" s="1034"/>
      <c r="C138" s="1035"/>
      <c r="D138" s="1059">
        <v>395</v>
      </c>
      <c r="E138" s="1049">
        <v>840</v>
      </c>
      <c r="F138" s="1060" t="s">
        <v>158</v>
      </c>
      <c r="G138" s="1051">
        <f t="shared" si="36"/>
        <v>672</v>
      </c>
      <c r="H138" s="1051">
        <f t="shared" si="37"/>
        <v>168</v>
      </c>
      <c r="I138" s="1051">
        <v>512.65</v>
      </c>
      <c r="J138" s="1065">
        <v>2.5</v>
      </c>
      <c r="K138" s="1053">
        <f t="shared" si="38"/>
        <v>0.5</v>
      </c>
      <c r="L138" s="1054">
        <v>0.8</v>
      </c>
      <c r="M138" s="1055"/>
      <c r="N138" s="1051">
        <f t="shared" si="39"/>
        <v>0</v>
      </c>
      <c r="O138" s="1050">
        <f t="shared" si="40"/>
        <v>1344</v>
      </c>
      <c r="P138" s="1050">
        <v>12</v>
      </c>
      <c r="Q138" s="1051">
        <f>O138*1000*P138</f>
        <v>16128000</v>
      </c>
      <c r="R138" s="1051">
        <f t="shared" si="35"/>
        <v>16128000</v>
      </c>
      <c r="S138" s="1034"/>
    </row>
    <row r="139" spans="1:19" ht="25.5">
      <c r="A139" s="1047" t="s">
        <v>173</v>
      </c>
      <c r="B139" s="1034"/>
      <c r="C139" s="1035"/>
      <c r="D139" s="1059">
        <v>80</v>
      </c>
      <c r="E139" s="1049">
        <v>427</v>
      </c>
      <c r="F139" s="1060" t="s">
        <v>158</v>
      </c>
      <c r="G139" s="1051">
        <f t="shared" si="36"/>
        <v>341.6</v>
      </c>
      <c r="H139" s="1051">
        <f t="shared" si="37"/>
        <v>85.399999999999977</v>
      </c>
      <c r="I139" s="1051">
        <f>SUM(H139,G139)</f>
        <v>427</v>
      </c>
      <c r="J139" s="1065">
        <v>2.5</v>
      </c>
      <c r="K139" s="1053">
        <f t="shared" si="38"/>
        <v>0.5</v>
      </c>
      <c r="L139" s="1054">
        <v>0.8</v>
      </c>
      <c r="M139" s="1055"/>
      <c r="N139" s="1051">
        <f t="shared" si="39"/>
        <v>0</v>
      </c>
      <c r="O139" s="1050">
        <f t="shared" si="40"/>
        <v>683.2</v>
      </c>
      <c r="P139" s="1050">
        <v>12</v>
      </c>
      <c r="Q139" s="1051">
        <f>O139*1000*P139</f>
        <v>8198400</v>
      </c>
      <c r="R139" s="1051">
        <f t="shared" si="35"/>
        <v>8198400</v>
      </c>
      <c r="S139" s="1034"/>
    </row>
    <row r="140" spans="1:19" ht="25.5">
      <c r="A140" s="1047" t="s">
        <v>174</v>
      </c>
      <c r="B140" s="1034"/>
      <c r="C140" s="1035"/>
      <c r="D140" s="1066">
        <v>86</v>
      </c>
      <c r="E140" s="1049">
        <v>205</v>
      </c>
      <c r="F140" s="1060" t="s">
        <v>160</v>
      </c>
      <c r="G140" s="1051">
        <f t="shared" si="36"/>
        <v>102.5</v>
      </c>
      <c r="H140" s="1051">
        <f t="shared" si="37"/>
        <v>102.5</v>
      </c>
      <c r="I140" s="1051">
        <f>SUM(H140,G140)</f>
        <v>205</v>
      </c>
      <c r="J140" s="1065">
        <v>2.5</v>
      </c>
      <c r="K140" s="1053">
        <f t="shared" si="38"/>
        <v>1.25</v>
      </c>
      <c r="L140" s="1054">
        <v>0.5</v>
      </c>
      <c r="M140" s="1055">
        <f>M128</f>
        <v>35630</v>
      </c>
      <c r="N140" s="1051">
        <f t="shared" si="39"/>
        <v>5478112.5</v>
      </c>
      <c r="O140" s="1050"/>
      <c r="P140" s="1050"/>
      <c r="Q140" s="1051">
        <f>O140*1000*P140</f>
        <v>0</v>
      </c>
      <c r="R140" s="1051">
        <f t="shared" si="35"/>
        <v>5478112.5</v>
      </c>
      <c r="S140" s="1034"/>
    </row>
    <row r="141" spans="1:19" ht="25.5">
      <c r="A141" s="1047" t="s">
        <v>175</v>
      </c>
      <c r="B141" s="1034"/>
      <c r="C141" s="1035"/>
      <c r="D141" s="1066">
        <v>159</v>
      </c>
      <c r="E141" s="1067">
        <v>2110</v>
      </c>
      <c r="F141" s="1060" t="s">
        <v>156</v>
      </c>
      <c r="G141" s="1051">
        <f t="shared" si="36"/>
        <v>1582.5</v>
      </c>
      <c r="H141" s="1051">
        <f t="shared" si="37"/>
        <v>527.5</v>
      </c>
      <c r="I141" s="1051">
        <v>170.5</v>
      </c>
      <c r="J141" s="1065">
        <v>2.5</v>
      </c>
      <c r="K141" s="1053">
        <f t="shared" si="38"/>
        <v>0.625</v>
      </c>
      <c r="L141" s="1054">
        <v>0.75</v>
      </c>
      <c r="M141" s="1055">
        <v>23530</v>
      </c>
      <c r="N141" s="1051">
        <f t="shared" si="39"/>
        <v>46545281.25</v>
      </c>
      <c r="O141" s="1050"/>
      <c r="P141" s="1050"/>
      <c r="Q141" s="1051">
        <f>O141*1000*P141</f>
        <v>0</v>
      </c>
      <c r="R141" s="1051">
        <f t="shared" si="35"/>
        <v>46545281.25</v>
      </c>
      <c r="S141" s="1034"/>
    </row>
    <row r="142" spans="1:19" ht="25.5">
      <c r="A142" s="1068" t="s">
        <v>355</v>
      </c>
      <c r="B142" s="1069"/>
      <c r="C142" s="1069"/>
      <c r="D142" s="1070">
        <v>17</v>
      </c>
      <c r="E142" s="1071">
        <v>7.5</v>
      </c>
      <c r="F142" s="1072" t="s">
        <v>158</v>
      </c>
      <c r="G142" s="1073">
        <f t="shared" si="36"/>
        <v>4.5</v>
      </c>
      <c r="H142" s="1073">
        <f t="shared" si="37"/>
        <v>3</v>
      </c>
      <c r="I142" s="1074"/>
      <c r="J142" s="1075">
        <v>3</v>
      </c>
      <c r="K142" s="1076">
        <f t="shared" si="38"/>
        <v>1.2000000000000002</v>
      </c>
      <c r="L142" s="1077">
        <v>0.6</v>
      </c>
      <c r="M142" s="1078"/>
      <c r="N142" s="1073">
        <f t="shared" si="39"/>
        <v>0</v>
      </c>
      <c r="O142" s="1079">
        <f t="shared" si="40"/>
        <v>8.1</v>
      </c>
      <c r="P142" s="1078">
        <v>12</v>
      </c>
      <c r="Q142" s="1073">
        <f>O142*1000*P142</f>
        <v>97200</v>
      </c>
      <c r="R142" s="1073">
        <f t="shared" si="35"/>
        <v>97200</v>
      </c>
      <c r="S142" s="1034"/>
    </row>
    <row r="143" spans="1:19" ht="25.5">
      <c r="A143" s="1080" t="s">
        <v>61</v>
      </c>
      <c r="B143" s="1042"/>
      <c r="C143" s="1042" t="s">
        <v>428</v>
      </c>
      <c r="D143" s="1081">
        <f>SUM(D144:D190)</f>
        <v>2698.5</v>
      </c>
      <c r="E143" s="1081">
        <f t="shared" ref="E143:I143" si="42">SUM(E144:E190)</f>
        <v>4760.3089999999993</v>
      </c>
      <c r="F143" s="1081">
        <f t="shared" si="42"/>
        <v>0</v>
      </c>
      <c r="G143" s="1081">
        <f t="shared" si="42"/>
        <v>3191.8148099999999</v>
      </c>
      <c r="H143" s="1081">
        <f t="shared" si="42"/>
        <v>1568.4941899999997</v>
      </c>
      <c r="I143" s="1081">
        <f t="shared" si="42"/>
        <v>4760.3089999999993</v>
      </c>
      <c r="J143" s="1082">
        <f>AVERAGE(J144:J190)</f>
        <v>7.9749999999999988</v>
      </c>
      <c r="K143" s="1082">
        <f>AVERAGE(K144:K190)</f>
        <v>1.7371276595744678</v>
      </c>
      <c r="L143" s="1082">
        <f t="shared" ref="L143:P143" si="43">AVERAGE(L144:L190)</f>
        <v>0.76319148936170189</v>
      </c>
      <c r="M143" s="1082">
        <f t="shared" si="43"/>
        <v>18675.342105263157</v>
      </c>
      <c r="N143" s="1082">
        <f t="shared" si="43"/>
        <v>723360.95809523819</v>
      </c>
      <c r="O143" s="1082">
        <f>AVERAGE(O144:O190)</f>
        <v>347.50169030967743</v>
      </c>
      <c r="P143" s="1082">
        <f t="shared" si="43"/>
        <v>22.658064516129034</v>
      </c>
      <c r="Q143" s="1082">
        <f>SUM(Q144:Q190)</f>
        <v>641479644.71319997</v>
      </c>
      <c r="R143" s="1082">
        <f>SUM(R144:R190)</f>
        <v>121664784.745</v>
      </c>
      <c r="S143" s="1083"/>
    </row>
    <row r="144" spans="1:19" ht="25.5">
      <c r="A144" s="1084" t="s">
        <v>429</v>
      </c>
      <c r="B144" s="1085" t="s">
        <v>322</v>
      </c>
      <c r="C144" s="1085"/>
      <c r="D144" s="1086">
        <v>1</v>
      </c>
      <c r="E144" s="1086">
        <v>0.5</v>
      </c>
      <c r="F144" s="1087" t="s">
        <v>430</v>
      </c>
      <c r="G144" s="1051">
        <f t="shared" si="36"/>
        <v>0.375</v>
      </c>
      <c r="H144" s="1051">
        <f t="shared" si="37"/>
        <v>0.125</v>
      </c>
      <c r="I144" s="1039">
        <f t="shared" ref="I144:I190" si="44">G144+H144</f>
        <v>0.5</v>
      </c>
      <c r="J144" s="1085">
        <v>4</v>
      </c>
      <c r="K144" s="1053">
        <f>J144-(J144*L144)</f>
        <v>1</v>
      </c>
      <c r="L144" s="1088">
        <v>0.75</v>
      </c>
      <c r="M144" s="1089">
        <v>23530</v>
      </c>
      <c r="N144" s="1089">
        <v>5882.5</v>
      </c>
      <c r="O144" s="1085"/>
      <c r="P144" s="1085"/>
      <c r="Q144" s="1039">
        <f t="shared" ref="Q144:Q190" si="45">P144*O144*1000</f>
        <v>0</v>
      </c>
      <c r="R144" s="1090">
        <v>5882.5</v>
      </c>
      <c r="S144" s="1085"/>
    </row>
    <row r="145" spans="1:19" ht="25.5">
      <c r="A145" s="1084"/>
      <c r="B145" s="1085" t="s">
        <v>322</v>
      </c>
      <c r="C145" s="1085"/>
      <c r="D145" s="1086">
        <v>31</v>
      </c>
      <c r="E145" s="1086">
        <v>32</v>
      </c>
      <c r="F145" s="1087" t="s">
        <v>431</v>
      </c>
      <c r="G145" s="1051">
        <f t="shared" si="36"/>
        <v>16</v>
      </c>
      <c r="H145" s="1051">
        <f t="shared" si="37"/>
        <v>16</v>
      </c>
      <c r="I145" s="1039">
        <f t="shared" si="44"/>
        <v>32</v>
      </c>
      <c r="J145" s="1085">
        <v>4</v>
      </c>
      <c r="K145" s="1053">
        <f t="shared" ref="K145:K207" si="46">J145-(J145*L145)</f>
        <v>2</v>
      </c>
      <c r="L145" s="1088">
        <v>0.5</v>
      </c>
      <c r="M145" s="1089">
        <v>35630</v>
      </c>
      <c r="N145" s="1089">
        <v>570080</v>
      </c>
      <c r="O145" s="1085"/>
      <c r="P145" s="1085"/>
      <c r="Q145" s="1039">
        <f t="shared" si="45"/>
        <v>0</v>
      </c>
      <c r="R145" s="1090">
        <v>570080</v>
      </c>
      <c r="S145" s="1085"/>
    </row>
    <row r="146" spans="1:19" ht="25.5">
      <c r="A146" s="1084"/>
      <c r="B146" s="1085" t="s">
        <v>321</v>
      </c>
      <c r="C146" s="1085"/>
      <c r="D146" s="1091">
        <v>5</v>
      </c>
      <c r="E146" s="1091">
        <v>11</v>
      </c>
      <c r="F146" s="1087" t="s">
        <v>432</v>
      </c>
      <c r="G146" s="1051">
        <f t="shared" si="36"/>
        <v>8.25</v>
      </c>
      <c r="H146" s="1051">
        <f t="shared" si="37"/>
        <v>2.75</v>
      </c>
      <c r="I146" s="1039">
        <f t="shared" si="44"/>
        <v>11</v>
      </c>
      <c r="J146" s="1085">
        <v>6</v>
      </c>
      <c r="K146" s="1053">
        <f t="shared" si="46"/>
        <v>1.5</v>
      </c>
      <c r="L146" s="1088">
        <v>0.75</v>
      </c>
      <c r="M146" s="1089">
        <v>35630</v>
      </c>
      <c r="N146" s="1089">
        <v>96201</v>
      </c>
      <c r="O146" s="1085"/>
      <c r="P146" s="1085"/>
      <c r="Q146" s="1039">
        <f t="shared" si="45"/>
        <v>0</v>
      </c>
      <c r="R146" s="1090">
        <v>96201</v>
      </c>
      <c r="S146" s="1085"/>
    </row>
    <row r="147" spans="1:19" ht="25.5">
      <c r="A147" s="1084"/>
      <c r="B147" s="1085" t="s">
        <v>321</v>
      </c>
      <c r="C147" s="1085"/>
      <c r="D147" s="1091">
        <v>20</v>
      </c>
      <c r="E147" s="1091">
        <v>32</v>
      </c>
      <c r="F147" s="1087"/>
      <c r="G147" s="1051">
        <f t="shared" si="36"/>
        <v>24</v>
      </c>
      <c r="H147" s="1051">
        <f t="shared" si="37"/>
        <v>8</v>
      </c>
      <c r="I147" s="1039">
        <f t="shared" si="44"/>
        <v>32</v>
      </c>
      <c r="J147" s="1085">
        <v>6</v>
      </c>
      <c r="K147" s="1053">
        <f t="shared" si="46"/>
        <v>1.5</v>
      </c>
      <c r="L147" s="1088">
        <v>0.75</v>
      </c>
      <c r="M147" s="1089">
        <v>40000</v>
      </c>
      <c r="N147" s="1089">
        <v>210000</v>
      </c>
      <c r="O147" s="1085">
        <f t="shared" ref="O147:O190" si="47">G147*J147*L147</f>
        <v>108</v>
      </c>
      <c r="P147" s="1085">
        <v>14</v>
      </c>
      <c r="Q147" s="1039">
        <f t="shared" si="45"/>
        <v>1512000</v>
      </c>
      <c r="R147" s="1090">
        <v>210000</v>
      </c>
      <c r="S147" s="1085"/>
    </row>
    <row r="148" spans="1:19" ht="25.5">
      <c r="A148" s="1084"/>
      <c r="B148" s="1085" t="s">
        <v>322</v>
      </c>
      <c r="C148" s="1085"/>
      <c r="D148" s="1091">
        <v>36</v>
      </c>
      <c r="E148" s="1091">
        <v>43.3</v>
      </c>
      <c r="F148" s="1087" t="s">
        <v>22</v>
      </c>
      <c r="G148" s="1051">
        <f t="shared" si="36"/>
        <v>38.97</v>
      </c>
      <c r="H148" s="1051">
        <f t="shared" si="37"/>
        <v>4.3299999999999983</v>
      </c>
      <c r="I148" s="1039">
        <f t="shared" si="44"/>
        <v>43.3</v>
      </c>
      <c r="J148" s="1085">
        <v>4</v>
      </c>
      <c r="K148" s="1053">
        <f t="shared" si="46"/>
        <v>0.39999999999999991</v>
      </c>
      <c r="L148" s="1088">
        <v>0.9</v>
      </c>
      <c r="M148" s="1089"/>
      <c r="N148" s="1089"/>
      <c r="O148" s="1085">
        <f t="shared" si="47"/>
        <v>140.292</v>
      </c>
      <c r="P148" s="1085">
        <v>14</v>
      </c>
      <c r="Q148" s="1039">
        <f t="shared" si="45"/>
        <v>1964088</v>
      </c>
      <c r="R148" s="1090">
        <v>1000800</v>
      </c>
      <c r="S148" s="1085"/>
    </row>
    <row r="149" spans="1:19" ht="25.5">
      <c r="A149" s="1084"/>
      <c r="B149" s="1085" t="s">
        <v>321</v>
      </c>
      <c r="C149" s="1085"/>
      <c r="D149" s="1091">
        <v>25</v>
      </c>
      <c r="E149" s="1091">
        <v>46.75</v>
      </c>
      <c r="F149" s="1087" t="s">
        <v>386</v>
      </c>
      <c r="G149" s="1051">
        <f t="shared" si="36"/>
        <v>42.075000000000003</v>
      </c>
      <c r="H149" s="1051">
        <f t="shared" si="37"/>
        <v>4.6749999999999972</v>
      </c>
      <c r="I149" s="1039">
        <f t="shared" si="44"/>
        <v>46.75</v>
      </c>
      <c r="J149" s="1085">
        <v>6</v>
      </c>
      <c r="K149" s="1053">
        <f t="shared" si="46"/>
        <v>0.59999999999999964</v>
      </c>
      <c r="L149" s="1088">
        <v>0.9</v>
      </c>
      <c r="M149" s="1089"/>
      <c r="N149" s="1089"/>
      <c r="O149" s="1085">
        <f t="shared" si="47"/>
        <v>227.20500000000001</v>
      </c>
      <c r="P149" s="1085">
        <v>65</v>
      </c>
      <c r="Q149" s="1039">
        <f t="shared" si="45"/>
        <v>14768325</v>
      </c>
      <c r="R149" s="1090">
        <v>1788400</v>
      </c>
      <c r="S149" s="1085"/>
    </row>
    <row r="150" spans="1:19" ht="25.5">
      <c r="A150" s="1084"/>
      <c r="B150" s="1085" t="s">
        <v>321</v>
      </c>
      <c r="C150" s="1085"/>
      <c r="D150" s="1091">
        <v>13</v>
      </c>
      <c r="E150" s="1091">
        <v>17</v>
      </c>
      <c r="F150" s="1087" t="s">
        <v>200</v>
      </c>
      <c r="G150" s="1051">
        <f t="shared" si="36"/>
        <v>13.600000000000001</v>
      </c>
      <c r="H150" s="1051">
        <f t="shared" si="37"/>
        <v>3.3999999999999986</v>
      </c>
      <c r="I150" s="1039">
        <f t="shared" si="44"/>
        <v>17</v>
      </c>
      <c r="J150" s="1085">
        <v>102</v>
      </c>
      <c r="K150" s="1053">
        <f t="shared" si="46"/>
        <v>20.399999999999991</v>
      </c>
      <c r="L150" s="1088">
        <v>0.8</v>
      </c>
      <c r="M150" s="1089"/>
      <c r="N150" s="1089"/>
      <c r="O150" s="1085">
        <f t="shared" si="47"/>
        <v>1109.76</v>
      </c>
      <c r="P150" s="1085">
        <v>13</v>
      </c>
      <c r="Q150" s="1039">
        <f t="shared" si="45"/>
        <v>14426880</v>
      </c>
      <c r="R150" s="1090">
        <v>714000</v>
      </c>
      <c r="S150" s="1085"/>
    </row>
    <row r="151" spans="1:19" ht="25.5">
      <c r="A151" s="1092" t="s">
        <v>379</v>
      </c>
      <c r="B151" s="1093" t="s">
        <v>433</v>
      </c>
      <c r="C151" s="1093"/>
      <c r="D151" s="1094">
        <v>5</v>
      </c>
      <c r="E151" s="1094">
        <v>2.25</v>
      </c>
      <c r="F151" s="1095" t="s">
        <v>158</v>
      </c>
      <c r="G151" s="1051">
        <f t="shared" si="36"/>
        <v>2.25</v>
      </c>
      <c r="H151" s="1051">
        <f t="shared" si="37"/>
        <v>0</v>
      </c>
      <c r="I151" s="1039">
        <f t="shared" si="44"/>
        <v>2.25</v>
      </c>
      <c r="J151" s="1096">
        <v>5</v>
      </c>
      <c r="K151" s="1053">
        <v>0</v>
      </c>
      <c r="L151" s="1097">
        <f>(J151-K151)/J151</f>
        <v>1</v>
      </c>
      <c r="M151" s="1098"/>
      <c r="N151" s="1098"/>
      <c r="O151" s="1085">
        <f t="shared" si="47"/>
        <v>11.25</v>
      </c>
      <c r="P151" s="1099">
        <v>13</v>
      </c>
      <c r="Q151" s="1039">
        <f t="shared" si="45"/>
        <v>146250</v>
      </c>
      <c r="R151" s="1100">
        <f>N151+Q151</f>
        <v>146250</v>
      </c>
      <c r="S151" s="1101" t="s">
        <v>434</v>
      </c>
    </row>
    <row r="152" spans="1:19" ht="25.5">
      <c r="A152" s="1092"/>
      <c r="B152" s="1093" t="s">
        <v>433</v>
      </c>
      <c r="C152" s="1093"/>
      <c r="D152" s="1094">
        <v>3</v>
      </c>
      <c r="E152" s="1094">
        <v>2.5</v>
      </c>
      <c r="F152" s="1095" t="s">
        <v>160</v>
      </c>
      <c r="G152" s="1051">
        <f t="shared" si="36"/>
        <v>2.5</v>
      </c>
      <c r="H152" s="1051">
        <f t="shared" si="37"/>
        <v>0</v>
      </c>
      <c r="I152" s="1039">
        <f t="shared" si="44"/>
        <v>2.5</v>
      </c>
      <c r="J152" s="1096">
        <v>5</v>
      </c>
      <c r="K152" s="1053">
        <v>0</v>
      </c>
      <c r="L152" s="1097">
        <f>(J152-K152)/J152</f>
        <v>1</v>
      </c>
      <c r="M152" s="1098">
        <v>37830</v>
      </c>
      <c r="N152" s="1098">
        <v>94575</v>
      </c>
      <c r="O152" s="1085"/>
      <c r="P152" s="1099"/>
      <c r="Q152" s="1039">
        <f t="shared" si="45"/>
        <v>0</v>
      </c>
      <c r="R152" s="1100">
        <f>N152+Q152</f>
        <v>94575</v>
      </c>
      <c r="S152" s="1101" t="s">
        <v>434</v>
      </c>
    </row>
    <row r="153" spans="1:19" ht="25.5">
      <c r="A153" s="1084" t="s">
        <v>388</v>
      </c>
      <c r="B153" s="1085" t="s">
        <v>435</v>
      </c>
      <c r="C153" s="1085"/>
      <c r="D153" s="1102">
        <v>1</v>
      </c>
      <c r="E153" s="1102">
        <v>0.5</v>
      </c>
      <c r="F153" s="1103" t="s">
        <v>124</v>
      </c>
      <c r="G153" s="1051">
        <f t="shared" si="36"/>
        <v>0.5</v>
      </c>
      <c r="H153" s="1051">
        <f t="shared" si="37"/>
        <v>0</v>
      </c>
      <c r="I153" s="1039">
        <f t="shared" si="44"/>
        <v>0.5</v>
      </c>
      <c r="J153" s="1104">
        <v>5</v>
      </c>
      <c r="K153" s="1053">
        <v>0</v>
      </c>
      <c r="L153" s="1088">
        <f>(J153-K153)/J153</f>
        <v>1</v>
      </c>
      <c r="M153" s="1105">
        <v>15000</v>
      </c>
      <c r="N153" s="1105">
        <f>M153*I153</f>
        <v>7500</v>
      </c>
      <c r="O153" s="1085"/>
      <c r="P153" s="1106"/>
      <c r="Q153" s="1039">
        <f t="shared" si="45"/>
        <v>0</v>
      </c>
      <c r="R153" s="1090">
        <f>N153+Q153</f>
        <v>7500</v>
      </c>
      <c r="S153" s="1107" t="s">
        <v>436</v>
      </c>
    </row>
    <row r="154" spans="1:19" ht="25.5">
      <c r="A154" s="1084"/>
      <c r="B154" s="1085" t="s">
        <v>437</v>
      </c>
      <c r="C154" s="1085"/>
      <c r="D154" s="1108">
        <v>2</v>
      </c>
      <c r="E154" s="1108">
        <v>3</v>
      </c>
      <c r="F154" s="1109" t="s">
        <v>22</v>
      </c>
      <c r="G154" s="1051">
        <f t="shared" si="36"/>
        <v>3</v>
      </c>
      <c r="H154" s="1051">
        <f t="shared" si="37"/>
        <v>0</v>
      </c>
      <c r="I154" s="1039">
        <f t="shared" si="44"/>
        <v>3</v>
      </c>
      <c r="J154" s="1110">
        <v>5</v>
      </c>
      <c r="K154" s="1053">
        <v>0</v>
      </c>
      <c r="L154" s="1088">
        <f>(J154-K154)/J154</f>
        <v>1</v>
      </c>
      <c r="M154" s="1111">
        <v>0</v>
      </c>
      <c r="N154" s="1111"/>
      <c r="O154" s="1085">
        <f t="shared" si="47"/>
        <v>15</v>
      </c>
      <c r="P154" s="1106">
        <v>29</v>
      </c>
      <c r="Q154" s="1039">
        <f t="shared" si="45"/>
        <v>435000</v>
      </c>
      <c r="R154" s="1090">
        <v>108750</v>
      </c>
      <c r="S154" s="1107" t="s">
        <v>436</v>
      </c>
    </row>
    <row r="155" spans="1:19" ht="25.5">
      <c r="A155" s="1084"/>
      <c r="B155" s="1085" t="s">
        <v>437</v>
      </c>
      <c r="C155" s="1085"/>
      <c r="D155" s="1102">
        <v>5</v>
      </c>
      <c r="E155" s="1102">
        <v>5</v>
      </c>
      <c r="F155" s="1103" t="s">
        <v>438</v>
      </c>
      <c r="G155" s="1051">
        <f t="shared" si="36"/>
        <v>5</v>
      </c>
      <c r="H155" s="1051">
        <f t="shared" si="37"/>
        <v>0</v>
      </c>
      <c r="I155" s="1039">
        <f t="shared" si="44"/>
        <v>5</v>
      </c>
      <c r="J155" s="1104">
        <v>5</v>
      </c>
      <c r="K155" s="1053">
        <v>0</v>
      </c>
      <c r="L155" s="1088">
        <f>(J155-K155)/J155</f>
        <v>1</v>
      </c>
      <c r="M155" s="1105">
        <v>0</v>
      </c>
      <c r="N155" s="1105"/>
      <c r="O155" s="1085">
        <f t="shared" si="47"/>
        <v>25</v>
      </c>
      <c r="P155" s="1106">
        <v>14.5</v>
      </c>
      <c r="Q155" s="1039">
        <f t="shared" si="45"/>
        <v>362500</v>
      </c>
      <c r="R155" s="1090">
        <v>152250</v>
      </c>
      <c r="S155" s="1107" t="s">
        <v>439</v>
      </c>
    </row>
    <row r="156" spans="1:19" ht="25.5">
      <c r="A156" s="1084"/>
      <c r="B156" s="1085" t="s">
        <v>437</v>
      </c>
      <c r="C156" s="1085"/>
      <c r="D156" s="1112">
        <v>6</v>
      </c>
      <c r="E156" s="1112">
        <v>4.25</v>
      </c>
      <c r="F156" s="1103" t="s">
        <v>22</v>
      </c>
      <c r="G156" s="1051">
        <f t="shared" si="36"/>
        <v>3.8250000000000002</v>
      </c>
      <c r="H156" s="1051">
        <f t="shared" si="37"/>
        <v>0.42499999999999982</v>
      </c>
      <c r="I156" s="1039">
        <f t="shared" si="44"/>
        <v>4.25</v>
      </c>
      <c r="J156" s="1104">
        <v>5</v>
      </c>
      <c r="K156" s="1053">
        <f t="shared" si="46"/>
        <v>0.5</v>
      </c>
      <c r="L156" s="1088">
        <v>0.9</v>
      </c>
      <c r="M156" s="1105">
        <v>0</v>
      </c>
      <c r="N156" s="1105"/>
      <c r="O156" s="1085">
        <f t="shared" si="47"/>
        <v>17.212500000000002</v>
      </c>
      <c r="P156" s="1106">
        <v>12.3</v>
      </c>
      <c r="Q156" s="1039">
        <f t="shared" si="45"/>
        <v>211713.75000000003</v>
      </c>
      <c r="R156" s="1090">
        <v>150975.00000000003</v>
      </c>
      <c r="S156" s="1107" t="s">
        <v>440</v>
      </c>
    </row>
    <row r="157" spans="1:19" ht="25.5">
      <c r="A157" s="1084"/>
      <c r="B157" s="1085" t="s">
        <v>437</v>
      </c>
      <c r="C157" s="1085"/>
      <c r="D157" s="1112">
        <v>6</v>
      </c>
      <c r="E157" s="1112">
        <v>3</v>
      </c>
      <c r="F157" s="1103" t="s">
        <v>438</v>
      </c>
      <c r="G157" s="1051">
        <f t="shared" si="36"/>
        <v>3</v>
      </c>
      <c r="H157" s="1051">
        <f t="shared" si="37"/>
        <v>0</v>
      </c>
      <c r="I157" s="1039">
        <f t="shared" si="44"/>
        <v>3</v>
      </c>
      <c r="J157" s="1104">
        <v>5</v>
      </c>
      <c r="K157" s="1053">
        <v>0</v>
      </c>
      <c r="L157" s="1088">
        <f>(J157-K157)/J157</f>
        <v>1</v>
      </c>
      <c r="M157" s="1105">
        <v>30000</v>
      </c>
      <c r="N157" s="1105"/>
      <c r="O157" s="1085">
        <f t="shared" si="47"/>
        <v>15</v>
      </c>
      <c r="P157" s="1106">
        <v>12.3</v>
      </c>
      <c r="Q157" s="1039">
        <f t="shared" si="45"/>
        <v>184500</v>
      </c>
      <c r="R157" s="1090">
        <v>62906.25</v>
      </c>
      <c r="S157" s="1107" t="s">
        <v>440</v>
      </c>
    </row>
    <row r="158" spans="1:19" ht="25.5">
      <c r="A158" s="1113" t="s">
        <v>441</v>
      </c>
      <c r="B158" s="1114" t="s">
        <v>435</v>
      </c>
      <c r="C158" s="1114"/>
      <c r="D158" s="1115">
        <v>63</v>
      </c>
      <c r="E158" s="1115">
        <v>72.95</v>
      </c>
      <c r="F158" s="1116" t="s">
        <v>22</v>
      </c>
      <c r="G158" s="1051">
        <f t="shared" si="36"/>
        <v>65.655000000000001</v>
      </c>
      <c r="H158" s="1051">
        <f t="shared" si="37"/>
        <v>7.2950000000000017</v>
      </c>
      <c r="I158" s="1039">
        <f t="shared" si="44"/>
        <v>72.95</v>
      </c>
      <c r="J158" s="1096">
        <v>4.5</v>
      </c>
      <c r="K158" s="1053">
        <f t="shared" si="46"/>
        <v>0.45000000000000018</v>
      </c>
      <c r="L158" s="1097">
        <v>0.9</v>
      </c>
      <c r="M158" s="1098">
        <v>34240</v>
      </c>
      <c r="N158" s="1098"/>
      <c r="O158" s="1085">
        <f t="shared" si="47"/>
        <v>265.90275000000003</v>
      </c>
      <c r="P158" s="1099">
        <v>12.5</v>
      </c>
      <c r="Q158" s="1039">
        <f t="shared" si="45"/>
        <v>3323784.375</v>
      </c>
      <c r="R158" s="1100">
        <f>N158+Q158</f>
        <v>3323784.375</v>
      </c>
      <c r="S158" s="1101" t="s">
        <v>442</v>
      </c>
    </row>
    <row r="159" spans="1:19" ht="25.5">
      <c r="A159" s="1113" t="s">
        <v>443</v>
      </c>
      <c r="B159" s="1114" t="s">
        <v>322</v>
      </c>
      <c r="C159" s="1114"/>
      <c r="D159" s="1117">
        <v>3</v>
      </c>
      <c r="E159" s="1117">
        <v>1.5</v>
      </c>
      <c r="F159" s="1118" t="s">
        <v>200</v>
      </c>
      <c r="G159" s="1051">
        <f t="shared" si="36"/>
        <v>1.5</v>
      </c>
      <c r="H159" s="1051">
        <f t="shared" si="37"/>
        <v>0</v>
      </c>
      <c r="I159" s="1039">
        <f t="shared" si="44"/>
        <v>1.5</v>
      </c>
      <c r="J159" s="1114">
        <v>4</v>
      </c>
      <c r="K159" s="1053">
        <f t="shared" si="46"/>
        <v>0</v>
      </c>
      <c r="L159" s="1097">
        <v>1</v>
      </c>
      <c r="M159" s="1119">
        <v>30000</v>
      </c>
      <c r="N159" s="1119"/>
      <c r="O159" s="1085">
        <f t="shared" si="47"/>
        <v>6</v>
      </c>
      <c r="P159" s="1114">
        <v>13</v>
      </c>
      <c r="Q159" s="1039">
        <f t="shared" si="45"/>
        <v>78000</v>
      </c>
      <c r="R159" s="1100">
        <f>N159+Q159</f>
        <v>78000</v>
      </c>
      <c r="S159" s="1114"/>
    </row>
    <row r="160" spans="1:19" ht="25.5">
      <c r="A160" s="1084" t="s">
        <v>395</v>
      </c>
      <c r="B160" s="1085" t="s">
        <v>444</v>
      </c>
      <c r="C160" s="1085"/>
      <c r="D160" s="1120">
        <v>10</v>
      </c>
      <c r="E160" s="1120">
        <v>780.3</v>
      </c>
      <c r="F160" s="1087" t="s">
        <v>124</v>
      </c>
      <c r="G160" s="1051">
        <f t="shared" si="36"/>
        <v>585.22499999999991</v>
      </c>
      <c r="H160" s="1051">
        <f t="shared" si="37"/>
        <v>195.07500000000005</v>
      </c>
      <c r="I160" s="1039">
        <f t="shared" si="44"/>
        <v>780.3</v>
      </c>
      <c r="J160" s="1120">
        <v>4.75</v>
      </c>
      <c r="K160" s="1053">
        <f t="shared" si="46"/>
        <v>1.1875</v>
      </c>
      <c r="L160" s="1088">
        <v>0.75</v>
      </c>
      <c r="M160" s="1121">
        <v>34330</v>
      </c>
      <c r="N160" s="1121">
        <v>609357.5</v>
      </c>
      <c r="O160" s="1085"/>
      <c r="P160" s="1120"/>
      <c r="Q160" s="1039">
        <f t="shared" si="45"/>
        <v>0</v>
      </c>
      <c r="R160" s="1090">
        <v>609357.5</v>
      </c>
      <c r="S160" s="1085"/>
    </row>
    <row r="161" spans="1:19" ht="25.5">
      <c r="A161" s="1122"/>
      <c r="B161" s="1122" t="s">
        <v>322</v>
      </c>
      <c r="C161" s="1122"/>
      <c r="D161" s="1123">
        <v>85</v>
      </c>
      <c r="E161" s="1123">
        <v>147.5</v>
      </c>
      <c r="F161" s="1124" t="s">
        <v>51</v>
      </c>
      <c r="G161" s="1051">
        <f t="shared" si="36"/>
        <v>73.75</v>
      </c>
      <c r="H161" s="1051">
        <f t="shared" si="37"/>
        <v>73.75</v>
      </c>
      <c r="I161" s="1039">
        <f t="shared" si="44"/>
        <v>147.5</v>
      </c>
      <c r="J161" s="1125">
        <v>4.5</v>
      </c>
      <c r="K161" s="1053">
        <f t="shared" si="46"/>
        <v>2.25</v>
      </c>
      <c r="L161" s="1126">
        <v>0.5</v>
      </c>
      <c r="M161" s="1125">
        <v>46431</v>
      </c>
      <c r="N161" s="1127">
        <v>6848572.5</v>
      </c>
      <c r="O161" s="1085"/>
      <c r="P161" s="1125"/>
      <c r="Q161" s="1039">
        <f t="shared" si="45"/>
        <v>0</v>
      </c>
      <c r="R161" s="1128">
        <v>6848572.5</v>
      </c>
      <c r="S161" s="1122"/>
    </row>
    <row r="162" spans="1:19" ht="25.5">
      <c r="A162" s="1084"/>
      <c r="B162" s="1085" t="s">
        <v>444</v>
      </c>
      <c r="C162" s="1085"/>
      <c r="D162" s="1120">
        <v>12</v>
      </c>
      <c r="E162" s="1120">
        <v>622.65</v>
      </c>
      <c r="F162" s="1087" t="s">
        <v>51</v>
      </c>
      <c r="G162" s="1051">
        <f t="shared" si="36"/>
        <v>311.32499999999999</v>
      </c>
      <c r="H162" s="1051">
        <f t="shared" si="37"/>
        <v>311.32499999999999</v>
      </c>
      <c r="I162" s="1039">
        <f t="shared" si="44"/>
        <v>622.65</v>
      </c>
      <c r="J162" s="1120">
        <v>4.875</v>
      </c>
      <c r="K162" s="1053">
        <f t="shared" si="46"/>
        <v>2.4375</v>
      </c>
      <c r="L162" s="1088">
        <v>0.5</v>
      </c>
      <c r="M162" s="1121">
        <v>46430</v>
      </c>
      <c r="N162" s="1121">
        <v>900742</v>
      </c>
      <c r="O162" s="1085"/>
      <c r="P162" s="1120"/>
      <c r="Q162" s="1039">
        <f t="shared" si="45"/>
        <v>0</v>
      </c>
      <c r="R162" s="1090">
        <v>900742</v>
      </c>
      <c r="S162" s="1085"/>
    </row>
    <row r="163" spans="1:19" ht="25.5">
      <c r="A163" s="1084"/>
      <c r="B163" s="1085" t="s">
        <v>444</v>
      </c>
      <c r="C163" s="1085"/>
      <c r="D163" s="1129">
        <v>10</v>
      </c>
      <c r="E163" s="1129">
        <v>115.5</v>
      </c>
      <c r="F163" s="1087" t="s">
        <v>51</v>
      </c>
      <c r="G163" s="1051">
        <f t="shared" si="36"/>
        <v>57.75</v>
      </c>
      <c r="H163" s="1051">
        <f t="shared" si="37"/>
        <v>57.75</v>
      </c>
      <c r="I163" s="1039">
        <f t="shared" si="44"/>
        <v>115.5</v>
      </c>
      <c r="J163" s="1120">
        <v>10</v>
      </c>
      <c r="K163" s="1053">
        <f t="shared" si="46"/>
        <v>5</v>
      </c>
      <c r="L163" s="1088">
        <v>0.5</v>
      </c>
      <c r="M163" s="1121">
        <v>46430</v>
      </c>
      <c r="N163" s="1121">
        <v>452692</v>
      </c>
      <c r="O163" s="1085"/>
      <c r="P163" s="1120"/>
      <c r="Q163" s="1039">
        <f t="shared" si="45"/>
        <v>0</v>
      </c>
      <c r="R163" s="1090">
        <f>N163+Q163</f>
        <v>452692</v>
      </c>
      <c r="S163" s="1085"/>
    </row>
    <row r="164" spans="1:19" ht="25.5">
      <c r="A164" s="1084"/>
      <c r="B164" s="1085" t="s">
        <v>444</v>
      </c>
      <c r="C164" s="1085"/>
      <c r="D164" s="1120">
        <v>3</v>
      </c>
      <c r="E164" s="1120">
        <v>7</v>
      </c>
      <c r="F164" s="1087" t="s">
        <v>200</v>
      </c>
      <c r="G164" s="1051">
        <f t="shared" si="36"/>
        <v>5.6000000000000005</v>
      </c>
      <c r="H164" s="1051">
        <f t="shared" si="37"/>
        <v>1.3999999999999995</v>
      </c>
      <c r="I164" s="1039">
        <f t="shared" si="44"/>
        <v>7</v>
      </c>
      <c r="J164" s="1120">
        <v>5</v>
      </c>
      <c r="K164" s="1053">
        <f t="shared" si="46"/>
        <v>1</v>
      </c>
      <c r="L164" s="1088">
        <v>0.8</v>
      </c>
      <c r="M164" s="1121">
        <v>0</v>
      </c>
      <c r="N164" s="1120"/>
      <c r="O164" s="1085">
        <f t="shared" si="47"/>
        <v>22.400000000000006</v>
      </c>
      <c r="P164" s="1120">
        <v>14</v>
      </c>
      <c r="Q164" s="1039">
        <f t="shared" si="45"/>
        <v>313600.00000000006</v>
      </c>
      <c r="R164" s="1090">
        <v>490000</v>
      </c>
      <c r="S164" s="1085"/>
    </row>
    <row r="165" spans="1:19" ht="25.5">
      <c r="A165" s="1084"/>
      <c r="B165" s="1085" t="s">
        <v>444</v>
      </c>
      <c r="C165" s="1085"/>
      <c r="D165" s="1129">
        <v>1</v>
      </c>
      <c r="E165" s="1129">
        <v>5</v>
      </c>
      <c r="F165" s="1087" t="s">
        <v>200</v>
      </c>
      <c r="G165" s="1051">
        <f t="shared" si="36"/>
        <v>4</v>
      </c>
      <c r="H165" s="1051">
        <f t="shared" si="37"/>
        <v>1</v>
      </c>
      <c r="I165" s="1039">
        <f t="shared" si="44"/>
        <v>5</v>
      </c>
      <c r="J165" s="1120">
        <v>5</v>
      </c>
      <c r="K165" s="1053">
        <f t="shared" si="46"/>
        <v>1</v>
      </c>
      <c r="L165" s="1088">
        <v>0.8</v>
      </c>
      <c r="M165" s="1121">
        <v>0</v>
      </c>
      <c r="N165" s="1121"/>
      <c r="O165" s="1085">
        <f t="shared" si="47"/>
        <v>16</v>
      </c>
      <c r="P165" s="1120">
        <v>14</v>
      </c>
      <c r="Q165" s="1039">
        <f t="shared" si="45"/>
        <v>224000</v>
      </c>
      <c r="R165" s="1090">
        <v>67430</v>
      </c>
      <c r="S165" s="1085"/>
    </row>
    <row r="166" spans="1:19" ht="25.5">
      <c r="A166" s="1084"/>
      <c r="B166" s="1085" t="s">
        <v>444</v>
      </c>
      <c r="C166" s="1085"/>
      <c r="D166" s="1129">
        <v>30</v>
      </c>
      <c r="E166" s="1129">
        <v>2.6</v>
      </c>
      <c r="F166" s="1087" t="s">
        <v>200</v>
      </c>
      <c r="G166" s="1051">
        <f t="shared" si="36"/>
        <v>2.08</v>
      </c>
      <c r="H166" s="1051">
        <f t="shared" si="37"/>
        <v>0.52</v>
      </c>
      <c r="I166" s="1039">
        <f t="shared" si="44"/>
        <v>2.6</v>
      </c>
      <c r="J166" s="1120">
        <v>5</v>
      </c>
      <c r="K166" s="1053">
        <f t="shared" si="46"/>
        <v>1</v>
      </c>
      <c r="L166" s="1088">
        <v>0.8</v>
      </c>
      <c r="M166" s="1121">
        <v>0</v>
      </c>
      <c r="N166" s="1121"/>
      <c r="O166" s="1085">
        <f t="shared" si="47"/>
        <v>8.32</v>
      </c>
      <c r="P166" s="1120">
        <v>14</v>
      </c>
      <c r="Q166" s="1039">
        <f t="shared" si="45"/>
        <v>116480</v>
      </c>
      <c r="R166" s="1090">
        <f>N166+Q166</f>
        <v>116480</v>
      </c>
      <c r="S166" s="1085"/>
    </row>
    <row r="167" spans="1:19" ht="25.5">
      <c r="A167" s="1084"/>
      <c r="B167" s="1085" t="s">
        <v>444</v>
      </c>
      <c r="C167" s="1085"/>
      <c r="D167" s="1129">
        <v>18</v>
      </c>
      <c r="E167" s="1129">
        <v>43.25</v>
      </c>
      <c r="F167" s="1087" t="s">
        <v>200</v>
      </c>
      <c r="G167" s="1051">
        <f t="shared" si="36"/>
        <v>34.6</v>
      </c>
      <c r="H167" s="1051">
        <f t="shared" si="37"/>
        <v>8.6499999999999986</v>
      </c>
      <c r="I167" s="1039">
        <f t="shared" si="44"/>
        <v>43.25</v>
      </c>
      <c r="J167" s="1120">
        <v>10</v>
      </c>
      <c r="K167" s="1053">
        <f t="shared" si="46"/>
        <v>2</v>
      </c>
      <c r="L167" s="1088">
        <v>0.8</v>
      </c>
      <c r="M167" s="1121">
        <v>0</v>
      </c>
      <c r="N167" s="1120"/>
      <c r="O167" s="1085">
        <f t="shared" si="47"/>
        <v>276.8</v>
      </c>
      <c r="P167" s="1120">
        <v>14</v>
      </c>
      <c r="Q167" s="1039">
        <f t="shared" si="45"/>
        <v>3875200.0000000005</v>
      </c>
      <c r="R167" s="1090">
        <v>2008097.5</v>
      </c>
      <c r="S167" s="1085"/>
    </row>
    <row r="168" spans="1:19" ht="25.5">
      <c r="A168" s="1084"/>
      <c r="B168" s="1085" t="s">
        <v>444</v>
      </c>
      <c r="C168" s="1085"/>
      <c r="D168" s="1129">
        <v>1</v>
      </c>
      <c r="E168" s="1129">
        <v>1</v>
      </c>
      <c r="F168" s="1087" t="s">
        <v>22</v>
      </c>
      <c r="G168" s="1051">
        <f t="shared" si="36"/>
        <v>0.9</v>
      </c>
      <c r="H168" s="1051">
        <f t="shared" si="37"/>
        <v>9.9999999999999978E-2</v>
      </c>
      <c r="I168" s="1039">
        <f t="shared" si="44"/>
        <v>1</v>
      </c>
      <c r="J168" s="1120">
        <v>5</v>
      </c>
      <c r="K168" s="1053">
        <f t="shared" si="46"/>
        <v>0.5</v>
      </c>
      <c r="L168" s="1088">
        <v>0.9</v>
      </c>
      <c r="M168" s="1121">
        <v>0</v>
      </c>
      <c r="N168" s="1120"/>
      <c r="O168" s="1085">
        <f t="shared" si="47"/>
        <v>4.05</v>
      </c>
      <c r="P168" s="1120">
        <v>14</v>
      </c>
      <c r="Q168" s="1039">
        <f t="shared" si="45"/>
        <v>56699.999999999993</v>
      </c>
      <c r="R168" s="1090">
        <v>35000</v>
      </c>
      <c r="S168" s="1085"/>
    </row>
    <row r="169" spans="1:19" ht="25.5">
      <c r="A169" s="1084"/>
      <c r="B169" s="1085" t="s">
        <v>444</v>
      </c>
      <c r="C169" s="1085"/>
      <c r="D169" s="1129">
        <v>21</v>
      </c>
      <c r="E169" s="1129">
        <v>0</v>
      </c>
      <c r="F169" s="1087" t="s">
        <v>22</v>
      </c>
      <c r="G169" s="1051">
        <f t="shared" si="36"/>
        <v>0</v>
      </c>
      <c r="H169" s="1051">
        <f t="shared" si="37"/>
        <v>0</v>
      </c>
      <c r="I169" s="1039">
        <f t="shared" si="44"/>
        <v>0</v>
      </c>
      <c r="J169" s="1120">
        <v>5</v>
      </c>
      <c r="K169" s="1053">
        <f t="shared" si="46"/>
        <v>0.5</v>
      </c>
      <c r="L169" s="1088">
        <v>0.9</v>
      </c>
      <c r="M169" s="1121">
        <v>0</v>
      </c>
      <c r="N169" s="1121"/>
      <c r="O169" s="1085">
        <f t="shared" si="47"/>
        <v>0</v>
      </c>
      <c r="P169" s="1120">
        <v>14</v>
      </c>
      <c r="Q169" s="1039">
        <f t="shared" si="45"/>
        <v>0</v>
      </c>
      <c r="R169" s="1090">
        <v>1207255</v>
      </c>
      <c r="S169" s="1085"/>
    </row>
    <row r="170" spans="1:19" ht="25.5">
      <c r="A170" s="1084"/>
      <c r="B170" s="1085" t="s">
        <v>444</v>
      </c>
      <c r="C170" s="1085"/>
      <c r="D170" s="1129">
        <v>190</v>
      </c>
      <c r="E170" s="1129">
        <v>130</v>
      </c>
      <c r="F170" s="1087" t="s">
        <v>22</v>
      </c>
      <c r="G170" s="1051">
        <f t="shared" si="36"/>
        <v>117</v>
      </c>
      <c r="H170" s="1051">
        <f t="shared" si="37"/>
        <v>13</v>
      </c>
      <c r="I170" s="1039">
        <f t="shared" si="44"/>
        <v>130</v>
      </c>
      <c r="J170" s="1120">
        <v>30</v>
      </c>
      <c r="K170" s="1053">
        <f t="shared" si="46"/>
        <v>3</v>
      </c>
      <c r="L170" s="1088">
        <v>0.9</v>
      </c>
      <c r="M170" s="1121">
        <v>0</v>
      </c>
      <c r="N170" s="1121"/>
      <c r="O170" s="1085">
        <f t="shared" si="47"/>
        <v>3159</v>
      </c>
      <c r="P170" s="1120">
        <v>14</v>
      </c>
      <c r="Q170" s="1039">
        <f t="shared" si="45"/>
        <v>44226000</v>
      </c>
      <c r="R170" s="1090">
        <f>N170+Q170</f>
        <v>44226000</v>
      </c>
      <c r="S170" s="1085"/>
    </row>
    <row r="171" spans="1:19" ht="25.5">
      <c r="A171" s="1084"/>
      <c r="B171" s="1085" t="s">
        <v>322</v>
      </c>
      <c r="C171" s="1085"/>
      <c r="D171" s="1129">
        <v>54</v>
      </c>
      <c r="E171" s="1129">
        <v>93.25</v>
      </c>
      <c r="F171" s="1087" t="s">
        <v>22</v>
      </c>
      <c r="G171" s="1051">
        <f t="shared" si="36"/>
        <v>83.924999999999997</v>
      </c>
      <c r="H171" s="1051">
        <f t="shared" si="37"/>
        <v>9.3250000000000028</v>
      </c>
      <c r="I171" s="1039">
        <f t="shared" si="44"/>
        <v>93.25</v>
      </c>
      <c r="J171" s="1120">
        <v>9</v>
      </c>
      <c r="K171" s="1053">
        <f t="shared" si="46"/>
        <v>0.90000000000000036</v>
      </c>
      <c r="L171" s="1088">
        <v>0.9</v>
      </c>
      <c r="M171" s="1121">
        <v>0</v>
      </c>
      <c r="N171" s="1121"/>
      <c r="O171" s="1085">
        <f t="shared" si="47"/>
        <v>679.7924999999999</v>
      </c>
      <c r="P171" s="1120">
        <v>14</v>
      </c>
      <c r="Q171" s="1039">
        <f t="shared" si="45"/>
        <v>9517095</v>
      </c>
      <c r="R171" s="1090">
        <f>N171+Q171</f>
        <v>9517095</v>
      </c>
      <c r="S171" s="1085"/>
    </row>
    <row r="172" spans="1:19" ht="25.5">
      <c r="A172" s="1084" t="s">
        <v>445</v>
      </c>
      <c r="B172" s="1085" t="s">
        <v>368</v>
      </c>
      <c r="C172" s="1085"/>
      <c r="D172" s="1091">
        <v>7</v>
      </c>
      <c r="E172" s="1091">
        <v>14</v>
      </c>
      <c r="F172" s="1087" t="s">
        <v>22</v>
      </c>
      <c r="G172" s="1051">
        <f t="shared" si="36"/>
        <v>12.6</v>
      </c>
      <c r="H172" s="1051">
        <f t="shared" si="37"/>
        <v>1.4000000000000004</v>
      </c>
      <c r="I172" s="1039">
        <f t="shared" si="44"/>
        <v>14</v>
      </c>
      <c r="J172" s="1085">
        <v>4</v>
      </c>
      <c r="K172" s="1053">
        <f t="shared" si="46"/>
        <v>0.39999999999999991</v>
      </c>
      <c r="L172" s="1088">
        <v>0.9</v>
      </c>
      <c r="M172" s="1089">
        <v>44110</v>
      </c>
      <c r="N172" s="1085"/>
      <c r="O172" s="1085">
        <f t="shared" si="47"/>
        <v>45.36</v>
      </c>
      <c r="P172" s="1085">
        <v>12</v>
      </c>
      <c r="Q172" s="1039">
        <f t="shared" si="45"/>
        <v>544319.99999999988</v>
      </c>
      <c r="R172" s="1090">
        <v>48016</v>
      </c>
      <c r="S172" s="1085"/>
    </row>
    <row r="173" spans="1:19" ht="25.5">
      <c r="A173" s="1084" t="s">
        <v>176</v>
      </c>
      <c r="B173" s="1085" t="s">
        <v>322</v>
      </c>
      <c r="C173" s="1085"/>
      <c r="D173" s="1091">
        <v>6</v>
      </c>
      <c r="E173" s="1091">
        <v>2.5</v>
      </c>
      <c r="F173" s="1087" t="s">
        <v>22</v>
      </c>
      <c r="G173" s="1051">
        <f t="shared" si="36"/>
        <v>2.25</v>
      </c>
      <c r="H173" s="1051">
        <f t="shared" si="37"/>
        <v>0.25</v>
      </c>
      <c r="I173" s="1039">
        <f t="shared" si="44"/>
        <v>2.5</v>
      </c>
      <c r="J173" s="1085">
        <v>4</v>
      </c>
      <c r="K173" s="1053">
        <f t="shared" si="46"/>
        <v>0.39999999999999991</v>
      </c>
      <c r="L173" s="1088">
        <v>0.9</v>
      </c>
      <c r="M173" s="1089">
        <v>25940</v>
      </c>
      <c r="N173" s="1085"/>
      <c r="O173" s="1085">
        <f t="shared" si="47"/>
        <v>8.1</v>
      </c>
      <c r="P173" s="1085">
        <v>13</v>
      </c>
      <c r="Q173" s="1039">
        <f t="shared" si="45"/>
        <v>105300</v>
      </c>
      <c r="R173" s="1090">
        <v>52017</v>
      </c>
      <c r="S173" s="1085"/>
    </row>
    <row r="174" spans="1:19" ht="25.5">
      <c r="A174" s="1130" t="s">
        <v>446</v>
      </c>
      <c r="B174" s="1131" t="s">
        <v>368</v>
      </c>
      <c r="C174" s="1131"/>
      <c r="D174" s="1132">
        <v>2</v>
      </c>
      <c r="E174" s="1132">
        <v>1.5</v>
      </c>
      <c r="F174" s="1133" t="s">
        <v>22</v>
      </c>
      <c r="G174" s="1051">
        <f t="shared" si="36"/>
        <v>1.35</v>
      </c>
      <c r="H174" s="1051">
        <f t="shared" si="37"/>
        <v>0.14999999999999991</v>
      </c>
      <c r="I174" s="1039">
        <f t="shared" si="44"/>
        <v>1.5</v>
      </c>
      <c r="J174" s="1110">
        <v>5.2</v>
      </c>
      <c r="K174" s="1053">
        <f t="shared" si="46"/>
        <v>0.51999999999999957</v>
      </c>
      <c r="L174" s="1134">
        <v>0.9</v>
      </c>
      <c r="M174" s="1111"/>
      <c r="N174" s="1111"/>
      <c r="O174" s="1085">
        <f t="shared" si="47"/>
        <v>6.3180000000000005</v>
      </c>
      <c r="P174" s="1135">
        <v>16.8</v>
      </c>
      <c r="Q174" s="1039">
        <f t="shared" si="45"/>
        <v>106142.40000000001</v>
      </c>
      <c r="R174" s="1128">
        <v>88108</v>
      </c>
      <c r="S174" s="1130" t="s">
        <v>447</v>
      </c>
    </row>
    <row r="175" spans="1:19" ht="25.5">
      <c r="A175" s="1136" t="s">
        <v>176</v>
      </c>
      <c r="B175" s="1136" t="s">
        <v>368</v>
      </c>
      <c r="C175" s="1136"/>
      <c r="D175" s="1137">
        <v>2</v>
      </c>
      <c r="E175" s="1137">
        <v>3</v>
      </c>
      <c r="F175" s="1138" t="s">
        <v>448</v>
      </c>
      <c r="G175" s="1051">
        <f t="shared" si="36"/>
        <v>1.5</v>
      </c>
      <c r="H175" s="1051">
        <f t="shared" si="37"/>
        <v>1.5</v>
      </c>
      <c r="I175" s="1039">
        <f t="shared" si="44"/>
        <v>3</v>
      </c>
      <c r="J175" s="1110">
        <v>5.3</v>
      </c>
      <c r="K175" s="1053">
        <f t="shared" si="46"/>
        <v>2.65</v>
      </c>
      <c r="L175" s="1134">
        <v>0.5</v>
      </c>
      <c r="M175" s="1111">
        <v>50000</v>
      </c>
      <c r="N175" s="1111">
        <v>25000</v>
      </c>
      <c r="O175" s="1085"/>
      <c r="P175" s="1135"/>
      <c r="Q175" s="1039">
        <f t="shared" si="45"/>
        <v>0</v>
      </c>
      <c r="R175" s="1128">
        <v>0</v>
      </c>
      <c r="S175" s="1139" t="s">
        <v>447</v>
      </c>
    </row>
    <row r="176" spans="1:19" ht="25.5">
      <c r="A176" s="1084" t="s">
        <v>402</v>
      </c>
      <c r="B176" s="1085" t="s">
        <v>326</v>
      </c>
      <c r="C176" s="1085"/>
      <c r="D176" s="1086">
        <v>20</v>
      </c>
      <c r="E176" s="1086">
        <v>22</v>
      </c>
      <c r="F176" s="1087" t="s">
        <v>51</v>
      </c>
      <c r="G176" s="1051">
        <f t="shared" si="36"/>
        <v>11</v>
      </c>
      <c r="H176" s="1051">
        <f t="shared" si="37"/>
        <v>11</v>
      </c>
      <c r="I176" s="1039">
        <f t="shared" si="44"/>
        <v>22</v>
      </c>
      <c r="J176" s="1085">
        <v>4.2</v>
      </c>
      <c r="K176" s="1053">
        <f t="shared" si="46"/>
        <v>2.1</v>
      </c>
      <c r="L176" s="1088">
        <v>0.5</v>
      </c>
      <c r="M176" s="1089">
        <v>30000</v>
      </c>
      <c r="N176" s="1085">
        <f>M176*I176</f>
        <v>660000</v>
      </c>
      <c r="O176" s="1085"/>
      <c r="P176" s="1085"/>
      <c r="Q176" s="1039">
        <f t="shared" si="45"/>
        <v>0</v>
      </c>
      <c r="R176" s="1090">
        <f>N176+Q176</f>
        <v>660000</v>
      </c>
      <c r="S176" s="1085"/>
    </row>
    <row r="177" spans="1:19" ht="25.5">
      <c r="A177" s="1084" t="s">
        <v>176</v>
      </c>
      <c r="B177" s="1085" t="s">
        <v>326</v>
      </c>
      <c r="C177" s="1085"/>
      <c r="D177" s="1140">
        <v>48</v>
      </c>
      <c r="E177" s="1140">
        <v>101</v>
      </c>
      <c r="F177" s="1124" t="s">
        <v>22</v>
      </c>
      <c r="G177" s="1051">
        <f t="shared" si="36"/>
        <v>80.800000000000011</v>
      </c>
      <c r="H177" s="1051">
        <f t="shared" si="37"/>
        <v>20.199999999999989</v>
      </c>
      <c r="I177" s="1039">
        <f t="shared" si="44"/>
        <v>101</v>
      </c>
      <c r="J177" s="1085">
        <v>4.2</v>
      </c>
      <c r="K177" s="1053">
        <f t="shared" si="46"/>
        <v>0.83999999999999986</v>
      </c>
      <c r="L177" s="1126">
        <v>0.8</v>
      </c>
      <c r="M177" s="1141"/>
      <c r="N177" s="1131"/>
      <c r="O177" s="1085">
        <f t="shared" si="47"/>
        <v>271.48800000000006</v>
      </c>
      <c r="P177" s="1142">
        <v>13</v>
      </c>
      <c r="Q177" s="1039">
        <f t="shared" si="45"/>
        <v>3529344.0000000009</v>
      </c>
      <c r="R177" s="1090">
        <f>N177+Q177</f>
        <v>3529344.0000000009</v>
      </c>
      <c r="S177" s="1122"/>
    </row>
    <row r="178" spans="1:19" ht="25.5">
      <c r="A178" s="1084" t="s">
        <v>176</v>
      </c>
      <c r="B178" s="1085" t="s">
        <v>326</v>
      </c>
      <c r="C178" s="1085"/>
      <c r="D178" s="1140">
        <v>31</v>
      </c>
      <c r="E178" s="1140">
        <v>41</v>
      </c>
      <c r="F178" s="1124" t="s">
        <v>200</v>
      </c>
      <c r="G178" s="1051">
        <f t="shared" si="36"/>
        <v>32.800000000000004</v>
      </c>
      <c r="H178" s="1051">
        <f t="shared" si="37"/>
        <v>8.1999999999999957</v>
      </c>
      <c r="I178" s="1039">
        <f t="shared" si="44"/>
        <v>41</v>
      </c>
      <c r="J178" s="1085">
        <v>4.2</v>
      </c>
      <c r="K178" s="1053">
        <f t="shared" si="46"/>
        <v>0.83999999999999986</v>
      </c>
      <c r="L178" s="1126">
        <v>0.8</v>
      </c>
      <c r="M178" s="1141"/>
      <c r="N178" s="1131"/>
      <c r="O178" s="1085">
        <f t="shared" si="47"/>
        <v>110.20800000000003</v>
      </c>
      <c r="P178" s="1142">
        <v>13</v>
      </c>
      <c r="Q178" s="1039">
        <f t="shared" si="45"/>
        <v>1432704.0000000005</v>
      </c>
      <c r="R178" s="1090">
        <f>N178+Q178</f>
        <v>1432704.0000000005</v>
      </c>
      <c r="S178" s="1122"/>
    </row>
    <row r="179" spans="1:19" ht="25.5">
      <c r="A179" s="1084" t="s">
        <v>404</v>
      </c>
      <c r="B179" s="1085" t="s">
        <v>326</v>
      </c>
      <c r="C179" s="1085"/>
      <c r="D179" s="1086">
        <v>5</v>
      </c>
      <c r="E179" s="1086">
        <v>6.5</v>
      </c>
      <c r="F179" s="1087" t="s">
        <v>124</v>
      </c>
      <c r="G179" s="1051">
        <f t="shared" si="36"/>
        <v>4.875</v>
      </c>
      <c r="H179" s="1051">
        <f t="shared" si="37"/>
        <v>1.625</v>
      </c>
      <c r="I179" s="1039">
        <f t="shared" si="44"/>
        <v>6.5</v>
      </c>
      <c r="J179" s="1085">
        <v>4</v>
      </c>
      <c r="K179" s="1053">
        <f t="shared" si="46"/>
        <v>1</v>
      </c>
      <c r="L179" s="1088">
        <v>0.75</v>
      </c>
      <c r="M179" s="1089">
        <v>9030</v>
      </c>
      <c r="N179" s="1089">
        <v>11739</v>
      </c>
      <c r="O179" s="1085"/>
      <c r="P179" s="1085"/>
      <c r="Q179" s="1039">
        <f t="shared" si="45"/>
        <v>0</v>
      </c>
      <c r="R179" s="1090">
        <v>11739</v>
      </c>
      <c r="S179" s="1085"/>
    </row>
    <row r="180" spans="1:19" ht="25.5">
      <c r="A180" s="1084"/>
      <c r="B180" s="1085" t="s">
        <v>326</v>
      </c>
      <c r="C180" s="1085"/>
      <c r="D180" s="1086">
        <v>232</v>
      </c>
      <c r="E180" s="1086">
        <v>281.85000000000002</v>
      </c>
      <c r="F180" s="1087" t="s">
        <v>51</v>
      </c>
      <c r="G180" s="1051">
        <f t="shared" si="36"/>
        <v>140.92500000000001</v>
      </c>
      <c r="H180" s="1051">
        <f t="shared" si="37"/>
        <v>140.92500000000001</v>
      </c>
      <c r="I180" s="1039">
        <f t="shared" si="44"/>
        <v>281.85000000000002</v>
      </c>
      <c r="J180" s="1085">
        <v>4</v>
      </c>
      <c r="K180" s="1053">
        <f t="shared" si="46"/>
        <v>2</v>
      </c>
      <c r="L180" s="1088">
        <v>0.5</v>
      </c>
      <c r="M180" s="1089">
        <v>34240</v>
      </c>
      <c r="N180" s="1089">
        <v>2269701.1200000001</v>
      </c>
      <c r="O180" s="1085"/>
      <c r="P180" s="1085"/>
      <c r="Q180" s="1039">
        <f t="shared" si="45"/>
        <v>0</v>
      </c>
      <c r="R180" s="1090">
        <v>2269701.1200000001</v>
      </c>
      <c r="S180" s="1085"/>
    </row>
    <row r="181" spans="1:19" ht="25.5">
      <c r="A181" s="1084"/>
      <c r="B181" s="1085" t="s">
        <v>326</v>
      </c>
      <c r="C181" s="1085"/>
      <c r="D181" s="1091">
        <v>718</v>
      </c>
      <c r="E181" s="1091">
        <v>895.48899999999992</v>
      </c>
      <c r="F181" s="1087" t="s">
        <v>22</v>
      </c>
      <c r="G181" s="1051">
        <f t="shared" si="36"/>
        <v>707.43630999999993</v>
      </c>
      <c r="H181" s="1051">
        <f t="shared" si="37"/>
        <v>188.05268999999998</v>
      </c>
      <c r="I181" s="1039">
        <f t="shared" si="44"/>
        <v>895.48899999999992</v>
      </c>
      <c r="J181" s="1085">
        <v>4</v>
      </c>
      <c r="K181" s="1053">
        <f t="shared" si="46"/>
        <v>0.83999999999999986</v>
      </c>
      <c r="L181" s="1088">
        <v>0.79</v>
      </c>
      <c r="M181" s="1089"/>
      <c r="N181" s="1089"/>
      <c r="O181" s="1085">
        <f t="shared" si="47"/>
        <v>2235.4987395999997</v>
      </c>
      <c r="P181" s="1085">
        <v>229.5</v>
      </c>
      <c r="Q181" s="1039">
        <f t="shared" si="45"/>
        <v>513046960.73819995</v>
      </c>
      <c r="R181" s="1090">
        <v>21272193</v>
      </c>
      <c r="S181" s="1085"/>
    </row>
    <row r="182" spans="1:19" ht="25.5">
      <c r="A182" s="1084"/>
      <c r="B182" s="1085" t="s">
        <v>326</v>
      </c>
      <c r="C182" s="1085"/>
      <c r="D182" s="1091">
        <v>472</v>
      </c>
      <c r="E182" s="1091">
        <v>668.25</v>
      </c>
      <c r="F182" s="1087" t="s">
        <v>200</v>
      </c>
      <c r="G182" s="1051">
        <f t="shared" si="36"/>
        <v>487.82249999999999</v>
      </c>
      <c r="H182" s="1051">
        <f t="shared" si="37"/>
        <v>180.42750000000001</v>
      </c>
      <c r="I182" s="1039">
        <f t="shared" si="44"/>
        <v>668.25</v>
      </c>
      <c r="J182" s="1085">
        <v>4</v>
      </c>
      <c r="K182" s="1053">
        <f t="shared" si="46"/>
        <v>1.08</v>
      </c>
      <c r="L182" s="1088">
        <v>0.73</v>
      </c>
      <c r="M182" s="1089"/>
      <c r="N182" s="1089"/>
      <c r="O182" s="1085">
        <f t="shared" si="47"/>
        <v>1424.4416999999999</v>
      </c>
      <c r="P182" s="1085">
        <v>13.5</v>
      </c>
      <c r="Q182" s="1039">
        <f t="shared" si="45"/>
        <v>19229962.949999996</v>
      </c>
      <c r="R182" s="1090">
        <v>7140555</v>
      </c>
      <c r="S182" s="1085"/>
    </row>
    <row r="183" spans="1:19" ht="25.5">
      <c r="A183" s="1143" t="s">
        <v>407</v>
      </c>
      <c r="B183" s="1144" t="s">
        <v>433</v>
      </c>
      <c r="C183" s="1144"/>
      <c r="D183" s="1100">
        <v>12</v>
      </c>
      <c r="E183" s="1100">
        <v>15</v>
      </c>
      <c r="F183" s="1145" t="s">
        <v>51</v>
      </c>
      <c r="G183" s="1051">
        <f t="shared" si="36"/>
        <v>7.5</v>
      </c>
      <c r="H183" s="1051">
        <f t="shared" si="37"/>
        <v>7.5</v>
      </c>
      <c r="I183" s="1039">
        <f t="shared" si="44"/>
        <v>15</v>
      </c>
      <c r="J183" s="1093">
        <v>6</v>
      </c>
      <c r="K183" s="1053">
        <f t="shared" si="46"/>
        <v>3</v>
      </c>
      <c r="L183" s="1146">
        <v>0.5</v>
      </c>
      <c r="M183" s="1093">
        <v>11154</v>
      </c>
      <c r="N183" s="1093">
        <v>125482.5</v>
      </c>
      <c r="O183" s="1085"/>
      <c r="P183" s="1093"/>
      <c r="Q183" s="1039">
        <f t="shared" si="45"/>
        <v>0</v>
      </c>
      <c r="R183" s="1100">
        <f t="shared" ref="R183:R190" si="48">N183+Q183</f>
        <v>125482.5</v>
      </c>
      <c r="S183" s="1147"/>
    </row>
    <row r="184" spans="1:19" ht="25.5">
      <c r="A184" s="1143"/>
      <c r="B184" s="1148" t="s">
        <v>449</v>
      </c>
      <c r="C184" s="1148"/>
      <c r="D184" s="1149">
        <v>7.5</v>
      </c>
      <c r="E184" s="1149">
        <v>7.5</v>
      </c>
      <c r="F184" s="1150" t="s">
        <v>51</v>
      </c>
      <c r="G184" s="1051">
        <f t="shared" si="36"/>
        <v>3.75</v>
      </c>
      <c r="H184" s="1051">
        <f t="shared" si="37"/>
        <v>3.75</v>
      </c>
      <c r="I184" s="1039">
        <f t="shared" si="44"/>
        <v>7.5</v>
      </c>
      <c r="J184" s="1147">
        <v>7</v>
      </c>
      <c r="K184" s="1053">
        <f t="shared" si="46"/>
        <v>3.5</v>
      </c>
      <c r="L184" s="1146">
        <v>0.5</v>
      </c>
      <c r="M184" s="1093">
        <v>22308</v>
      </c>
      <c r="N184" s="1093">
        <v>83655</v>
      </c>
      <c r="O184" s="1085"/>
      <c r="P184" s="1143"/>
      <c r="Q184" s="1039">
        <f t="shared" si="45"/>
        <v>0</v>
      </c>
      <c r="R184" s="1100">
        <f t="shared" si="48"/>
        <v>83655</v>
      </c>
      <c r="S184" s="1147"/>
    </row>
    <row r="185" spans="1:19" ht="25.5">
      <c r="A185" s="1143"/>
      <c r="B185" s="1148" t="s">
        <v>433</v>
      </c>
      <c r="C185" s="1148"/>
      <c r="D185" s="1149">
        <v>30</v>
      </c>
      <c r="E185" s="1149">
        <v>28</v>
      </c>
      <c r="F185" s="1150" t="s">
        <v>200</v>
      </c>
      <c r="G185" s="1051">
        <f t="shared" si="36"/>
        <v>22.400000000000002</v>
      </c>
      <c r="H185" s="1051">
        <f t="shared" si="37"/>
        <v>5.5999999999999979</v>
      </c>
      <c r="I185" s="1039">
        <f t="shared" si="44"/>
        <v>28</v>
      </c>
      <c r="J185" s="1147">
        <v>12</v>
      </c>
      <c r="K185" s="1053">
        <f t="shared" si="46"/>
        <v>2.3999999999999986</v>
      </c>
      <c r="L185" s="1146">
        <v>0.8</v>
      </c>
      <c r="M185" s="1093">
        <v>0</v>
      </c>
      <c r="N185" s="1093">
        <v>0</v>
      </c>
      <c r="O185" s="1085">
        <f t="shared" si="47"/>
        <v>215.04000000000002</v>
      </c>
      <c r="P185" s="1143">
        <v>14</v>
      </c>
      <c r="Q185" s="1039">
        <f t="shared" si="45"/>
        <v>3010560.0000000005</v>
      </c>
      <c r="R185" s="1100">
        <f t="shared" si="48"/>
        <v>3010560.0000000005</v>
      </c>
      <c r="S185" s="1147"/>
    </row>
    <row r="186" spans="1:19" ht="25.5">
      <c r="A186" s="1143"/>
      <c r="B186" s="1148" t="s">
        <v>433</v>
      </c>
      <c r="C186" s="1148"/>
      <c r="D186" s="1149">
        <v>155</v>
      </c>
      <c r="E186" s="1149">
        <v>147.25</v>
      </c>
      <c r="F186" s="1150" t="s">
        <v>22</v>
      </c>
      <c r="G186" s="1051">
        <f t="shared" si="36"/>
        <v>58.900000000000006</v>
      </c>
      <c r="H186" s="1051">
        <f t="shared" si="37"/>
        <v>88.35</v>
      </c>
      <c r="I186" s="1039">
        <f t="shared" si="44"/>
        <v>147.25</v>
      </c>
      <c r="J186" s="1143">
        <v>6</v>
      </c>
      <c r="K186" s="1053">
        <f t="shared" si="46"/>
        <v>3.5999999999999996</v>
      </c>
      <c r="L186" s="1146">
        <v>0.4</v>
      </c>
      <c r="M186" s="1093">
        <v>0</v>
      </c>
      <c r="N186" s="1093">
        <v>0</v>
      </c>
      <c r="O186" s="1085">
        <f t="shared" si="47"/>
        <v>141.36000000000001</v>
      </c>
      <c r="P186" s="1143">
        <v>14</v>
      </c>
      <c r="Q186" s="1039">
        <f t="shared" si="45"/>
        <v>1979040.0000000002</v>
      </c>
      <c r="R186" s="1100">
        <f t="shared" si="48"/>
        <v>1979040.0000000002</v>
      </c>
      <c r="S186" s="1147"/>
    </row>
    <row r="187" spans="1:19" ht="25.5">
      <c r="A187" s="1143"/>
      <c r="B187" s="1148" t="s">
        <v>449</v>
      </c>
      <c r="C187" s="1148"/>
      <c r="D187" s="1149">
        <v>15</v>
      </c>
      <c r="E187" s="1149">
        <v>12.25</v>
      </c>
      <c r="F187" s="1150" t="s">
        <v>22</v>
      </c>
      <c r="G187" s="1051">
        <f t="shared" si="36"/>
        <v>11.025</v>
      </c>
      <c r="H187" s="1051">
        <f t="shared" si="37"/>
        <v>1.2249999999999996</v>
      </c>
      <c r="I187" s="1039">
        <f t="shared" si="44"/>
        <v>12.25</v>
      </c>
      <c r="J187" s="1147">
        <v>10.5</v>
      </c>
      <c r="K187" s="1053">
        <f t="shared" si="46"/>
        <v>1.0499999999999989</v>
      </c>
      <c r="L187" s="1151">
        <v>0.9</v>
      </c>
      <c r="M187" s="1093">
        <v>0</v>
      </c>
      <c r="N187" s="1093">
        <v>0</v>
      </c>
      <c r="O187" s="1085">
        <f t="shared" si="47"/>
        <v>104.18625</v>
      </c>
      <c r="P187" s="1143">
        <v>14</v>
      </c>
      <c r="Q187" s="1039">
        <f t="shared" si="45"/>
        <v>1458607.5</v>
      </c>
      <c r="R187" s="1100">
        <f t="shared" si="48"/>
        <v>1458607.5</v>
      </c>
      <c r="S187" s="1147"/>
    </row>
    <row r="188" spans="1:19" ht="25.5">
      <c r="A188" s="1147" t="s">
        <v>410</v>
      </c>
      <c r="B188" s="1147" t="s">
        <v>326</v>
      </c>
      <c r="C188" s="1147"/>
      <c r="D188" s="1149">
        <v>76</v>
      </c>
      <c r="E188" s="1149">
        <v>81</v>
      </c>
      <c r="F188" s="1150" t="s">
        <v>160</v>
      </c>
      <c r="G188" s="1051">
        <f t="shared" si="36"/>
        <v>40.5</v>
      </c>
      <c r="H188" s="1051">
        <f t="shared" si="37"/>
        <v>40.5</v>
      </c>
      <c r="I188" s="1039">
        <f t="shared" si="44"/>
        <v>81</v>
      </c>
      <c r="J188" s="1147">
        <v>4.2</v>
      </c>
      <c r="K188" s="1053">
        <f t="shared" si="46"/>
        <v>2.1</v>
      </c>
      <c r="L188" s="1151">
        <v>0.5</v>
      </c>
      <c r="M188" s="1093">
        <v>27400</v>
      </c>
      <c r="N188" s="1093">
        <v>2219400</v>
      </c>
      <c r="O188" s="1085"/>
      <c r="P188" s="1147"/>
      <c r="Q188" s="1039">
        <f t="shared" si="45"/>
        <v>0</v>
      </c>
      <c r="R188" s="1100">
        <f t="shared" si="48"/>
        <v>2219400</v>
      </c>
      <c r="S188" s="1147"/>
    </row>
    <row r="189" spans="1:19" ht="25.5">
      <c r="A189" s="1147" t="s">
        <v>176</v>
      </c>
      <c r="B189" s="1147" t="s">
        <v>326</v>
      </c>
      <c r="C189" s="1147"/>
      <c r="D189" s="1149">
        <v>173</v>
      </c>
      <c r="E189" s="1149">
        <v>179.35</v>
      </c>
      <c r="F189" s="1150" t="s">
        <v>170</v>
      </c>
      <c r="G189" s="1051">
        <f t="shared" si="36"/>
        <v>35.870000000000005</v>
      </c>
      <c r="H189" s="1051">
        <f t="shared" si="37"/>
        <v>143.47999999999999</v>
      </c>
      <c r="I189" s="1039">
        <f t="shared" si="44"/>
        <v>179.35</v>
      </c>
      <c r="J189" s="1147">
        <v>4.2</v>
      </c>
      <c r="K189" s="1053">
        <f t="shared" si="46"/>
        <v>3.3600000000000003</v>
      </c>
      <c r="L189" s="1151">
        <v>0.2</v>
      </c>
      <c r="M189" s="1093">
        <v>0</v>
      </c>
      <c r="N189" s="1093">
        <v>0</v>
      </c>
      <c r="O189" s="1085">
        <f t="shared" si="47"/>
        <v>30.130800000000008</v>
      </c>
      <c r="P189" s="1147">
        <v>12.5</v>
      </c>
      <c r="Q189" s="1039">
        <f t="shared" si="45"/>
        <v>376635.00000000012</v>
      </c>
      <c r="R189" s="1100">
        <f t="shared" si="48"/>
        <v>376635.00000000012</v>
      </c>
      <c r="S189" s="1147"/>
    </row>
    <row r="190" spans="1:19" ht="25.5">
      <c r="A190" s="1147" t="s">
        <v>176</v>
      </c>
      <c r="B190" s="1147" t="s">
        <v>326</v>
      </c>
      <c r="C190" s="1147"/>
      <c r="D190" s="1149">
        <v>27</v>
      </c>
      <c r="E190" s="1149">
        <v>27.32</v>
      </c>
      <c r="F190" s="1150" t="s">
        <v>158</v>
      </c>
      <c r="G190" s="1051">
        <f t="shared" ref="G190:G207" si="49">E190-H190</f>
        <v>21.856000000000002</v>
      </c>
      <c r="H190" s="1051">
        <f t="shared" ref="H190:H207" si="50">E190-(E190*L190)</f>
        <v>5.4639999999999986</v>
      </c>
      <c r="I190" s="1039">
        <f t="shared" si="44"/>
        <v>27.32</v>
      </c>
      <c r="J190" s="1147">
        <v>4.2</v>
      </c>
      <c r="K190" s="1053">
        <f t="shared" si="46"/>
        <v>0.83999999999999986</v>
      </c>
      <c r="L190" s="1151">
        <v>0.8</v>
      </c>
      <c r="M190" s="1093">
        <v>0</v>
      </c>
      <c r="N190" s="1093"/>
      <c r="O190" s="1085">
        <f t="shared" si="47"/>
        <v>73.436160000000015</v>
      </c>
      <c r="P190" s="1147">
        <v>12.5</v>
      </c>
      <c r="Q190" s="1039">
        <f t="shared" si="45"/>
        <v>917952.00000000023</v>
      </c>
      <c r="R190" s="1100">
        <f t="shared" si="48"/>
        <v>917952.00000000023</v>
      </c>
      <c r="S190" s="1147"/>
    </row>
    <row r="191" spans="1:19" ht="25.5">
      <c r="A191" s="1040" t="s">
        <v>345</v>
      </c>
      <c r="B191" s="1152">
        <f t="shared" ref="B191" si="51">SUM(B192:B192)</f>
        <v>0</v>
      </c>
      <c r="C191" s="1153" t="s">
        <v>322</v>
      </c>
      <c r="D191" s="1043">
        <f>SUM(D192:D197)</f>
        <v>292</v>
      </c>
      <c r="E191" s="1044">
        <f t="shared" ref="E191:I191" si="52">SUM(E192:E197)</f>
        <v>2683.57</v>
      </c>
      <c r="F191" s="1041">
        <f t="shared" si="52"/>
        <v>0</v>
      </c>
      <c r="G191" s="1051">
        <f t="shared" si="49"/>
        <v>1833.7728333333332</v>
      </c>
      <c r="H191" s="1051">
        <f t="shared" si="50"/>
        <v>849.79716666666695</v>
      </c>
      <c r="I191" s="1044">
        <f t="shared" si="52"/>
        <v>102.07</v>
      </c>
      <c r="J191" s="1044">
        <f>AVERAGE(J192:J197)</f>
        <v>2.7250000000000001</v>
      </c>
      <c r="K191" s="1053">
        <f t="shared" si="46"/>
        <v>0.862916666666667</v>
      </c>
      <c r="L191" s="1045">
        <f>AVERAGE(L192:L197)</f>
        <v>0.68333333333333324</v>
      </c>
      <c r="M191" s="1044">
        <f>SUM(M192:M197)</f>
        <v>63200</v>
      </c>
      <c r="N191" s="1044">
        <f t="shared" ref="N191:R191" si="53">SUM(N192:N197)</f>
        <v>379832</v>
      </c>
      <c r="O191" s="1154">
        <f>AVERAGE(O192:O197)</f>
        <v>243.13425000000001</v>
      </c>
      <c r="P191" s="1044">
        <f t="shared" si="53"/>
        <v>60</v>
      </c>
      <c r="Q191" s="1044">
        <f t="shared" si="53"/>
        <v>12750444.000000002</v>
      </c>
      <c r="R191" s="1044">
        <f t="shared" si="53"/>
        <v>13130276.000000002</v>
      </c>
      <c r="S191" s="1155"/>
    </row>
    <row r="192" spans="1:19" ht="25.5">
      <c r="A192" s="1033" t="s">
        <v>450</v>
      </c>
      <c r="B192" s="1034"/>
      <c r="C192" s="1035"/>
      <c r="D192" s="1156">
        <v>42</v>
      </c>
      <c r="E192" s="1030">
        <v>2558</v>
      </c>
      <c r="F192" s="1157"/>
      <c r="G192" s="1051">
        <f t="shared" si="49"/>
        <v>767.40000000000009</v>
      </c>
      <c r="H192" s="1051">
        <f t="shared" si="50"/>
        <v>1790.6</v>
      </c>
      <c r="I192" s="1039"/>
      <c r="J192" s="1036">
        <v>3.35</v>
      </c>
      <c r="K192" s="1053">
        <f t="shared" si="46"/>
        <v>2.3450000000000002</v>
      </c>
      <c r="L192" s="1158">
        <v>0.3</v>
      </c>
      <c r="M192" s="1036"/>
      <c r="N192" s="1039"/>
      <c r="O192" s="1159">
        <f t="shared" ref="O192:O205" si="54">G192*J192*L192</f>
        <v>771.23700000000008</v>
      </c>
      <c r="P192" s="1036">
        <v>12</v>
      </c>
      <c r="Q192" s="1039">
        <f t="shared" ref="Q192:Q207" si="55">P192*O192*1000</f>
        <v>9254844.0000000019</v>
      </c>
      <c r="R192" s="1039">
        <f>Q192</f>
        <v>9254844.0000000019</v>
      </c>
      <c r="S192" s="1034"/>
    </row>
    <row r="193" spans="1:19" ht="25.5">
      <c r="A193" s="1033" t="s">
        <v>414</v>
      </c>
      <c r="B193" s="1034"/>
      <c r="C193" s="1035"/>
      <c r="D193" s="1156">
        <v>49</v>
      </c>
      <c r="E193" s="1030">
        <v>21.3</v>
      </c>
      <c r="F193" s="1157" t="s">
        <v>451</v>
      </c>
      <c r="G193" s="1051">
        <f t="shared" si="49"/>
        <v>10.65</v>
      </c>
      <c r="H193" s="1051">
        <f t="shared" si="50"/>
        <v>10.65</v>
      </c>
      <c r="I193" s="1039">
        <v>21.3</v>
      </c>
      <c r="J193" s="1036">
        <v>4</v>
      </c>
      <c r="K193" s="1053">
        <f t="shared" si="46"/>
        <v>2</v>
      </c>
      <c r="L193" s="1158">
        <v>0.5</v>
      </c>
      <c r="M193" s="1039"/>
      <c r="N193" s="1039"/>
      <c r="O193" s="1159">
        <f t="shared" si="54"/>
        <v>21.3</v>
      </c>
      <c r="P193" s="1036">
        <v>12</v>
      </c>
      <c r="Q193" s="1039">
        <f t="shared" si="55"/>
        <v>255600.00000000003</v>
      </c>
      <c r="R193" s="1039">
        <f t="shared" ref="R193:R197" si="56">Q193</f>
        <v>255600.00000000003</v>
      </c>
      <c r="S193" s="1034"/>
    </row>
    <row r="194" spans="1:19" ht="25.5">
      <c r="A194" s="1033" t="s">
        <v>452</v>
      </c>
      <c r="B194" s="1034"/>
      <c r="C194" s="1035"/>
      <c r="D194" s="1156">
        <v>30</v>
      </c>
      <c r="E194" s="1030">
        <v>14.25</v>
      </c>
      <c r="F194" s="1157" t="s">
        <v>51</v>
      </c>
      <c r="G194" s="1051">
        <f t="shared" si="49"/>
        <v>4.2749999999999986</v>
      </c>
      <c r="H194" s="1051">
        <f t="shared" si="50"/>
        <v>9.9750000000000014</v>
      </c>
      <c r="I194" s="1039">
        <v>14.25</v>
      </c>
      <c r="J194" s="1036">
        <v>3</v>
      </c>
      <c r="K194" s="1053">
        <f t="shared" si="46"/>
        <v>2.1</v>
      </c>
      <c r="L194" s="1158">
        <v>0.3</v>
      </c>
      <c r="M194" s="1039">
        <v>31600</v>
      </c>
      <c r="N194" s="1039">
        <v>379200</v>
      </c>
      <c r="O194" s="1159"/>
      <c r="P194" s="1036"/>
      <c r="Q194" s="1039"/>
      <c r="R194" s="1039">
        <f>N194</f>
        <v>379200</v>
      </c>
      <c r="S194" s="1034"/>
    </row>
    <row r="195" spans="1:19" ht="25.5">
      <c r="A195" s="1033" t="s">
        <v>453</v>
      </c>
      <c r="B195" s="1034"/>
      <c r="C195" s="1035" t="s">
        <v>454</v>
      </c>
      <c r="D195" s="1156">
        <v>1</v>
      </c>
      <c r="E195" s="1030">
        <v>0.02</v>
      </c>
      <c r="F195" s="1157" t="s">
        <v>455</v>
      </c>
      <c r="G195" s="1051">
        <f t="shared" si="49"/>
        <v>0.02</v>
      </c>
      <c r="H195" s="1051">
        <f t="shared" si="50"/>
        <v>0</v>
      </c>
      <c r="I195" s="1039">
        <v>0.02</v>
      </c>
      <c r="J195" s="1036">
        <v>2</v>
      </c>
      <c r="K195" s="1053">
        <f t="shared" si="46"/>
        <v>0</v>
      </c>
      <c r="L195" s="1158">
        <v>1</v>
      </c>
      <c r="M195" s="1039">
        <v>31600</v>
      </c>
      <c r="N195" s="1039">
        <v>632</v>
      </c>
      <c r="O195" s="1159"/>
      <c r="P195" s="1036"/>
      <c r="Q195" s="1039"/>
      <c r="R195" s="1039">
        <f>N195</f>
        <v>632</v>
      </c>
      <c r="S195" s="1034"/>
    </row>
    <row r="196" spans="1:19" ht="25.5">
      <c r="A196" s="1033" t="s">
        <v>456</v>
      </c>
      <c r="B196" s="1034"/>
      <c r="C196" s="1035" t="s">
        <v>322</v>
      </c>
      <c r="D196" s="1156">
        <v>169</v>
      </c>
      <c r="E196" s="1030">
        <v>88</v>
      </c>
      <c r="F196" s="1157" t="s">
        <v>451</v>
      </c>
      <c r="G196" s="1051">
        <f t="shared" si="49"/>
        <v>88</v>
      </c>
      <c r="H196" s="1051">
        <f t="shared" si="50"/>
        <v>0</v>
      </c>
      <c r="I196" s="1039">
        <v>64.5</v>
      </c>
      <c r="J196" s="1036">
        <v>2</v>
      </c>
      <c r="K196" s="1053">
        <f t="shared" si="46"/>
        <v>0</v>
      </c>
      <c r="L196" s="1158">
        <v>1</v>
      </c>
      <c r="M196" s="1039"/>
      <c r="N196" s="1039"/>
      <c r="O196" s="1159">
        <f t="shared" si="54"/>
        <v>176</v>
      </c>
      <c r="P196" s="1036">
        <v>18</v>
      </c>
      <c r="Q196" s="1039">
        <f t="shared" si="55"/>
        <v>3168000</v>
      </c>
      <c r="R196" s="1039">
        <f t="shared" si="56"/>
        <v>3168000</v>
      </c>
      <c r="S196" s="1034"/>
    </row>
    <row r="197" spans="1:19" ht="25.5">
      <c r="A197" s="1033"/>
      <c r="B197" s="1034"/>
      <c r="C197" s="1035" t="s">
        <v>428</v>
      </c>
      <c r="D197" s="1156">
        <v>1</v>
      </c>
      <c r="E197" s="1030">
        <v>2</v>
      </c>
      <c r="F197" s="1157" t="s">
        <v>451</v>
      </c>
      <c r="G197" s="1051">
        <f t="shared" si="49"/>
        <v>2</v>
      </c>
      <c r="H197" s="1051">
        <f t="shared" si="50"/>
        <v>0</v>
      </c>
      <c r="I197" s="1039">
        <v>2</v>
      </c>
      <c r="J197" s="1036">
        <v>2</v>
      </c>
      <c r="K197" s="1053">
        <f t="shared" si="46"/>
        <v>0</v>
      </c>
      <c r="L197" s="1158">
        <v>1</v>
      </c>
      <c r="M197" s="1039"/>
      <c r="N197" s="1039"/>
      <c r="O197" s="1159">
        <f t="shared" si="54"/>
        <v>4</v>
      </c>
      <c r="P197" s="1036">
        <v>18</v>
      </c>
      <c r="Q197" s="1039">
        <f t="shared" si="55"/>
        <v>72000</v>
      </c>
      <c r="R197" s="1039">
        <f t="shared" si="56"/>
        <v>72000</v>
      </c>
      <c r="S197" s="1034"/>
    </row>
    <row r="198" spans="1:19" ht="25.5">
      <c r="A198" s="1040" t="s">
        <v>232</v>
      </c>
      <c r="B198" s="1160"/>
      <c r="C198" s="1083"/>
      <c r="D198" s="1161">
        <f>SUM(D199:D207)</f>
        <v>35</v>
      </c>
      <c r="E198" s="1162">
        <f>SUM(E199:E207)</f>
        <v>644.75</v>
      </c>
      <c r="F198" s="1162">
        <f t="shared" ref="F198:I198" si="57">SUM(F199:F207)</f>
        <v>0</v>
      </c>
      <c r="G198" s="1162">
        <f>SUM(G199:G207)</f>
        <v>644.75</v>
      </c>
      <c r="H198" s="1162">
        <f t="shared" si="57"/>
        <v>0</v>
      </c>
      <c r="I198" s="1162">
        <f t="shared" si="57"/>
        <v>13.5</v>
      </c>
      <c r="J198" s="1162">
        <f>AVERAGE(J199:J209)</f>
        <v>2.4388888888888891</v>
      </c>
      <c r="K198" s="1053">
        <f t="shared" si="46"/>
        <v>0</v>
      </c>
      <c r="L198" s="1163">
        <f>AVERAGE(L199:L207)</f>
        <v>1</v>
      </c>
      <c r="M198" s="1162">
        <f>SUM(M199:M207)</f>
        <v>30000</v>
      </c>
      <c r="N198" s="1162">
        <f>SUM(N199:N207)</f>
        <v>67500</v>
      </c>
      <c r="O198" s="1154">
        <f>AVERAGE(O199:O201)</f>
        <v>1583.03</v>
      </c>
      <c r="P198" s="1162">
        <f>SUM(P199:P207)</f>
        <v>114</v>
      </c>
      <c r="Q198" s="1039">
        <f t="shared" si="55"/>
        <v>180465419.99999997</v>
      </c>
      <c r="R198" s="1162">
        <f>SUM(R199:R207)</f>
        <v>818100</v>
      </c>
      <c r="S198" s="1160"/>
    </row>
    <row r="199" spans="1:19" ht="25.5">
      <c r="A199" s="1033" t="s">
        <v>164</v>
      </c>
      <c r="B199" s="1034"/>
      <c r="C199" s="1034"/>
      <c r="D199" s="1036">
        <f>SUM(D200:D201)</f>
        <v>9</v>
      </c>
      <c r="E199" s="1037">
        <v>588</v>
      </c>
      <c r="F199" s="1034" t="s">
        <v>457</v>
      </c>
      <c r="G199" s="1051">
        <f t="shared" si="49"/>
        <v>588</v>
      </c>
      <c r="H199" s="1051">
        <f t="shared" si="50"/>
        <v>0</v>
      </c>
      <c r="I199" s="1039">
        <f>SUM(I200:I201)</f>
        <v>6.5</v>
      </c>
      <c r="J199" s="1036">
        <v>5.37</v>
      </c>
      <c r="K199" s="1053">
        <f t="shared" si="46"/>
        <v>0</v>
      </c>
      <c r="L199" s="1158">
        <v>1</v>
      </c>
      <c r="M199" s="1039"/>
      <c r="N199" s="1039"/>
      <c r="O199" s="1159">
        <f t="shared" si="54"/>
        <v>3157.56</v>
      </c>
      <c r="P199" s="1036">
        <v>15</v>
      </c>
      <c r="Q199" s="1039">
        <f t="shared" si="55"/>
        <v>47363400</v>
      </c>
      <c r="R199" s="1039">
        <f>SUM(R200:R201)</f>
        <v>195000</v>
      </c>
      <c r="S199" s="1034"/>
    </row>
    <row r="200" spans="1:19" ht="25.5">
      <c r="A200" s="1033"/>
      <c r="B200" s="1034"/>
      <c r="C200" s="1157"/>
      <c r="D200" s="1156">
        <v>3</v>
      </c>
      <c r="E200" s="1030">
        <v>2.25</v>
      </c>
      <c r="F200" s="1157" t="s">
        <v>160</v>
      </c>
      <c r="G200" s="1051">
        <f t="shared" si="49"/>
        <v>2.25</v>
      </c>
      <c r="H200" s="1051">
        <f t="shared" si="50"/>
        <v>0</v>
      </c>
      <c r="I200" s="1039">
        <f>G200+H200</f>
        <v>2.25</v>
      </c>
      <c r="J200" s="1036">
        <v>2</v>
      </c>
      <c r="K200" s="1053">
        <f t="shared" si="46"/>
        <v>0</v>
      </c>
      <c r="L200" s="1158">
        <v>1</v>
      </c>
      <c r="M200" s="1039">
        <v>30000</v>
      </c>
      <c r="N200" s="1039">
        <f>M200*I200</f>
        <v>67500</v>
      </c>
      <c r="O200" s="1159"/>
      <c r="P200" s="1036"/>
      <c r="Q200" s="1039"/>
      <c r="R200" s="1039">
        <f>N200+Q200</f>
        <v>67500</v>
      </c>
      <c r="S200" s="1034"/>
    </row>
    <row r="201" spans="1:19" ht="25.5">
      <c r="A201" s="1033"/>
      <c r="B201" s="1034"/>
      <c r="C201" s="1157"/>
      <c r="D201" s="1156">
        <v>6</v>
      </c>
      <c r="E201" s="1030">
        <v>4.25</v>
      </c>
      <c r="F201" s="1157" t="s">
        <v>158</v>
      </c>
      <c r="G201" s="1051">
        <f t="shared" si="49"/>
        <v>4.25</v>
      </c>
      <c r="H201" s="1051">
        <f t="shared" si="50"/>
        <v>0</v>
      </c>
      <c r="I201" s="1039">
        <f>G201+H201</f>
        <v>4.25</v>
      </c>
      <c r="J201" s="1036">
        <v>2</v>
      </c>
      <c r="K201" s="1053">
        <f t="shared" si="46"/>
        <v>0</v>
      </c>
      <c r="L201" s="1158">
        <v>1</v>
      </c>
      <c r="M201" s="1039"/>
      <c r="N201" s="1039"/>
      <c r="O201" s="1159">
        <f t="shared" si="54"/>
        <v>8.5</v>
      </c>
      <c r="P201" s="1036">
        <v>15</v>
      </c>
      <c r="Q201" s="1039">
        <f t="shared" si="55"/>
        <v>127500</v>
      </c>
      <c r="R201" s="1039">
        <f>N201+Q201</f>
        <v>127500</v>
      </c>
      <c r="S201" s="1034"/>
    </row>
    <row r="202" spans="1:19" ht="25.5">
      <c r="A202" s="1164" t="s">
        <v>356</v>
      </c>
      <c r="B202" s="1165"/>
      <c r="C202" s="1166"/>
      <c r="D202" s="1167">
        <v>7</v>
      </c>
      <c r="E202" s="1168">
        <v>8.5</v>
      </c>
      <c r="F202" s="1166" t="s">
        <v>386</v>
      </c>
      <c r="G202" s="1169">
        <f t="shared" si="49"/>
        <v>8.5</v>
      </c>
      <c r="H202" s="1169">
        <f t="shared" si="50"/>
        <v>0</v>
      </c>
      <c r="I202" s="1170"/>
      <c r="J202" s="1171">
        <v>1.8</v>
      </c>
      <c r="K202" s="1172">
        <f t="shared" si="46"/>
        <v>0</v>
      </c>
      <c r="L202" s="1173">
        <v>1</v>
      </c>
      <c r="M202" s="1170"/>
      <c r="N202" s="1170"/>
      <c r="O202" s="1174">
        <f t="shared" si="54"/>
        <v>15.3</v>
      </c>
      <c r="P202" s="1171">
        <v>13.5</v>
      </c>
      <c r="Q202" s="1170">
        <f t="shared" si="55"/>
        <v>206550</v>
      </c>
      <c r="R202" s="1170">
        <f t="shared" ref="R202:R205" si="58">N202+Q202</f>
        <v>206550</v>
      </c>
      <c r="S202" s="1034"/>
    </row>
    <row r="203" spans="1:19" ht="25.5">
      <c r="A203" s="1164"/>
      <c r="B203" s="1165"/>
      <c r="C203" s="1166"/>
      <c r="D203" s="1167">
        <v>6</v>
      </c>
      <c r="E203" s="1168">
        <v>6</v>
      </c>
      <c r="F203" s="1166" t="s">
        <v>386</v>
      </c>
      <c r="G203" s="1169">
        <f t="shared" si="49"/>
        <v>6</v>
      </c>
      <c r="H203" s="1169">
        <f t="shared" si="50"/>
        <v>0</v>
      </c>
      <c r="I203" s="1170"/>
      <c r="J203" s="1171">
        <v>1.8</v>
      </c>
      <c r="K203" s="1172"/>
      <c r="L203" s="1173">
        <v>1</v>
      </c>
      <c r="M203" s="1170"/>
      <c r="N203" s="1170"/>
      <c r="O203" s="1174">
        <f t="shared" si="54"/>
        <v>10.8</v>
      </c>
      <c r="P203" s="1171">
        <v>13.5</v>
      </c>
      <c r="Q203" s="1170">
        <f t="shared" si="55"/>
        <v>145800</v>
      </c>
      <c r="R203" s="1170">
        <f t="shared" si="58"/>
        <v>145800</v>
      </c>
      <c r="S203" s="1034"/>
    </row>
    <row r="204" spans="1:19" ht="25.5">
      <c r="A204" s="1164"/>
      <c r="B204" s="1165"/>
      <c r="C204" s="1166"/>
      <c r="D204" s="1167">
        <v>1</v>
      </c>
      <c r="E204" s="1168">
        <v>1.5</v>
      </c>
      <c r="F204" s="1166" t="s">
        <v>386</v>
      </c>
      <c r="G204" s="1169">
        <f t="shared" si="49"/>
        <v>1.5</v>
      </c>
      <c r="H204" s="1169">
        <f t="shared" si="50"/>
        <v>0</v>
      </c>
      <c r="I204" s="1170"/>
      <c r="J204" s="1171">
        <v>1.8</v>
      </c>
      <c r="K204" s="1172"/>
      <c r="L204" s="1173">
        <v>1</v>
      </c>
      <c r="M204" s="1170"/>
      <c r="N204" s="1170"/>
      <c r="O204" s="1174">
        <f t="shared" si="54"/>
        <v>2.7</v>
      </c>
      <c r="P204" s="1171">
        <v>13.5</v>
      </c>
      <c r="Q204" s="1170">
        <f t="shared" si="55"/>
        <v>36450</v>
      </c>
      <c r="R204" s="1170">
        <f t="shared" si="58"/>
        <v>36450</v>
      </c>
      <c r="S204" s="1034"/>
    </row>
    <row r="205" spans="1:19" ht="25.5">
      <c r="A205" s="1164"/>
      <c r="B205" s="1165"/>
      <c r="C205" s="1166"/>
      <c r="D205" s="1167">
        <v>1</v>
      </c>
      <c r="E205" s="1168">
        <v>1</v>
      </c>
      <c r="F205" s="1166" t="s">
        <v>386</v>
      </c>
      <c r="G205" s="1169">
        <f t="shared" si="49"/>
        <v>1</v>
      </c>
      <c r="H205" s="1169">
        <f t="shared" si="50"/>
        <v>0</v>
      </c>
      <c r="I205" s="1170"/>
      <c r="J205" s="1171">
        <v>1.8</v>
      </c>
      <c r="K205" s="1172"/>
      <c r="L205" s="1173">
        <v>1</v>
      </c>
      <c r="M205" s="1170"/>
      <c r="N205" s="1170"/>
      <c r="O205" s="1174">
        <f t="shared" si="54"/>
        <v>1.8</v>
      </c>
      <c r="P205" s="1171">
        <v>13.5</v>
      </c>
      <c r="Q205" s="1170">
        <f t="shared" si="55"/>
        <v>24300</v>
      </c>
      <c r="R205" s="1170">
        <f t="shared" si="58"/>
        <v>24300</v>
      </c>
      <c r="S205" s="1034"/>
    </row>
    <row r="206" spans="1:19" ht="25.5">
      <c r="A206" s="1033" t="s">
        <v>458</v>
      </c>
      <c r="B206" s="1034"/>
      <c r="C206" s="1157"/>
      <c r="D206" s="1156">
        <f>D207</f>
        <v>1</v>
      </c>
      <c r="E206" s="1030">
        <v>33</v>
      </c>
      <c r="F206" s="1157" t="s">
        <v>200</v>
      </c>
      <c r="G206" s="1051">
        <f t="shared" si="49"/>
        <v>33</v>
      </c>
      <c r="H206" s="1051">
        <f t="shared" si="50"/>
        <v>0</v>
      </c>
      <c r="I206" s="1032">
        <f>I207</f>
        <v>0.25</v>
      </c>
      <c r="J206" s="1036">
        <v>3.38</v>
      </c>
      <c r="K206" s="1053">
        <f t="shared" si="46"/>
        <v>0</v>
      </c>
      <c r="L206" s="1158">
        <v>1</v>
      </c>
      <c r="M206" s="1036"/>
      <c r="N206" s="1039"/>
      <c r="O206" s="1175">
        <f t="shared" ref="O206:O207" si="59">(J206*G206)+(L206*J206*H206)</f>
        <v>111.53999999999999</v>
      </c>
      <c r="P206" s="1036">
        <v>15</v>
      </c>
      <c r="Q206" s="1039">
        <f t="shared" si="55"/>
        <v>1673100</v>
      </c>
      <c r="R206" s="1039">
        <f>R207</f>
        <v>7500</v>
      </c>
      <c r="S206" s="1034"/>
    </row>
    <row r="207" spans="1:19" ht="25.5">
      <c r="A207" s="1033"/>
      <c r="B207" s="1034"/>
      <c r="C207" s="1157"/>
      <c r="D207" s="1156">
        <v>1</v>
      </c>
      <c r="E207" s="1030">
        <v>0.25</v>
      </c>
      <c r="F207" s="1157" t="s">
        <v>158</v>
      </c>
      <c r="G207" s="1051">
        <f t="shared" si="49"/>
        <v>0.25</v>
      </c>
      <c r="H207" s="1051">
        <f t="shared" si="50"/>
        <v>0</v>
      </c>
      <c r="I207" s="1039">
        <f>G207+H207</f>
        <v>0.25</v>
      </c>
      <c r="J207" s="1036">
        <v>2</v>
      </c>
      <c r="K207" s="1053">
        <f t="shared" si="46"/>
        <v>0</v>
      </c>
      <c r="L207" s="1158">
        <v>1</v>
      </c>
      <c r="M207" s="1036"/>
      <c r="N207" s="1039"/>
      <c r="O207" s="1175">
        <f t="shared" si="59"/>
        <v>0.5</v>
      </c>
      <c r="P207" s="1036">
        <v>15</v>
      </c>
      <c r="Q207" s="1039">
        <f t="shared" si="55"/>
        <v>7500</v>
      </c>
      <c r="R207" s="1039">
        <f>Q207</f>
        <v>7500</v>
      </c>
      <c r="S207" s="1034"/>
    </row>
    <row r="208" spans="1:19" ht="25.5">
      <c r="A208" s="1176"/>
      <c r="B208" s="1177"/>
      <c r="C208" s="1177"/>
      <c r="D208" s="1178"/>
      <c r="E208" s="1179"/>
      <c r="F208" s="1180"/>
      <c r="G208" s="1181"/>
      <c r="H208" s="1181"/>
      <c r="I208" s="1182"/>
      <c r="J208" s="1181"/>
      <c r="K208" s="1183"/>
      <c r="L208" s="1183"/>
      <c r="M208" s="1182"/>
      <c r="N208" s="1184"/>
      <c r="O208" s="1181"/>
      <c r="P208" s="1178"/>
      <c r="Q208" s="1178"/>
      <c r="R208" s="1184"/>
      <c r="S208" s="1180"/>
    </row>
    <row r="209" spans="1:19" ht="25.5">
      <c r="A209" s="1033"/>
      <c r="B209" s="1185"/>
      <c r="C209" s="1035"/>
      <c r="D209" s="1036"/>
      <c r="E209" s="1037"/>
      <c r="F209" s="1034"/>
      <c r="G209" s="1036"/>
      <c r="H209" s="1036"/>
      <c r="I209" s="1036"/>
      <c r="J209" s="1036"/>
      <c r="K209" s="1036"/>
      <c r="L209" s="1038"/>
      <c r="M209" s="1038"/>
      <c r="N209" s="1039"/>
      <c r="O209" s="1038"/>
      <c r="P209" s="1038"/>
      <c r="Q209" s="1038"/>
      <c r="R209" s="1039"/>
      <c r="S209" s="1034"/>
    </row>
    <row r="210" spans="1:19" ht="25.5">
      <c r="A210" s="1040" t="s">
        <v>25</v>
      </c>
      <c r="B210" s="1041"/>
      <c r="C210" s="1041">
        <f t="shared" ref="C210:I210" si="60">SUM(C198,C191,C143,C124)</f>
        <v>0</v>
      </c>
      <c r="D210" s="1043">
        <f t="shared" si="60"/>
        <v>7956.5</v>
      </c>
      <c r="E210" s="1044">
        <f t="shared" si="60"/>
        <v>24249.528999999999</v>
      </c>
      <c r="F210" s="1044">
        <f t="shared" si="60"/>
        <v>0</v>
      </c>
      <c r="G210" s="1044">
        <f t="shared" si="60"/>
        <v>17284.462643333336</v>
      </c>
      <c r="H210" s="1044">
        <f t="shared" si="60"/>
        <v>6965.0663566666663</v>
      </c>
      <c r="I210" s="1044">
        <f t="shared" si="60"/>
        <v>18395.028999999999</v>
      </c>
      <c r="J210" s="1186">
        <f>AVERAGE(J198,J191,J143,J124)</f>
        <v>3.9722222222222223</v>
      </c>
      <c r="K210" s="1186">
        <f>AVERAGE(K198,K191,K143,K124)</f>
        <v>0.85903885933806157</v>
      </c>
      <c r="L210" s="1187">
        <f>AVERAGE(L198,L191,L143,L124)</f>
        <v>0.78663120567375877</v>
      </c>
      <c r="M210" s="1186">
        <f>SUM(M198,M191,M143,M124)</f>
        <v>139438.67543859649</v>
      </c>
      <c r="N210" s="1186">
        <f>SUM(N198,N191,N143,N124)</f>
        <v>15605794.260178572</v>
      </c>
      <c r="O210" s="1186">
        <f>AVERAGE(O124,O143,O191,O198)</f>
        <v>893.79398507741939</v>
      </c>
      <c r="P210" s="1186">
        <f>SUM(P198,P191,P143,P124)</f>
        <v>208.65806451612903</v>
      </c>
      <c r="Q210" s="1186">
        <f>SUM(Q198,Q191,Q143,Q124)</f>
        <v>935604228.71319997</v>
      </c>
      <c r="R210" s="1186">
        <f>SUM(R198,R191,R143,R124)</f>
        <v>496353704.1825</v>
      </c>
      <c r="S210" s="1188"/>
    </row>
    <row r="211" spans="1:19" ht="25.5">
      <c r="A211" s="988"/>
      <c r="B211" s="989"/>
      <c r="C211" s="990"/>
      <c r="D211" s="991"/>
      <c r="E211" s="992"/>
      <c r="F211" s="989"/>
      <c r="G211" s="991"/>
      <c r="H211" s="991"/>
      <c r="I211" s="991"/>
      <c r="J211" s="991"/>
      <c r="K211" s="991"/>
      <c r="L211" s="993"/>
      <c r="M211" s="993"/>
      <c r="N211" s="994"/>
      <c r="O211" s="993"/>
      <c r="P211" s="993"/>
      <c r="Q211" s="993"/>
      <c r="R211" s="994"/>
      <c r="S211" s="989"/>
    </row>
    <row r="212" spans="1:19" ht="25.5">
      <c r="A212" s="988"/>
      <c r="B212" s="989"/>
      <c r="C212" s="990"/>
      <c r="D212" s="991"/>
      <c r="E212" s="992"/>
      <c r="F212" s="989"/>
      <c r="G212" s="991"/>
      <c r="H212" s="991"/>
      <c r="I212" s="991"/>
      <c r="J212" s="991"/>
      <c r="K212" s="991"/>
      <c r="L212" s="993"/>
      <c r="M212" s="993"/>
      <c r="N212" s="994"/>
      <c r="O212" s="993"/>
      <c r="P212" s="993"/>
      <c r="Q212" s="993"/>
      <c r="R212" s="994"/>
      <c r="S212" s="989"/>
    </row>
    <row r="213" spans="1:19" ht="25.5">
      <c r="A213" s="988"/>
      <c r="B213" s="989"/>
      <c r="C213" s="990"/>
      <c r="D213" s="991"/>
      <c r="E213" s="992"/>
      <c r="F213" s="989"/>
      <c r="G213" s="991"/>
      <c r="H213" s="991"/>
      <c r="I213" s="991"/>
      <c r="J213" s="991"/>
      <c r="K213" s="991"/>
      <c r="L213" s="993"/>
      <c r="M213" s="993"/>
      <c r="N213" s="994"/>
      <c r="O213" s="993"/>
      <c r="P213" s="993"/>
      <c r="Q213" s="993"/>
      <c r="R213" s="994"/>
      <c r="S213" s="989"/>
    </row>
    <row r="214" spans="1:19" ht="25.5">
      <c r="A214" s="988"/>
      <c r="B214" s="989"/>
      <c r="C214" s="990"/>
      <c r="D214" s="991"/>
      <c r="E214" s="992"/>
      <c r="F214" s="989"/>
      <c r="G214" s="991"/>
      <c r="H214" s="991"/>
      <c r="I214" s="991"/>
      <c r="J214" s="991"/>
      <c r="K214" s="991"/>
      <c r="L214" s="993"/>
      <c r="M214" s="993"/>
      <c r="N214" s="994"/>
      <c r="O214" s="993"/>
      <c r="P214" s="993"/>
      <c r="Q214" s="993"/>
      <c r="R214" s="994"/>
      <c r="S214" s="989"/>
    </row>
    <row r="215" spans="1:19" ht="25.5">
      <c r="A215" s="988"/>
      <c r="B215" s="989"/>
      <c r="C215" s="990"/>
      <c r="D215" s="991"/>
      <c r="E215" s="992"/>
      <c r="F215" s="989"/>
      <c r="G215" s="991"/>
      <c r="H215" s="991"/>
      <c r="I215" s="991"/>
      <c r="J215" s="991"/>
      <c r="K215" s="991"/>
      <c r="L215" s="993"/>
      <c r="M215" s="993"/>
      <c r="N215" s="994"/>
      <c r="O215" s="993"/>
      <c r="P215" s="993"/>
      <c r="Q215" s="993"/>
      <c r="R215" s="994"/>
      <c r="S215" s="989"/>
    </row>
    <row r="216" spans="1:19" ht="34.5">
      <c r="A216" s="995" t="s">
        <v>128</v>
      </c>
      <c r="B216" s="996"/>
      <c r="C216" s="997"/>
      <c r="D216" s="1189"/>
      <c r="E216" s="999"/>
      <c r="F216" s="1000"/>
      <c r="G216" s="996"/>
      <c r="H216" s="1001"/>
      <c r="I216" s="1002"/>
      <c r="J216" s="996"/>
      <c r="K216" s="1003"/>
      <c r="L216" s="1190" t="s">
        <v>419</v>
      </c>
      <c r="M216" s="1004"/>
      <c r="N216" s="1005"/>
      <c r="O216" s="1006"/>
      <c r="P216" s="1006"/>
      <c r="Q216" s="1006"/>
      <c r="R216" s="1006"/>
      <c r="S216" s="996"/>
    </row>
    <row r="217" spans="1:19" ht="34.5">
      <c r="A217" s="1000"/>
      <c r="B217" s="996"/>
      <c r="C217" s="997"/>
      <c r="D217" s="1189"/>
      <c r="E217" s="999"/>
      <c r="F217" s="1000"/>
      <c r="G217" s="996"/>
      <c r="H217" s="1001"/>
      <c r="I217" s="1002"/>
      <c r="J217" s="996"/>
      <c r="K217" s="1003"/>
      <c r="L217" s="1191"/>
      <c r="M217" s="1002"/>
      <c r="N217" s="1005"/>
      <c r="O217" s="1006"/>
      <c r="P217" s="1006"/>
      <c r="Q217" s="1006"/>
      <c r="R217" s="1006"/>
      <c r="S217" s="996"/>
    </row>
    <row r="218" spans="1:19" ht="34.5">
      <c r="A218" s="996"/>
      <c r="B218" s="996"/>
      <c r="C218" s="997"/>
      <c r="D218" s="1189"/>
      <c r="E218" s="999"/>
      <c r="F218" s="1000"/>
      <c r="G218" s="996"/>
      <c r="H218" s="1001"/>
      <c r="I218" s="1002"/>
      <c r="J218" s="996"/>
      <c r="K218" s="1003"/>
      <c r="L218" s="1001"/>
      <c r="M218" s="1002"/>
      <c r="N218" s="1006"/>
      <c r="O218" s="1006"/>
      <c r="P218" s="1006"/>
      <c r="Q218" s="1006"/>
      <c r="R218" s="1006"/>
      <c r="S218" s="996"/>
    </row>
    <row r="219" spans="1:19" ht="34.5">
      <c r="A219" s="996"/>
      <c r="B219" s="996"/>
      <c r="C219" s="997"/>
      <c r="D219" s="1189"/>
      <c r="E219" s="999"/>
      <c r="F219" s="1000"/>
      <c r="G219" s="996"/>
      <c r="H219" s="1001"/>
      <c r="I219" s="1002"/>
      <c r="J219" s="996"/>
      <c r="K219" s="1003"/>
      <c r="L219" s="1001"/>
      <c r="M219" s="1002"/>
      <c r="N219" s="1006"/>
      <c r="O219" s="1006"/>
      <c r="P219" s="1006"/>
      <c r="Q219" s="1006"/>
      <c r="R219" s="1006"/>
      <c r="S219" s="996"/>
    </row>
    <row r="220" spans="1:19" ht="34.5">
      <c r="A220" s="996"/>
      <c r="B220" s="996"/>
      <c r="C220" s="997"/>
      <c r="D220" s="1189"/>
      <c r="E220" s="999"/>
      <c r="F220" s="1000"/>
      <c r="G220" s="996"/>
      <c r="H220" s="1001"/>
      <c r="I220" s="1002"/>
      <c r="J220" s="996"/>
      <c r="K220" s="1003"/>
      <c r="L220" s="1001"/>
      <c r="M220" s="1002"/>
      <c r="N220" s="1006"/>
      <c r="O220" s="1006"/>
      <c r="P220" s="1006"/>
      <c r="Q220" s="1006"/>
      <c r="R220" s="1006"/>
      <c r="S220" s="996"/>
    </row>
    <row r="221" spans="1:19" ht="34.5">
      <c r="A221" s="996" t="s">
        <v>459</v>
      </c>
      <c r="B221" s="996"/>
      <c r="C221" s="997"/>
      <c r="D221" s="1189"/>
      <c r="E221" s="999"/>
      <c r="F221" s="1000"/>
      <c r="G221" s="996"/>
      <c r="H221" s="1001"/>
      <c r="I221" s="1002"/>
      <c r="J221" s="996"/>
      <c r="K221" s="1003"/>
      <c r="L221" s="1001" t="s">
        <v>460</v>
      </c>
      <c r="M221" s="1002"/>
      <c r="N221" s="1006"/>
      <c r="O221" s="1006"/>
      <c r="P221" s="1006"/>
      <c r="Q221" s="1006"/>
      <c r="R221" s="1006"/>
      <c r="S221" s="996"/>
    </row>
    <row r="222" spans="1:19" ht="34.5">
      <c r="A222" s="996"/>
      <c r="B222" s="996"/>
      <c r="C222" s="997"/>
      <c r="D222" s="1189"/>
      <c r="E222" s="999"/>
      <c r="F222" s="1000"/>
      <c r="G222" s="996"/>
      <c r="H222" s="1001"/>
      <c r="I222" s="1002"/>
      <c r="J222" s="996"/>
      <c r="K222" s="1003"/>
      <c r="L222" s="1001"/>
      <c r="M222" s="1002"/>
      <c r="N222" s="1006"/>
      <c r="O222" s="1006"/>
      <c r="P222" s="1006"/>
      <c r="Q222" s="1006"/>
      <c r="R222" s="1006"/>
      <c r="S222" s="996"/>
    </row>
    <row r="223" spans="1:19" ht="34.5">
      <c r="A223" s="996"/>
      <c r="B223" s="996"/>
      <c r="C223" s="997"/>
      <c r="D223" s="1189"/>
      <c r="E223" s="999"/>
      <c r="F223" s="1000"/>
      <c r="G223" s="996"/>
      <c r="H223" s="1001"/>
      <c r="I223" s="1002"/>
      <c r="J223" s="996"/>
      <c r="K223" s="1003"/>
      <c r="L223" s="1001"/>
      <c r="M223" s="1002"/>
      <c r="N223" s="1006"/>
      <c r="O223" s="1006"/>
      <c r="P223" s="1006"/>
      <c r="Q223" s="1006"/>
      <c r="R223" s="1006"/>
      <c r="S223" s="996"/>
    </row>
    <row r="224" spans="1:19" ht="34.5">
      <c r="A224" s="996"/>
      <c r="B224" s="996"/>
      <c r="C224" s="997"/>
      <c r="D224" s="1189"/>
      <c r="E224" s="999"/>
      <c r="F224" s="1000"/>
      <c r="G224" s="996"/>
      <c r="H224" s="1001"/>
      <c r="I224" s="1002"/>
      <c r="J224" s="996"/>
      <c r="K224" s="1003"/>
      <c r="L224" s="1001"/>
      <c r="M224" s="1002"/>
      <c r="N224" s="1006"/>
      <c r="O224" s="1006"/>
      <c r="P224" s="1006"/>
      <c r="Q224" s="1006"/>
      <c r="R224" s="1006"/>
      <c r="S224" s="996"/>
    </row>
    <row r="225" spans="1:19" ht="34.5">
      <c r="A225" s="996"/>
      <c r="B225" s="996"/>
      <c r="C225" s="997"/>
      <c r="D225" s="1189"/>
      <c r="E225" s="999"/>
      <c r="F225" s="1000"/>
      <c r="G225" s="996"/>
      <c r="H225" s="1001"/>
      <c r="I225" s="1002"/>
      <c r="J225" s="996"/>
      <c r="K225" s="1003"/>
      <c r="L225" s="1001"/>
      <c r="M225" s="1002"/>
      <c r="N225" s="1006"/>
      <c r="O225" s="1006"/>
      <c r="P225" s="1006"/>
      <c r="Q225" s="1006"/>
      <c r="R225" s="1006"/>
      <c r="S225" s="996"/>
    </row>
    <row r="226" spans="1:19" ht="34.5">
      <c r="A226" s="1005"/>
      <c r="B226" s="996"/>
      <c r="C226" s="997"/>
      <c r="D226" s="1189"/>
      <c r="E226" s="999"/>
      <c r="F226" s="1000"/>
      <c r="G226" s="996"/>
      <c r="H226" s="1001"/>
      <c r="I226" s="1002"/>
      <c r="J226" s="996"/>
      <c r="K226" s="1003"/>
      <c r="L226" s="1191"/>
      <c r="M226" s="1005"/>
      <c r="N226" s="1006"/>
      <c r="O226" s="1006"/>
      <c r="P226" s="1006"/>
      <c r="Q226" s="1006"/>
      <c r="R226" s="1006"/>
      <c r="S226" s="996"/>
    </row>
    <row r="227" spans="1:19" ht="34.5">
      <c r="A227" s="995" t="s">
        <v>129</v>
      </c>
      <c r="B227" s="996"/>
      <c r="C227" s="997"/>
      <c r="D227" s="1189"/>
      <c r="E227" s="999"/>
      <c r="F227" s="1000"/>
      <c r="G227" s="996"/>
      <c r="H227" s="1001"/>
      <c r="I227" s="1002"/>
      <c r="J227" s="996"/>
      <c r="K227" s="1003"/>
      <c r="L227" s="1190"/>
      <c r="M227" s="1002"/>
      <c r="N227" s="1006"/>
      <c r="O227" s="1006"/>
      <c r="P227" s="1006"/>
      <c r="Q227" s="1006"/>
      <c r="R227" s="1006"/>
      <c r="S227" s="996"/>
    </row>
    <row r="228" spans="1:19" ht="34.5">
      <c r="A228" s="1008"/>
      <c r="B228" s="1009"/>
      <c r="C228" s="1010"/>
      <c r="D228" s="1006"/>
      <c r="E228" s="1002"/>
      <c r="F228" s="1006"/>
      <c r="G228" s="1006"/>
      <c r="H228" s="1006"/>
      <c r="I228" s="1002"/>
      <c r="J228" s="1006"/>
      <c r="K228" s="1003"/>
      <c r="L228" s="1011"/>
      <c r="M228" s="1002"/>
      <c r="N228" s="1006"/>
      <c r="O228" s="1006"/>
      <c r="P228" s="1006"/>
      <c r="Q228" s="1006"/>
      <c r="R228" s="1006"/>
      <c r="S228" s="1006"/>
    </row>
    <row r="229" spans="1:19" ht="34.5">
      <c r="A229" s="2105"/>
      <c r="B229" s="2105"/>
      <c r="C229" s="2105"/>
      <c r="D229" s="2105"/>
      <c r="E229" s="2105"/>
      <c r="F229" s="2105"/>
      <c r="G229" s="2105"/>
      <c r="H229" s="2105"/>
      <c r="I229" s="2105"/>
      <c r="J229" s="2105"/>
      <c r="K229" s="2105"/>
      <c r="L229" s="2105"/>
      <c r="M229" s="2105"/>
      <c r="N229" s="2105"/>
      <c r="O229" s="1012"/>
      <c r="P229" s="1012"/>
      <c r="Q229" s="1012"/>
      <c r="R229" s="1013"/>
      <c r="S229" s="1014"/>
    </row>
    <row r="230" spans="1:19" ht="34.5">
      <c r="A230" s="1008" t="s">
        <v>461</v>
      </c>
      <c r="B230" s="1014"/>
      <c r="C230" s="1015"/>
      <c r="D230" s="1016"/>
      <c r="E230" s="1017"/>
      <c r="F230" s="1014"/>
      <c r="G230" s="1016"/>
      <c r="H230" s="1016"/>
      <c r="I230" s="1016"/>
      <c r="J230" s="1016"/>
      <c r="K230" s="1016"/>
      <c r="L230" s="1016"/>
      <c r="M230" s="1018"/>
      <c r="N230" s="1018"/>
      <c r="O230" s="1016"/>
      <c r="P230" s="1016"/>
      <c r="Q230" s="1016"/>
      <c r="R230" s="1018"/>
      <c r="S230" s="1014"/>
    </row>
  </sheetData>
  <mergeCells count="26">
    <mergeCell ref="J13:K14"/>
    <mergeCell ref="L13:L15"/>
    <mergeCell ref="M13:R13"/>
    <mergeCell ref="A229:N229"/>
    <mergeCell ref="A109:N109"/>
    <mergeCell ref="A114:S114"/>
    <mergeCell ref="A115:S115"/>
    <mergeCell ref="A116:S116"/>
    <mergeCell ref="A117:S117"/>
    <mergeCell ref="A118:S118"/>
    <mergeCell ref="S13:S15"/>
    <mergeCell ref="M14:N14"/>
    <mergeCell ref="O14:Q14"/>
    <mergeCell ref="R14:R15"/>
    <mergeCell ref="A13:A15"/>
    <mergeCell ref="B13:B15"/>
    <mergeCell ref="A1:S1"/>
    <mergeCell ref="A2:S2"/>
    <mergeCell ref="A3:S3"/>
    <mergeCell ref="A4:S4"/>
    <mergeCell ref="A5:S5"/>
    <mergeCell ref="C13:C15"/>
    <mergeCell ref="D13:D15"/>
    <mergeCell ref="E13:E15"/>
    <mergeCell ref="F13:F15"/>
    <mergeCell ref="G13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TYHPHOON HANNA</vt:lpstr>
      <vt:lpstr>TYPHOON SENDONG</vt:lpstr>
      <vt:lpstr>TYPHOON PABLO</vt:lpstr>
      <vt:lpstr>EL NIÑO 2016</vt:lpstr>
      <vt:lpstr>LPA</vt:lpstr>
      <vt:lpstr>WEAK EL NIÑO</vt:lpstr>
      <vt:lpstr>TYPHOON FALCON</vt:lpstr>
      <vt:lpstr>TYPHOON VINTA</vt:lpstr>
      <vt:lpstr>'TYHPHOON HANNA'!Print_Titles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Gleen</dc:creator>
  <cp:lastModifiedBy>marieke van brussel</cp:lastModifiedBy>
  <cp:lastPrinted>2015-11-06T03:26:36Z</cp:lastPrinted>
  <dcterms:created xsi:type="dcterms:W3CDTF">2015-04-17T06:01:07Z</dcterms:created>
  <dcterms:modified xsi:type="dcterms:W3CDTF">2021-08-14T12:11:51Z</dcterms:modified>
</cp:coreProperties>
</file>