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8_{D11F7DC6-0DCE-43D4-94F8-35621C686669}" xr6:coauthVersionLast="47" xr6:coauthVersionMax="47" xr10:uidLastSave="{00000000-0000-0000-0000-000000000000}"/>
  <bookViews>
    <workbookView xWindow="-120" yWindow="-120" windowWidth="29040" windowHeight="16440" xr2:uid="{00000000-000D-0000-FFFF-FFFF00000000}"/>
  </bookViews>
  <sheets>
    <sheet name="RFO XI" sheetId="1"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 i="1" l="1"/>
  <c r="R10" i="1"/>
  <c r="P10" i="1"/>
  <c r="O10" i="1"/>
  <c r="N10" i="1"/>
  <c r="M10" i="1"/>
  <c r="L10" i="1"/>
  <c r="J10" i="1"/>
  <c r="I10" i="1"/>
  <c r="H10" i="1"/>
  <c r="G10" i="1"/>
  <c r="F10" i="1"/>
  <c r="D10" i="1"/>
  <c r="C10" i="1"/>
  <c r="S17" i="1"/>
  <c r="R17" i="1"/>
  <c r="P17" i="1"/>
  <c r="O17" i="1"/>
  <c r="N17" i="1"/>
  <c r="M17" i="1"/>
  <c r="L17" i="1"/>
  <c r="J17" i="1"/>
  <c r="I17" i="1"/>
  <c r="H17" i="1"/>
  <c r="G17" i="1"/>
  <c r="F17" i="1"/>
  <c r="D17" i="1"/>
  <c r="C17" i="1"/>
  <c r="B10" i="1"/>
  <c r="D17" i="13"/>
  <c r="F18" i="13"/>
  <c r="G18" i="13"/>
  <c r="K18" i="13"/>
  <c r="Q18" i="13"/>
  <c r="H19" i="13"/>
  <c r="K19" i="13"/>
  <c r="M19" i="13" s="1"/>
  <c r="Q19" i="13"/>
  <c r="H21" i="13"/>
  <c r="K21" i="13"/>
  <c r="M21" i="13" s="1"/>
  <c r="Q21" i="13"/>
  <c r="H22" i="13"/>
  <c r="K22" i="13"/>
  <c r="M22" i="13" s="1"/>
  <c r="Q22" i="13"/>
  <c r="H26" i="13"/>
  <c r="K26" i="13"/>
  <c r="M26" i="13" s="1"/>
  <c r="Q26" i="13"/>
  <c r="H27" i="13"/>
  <c r="K27" i="13"/>
  <c r="M27" i="13" s="1"/>
  <c r="Q27" i="13"/>
  <c r="H30" i="13"/>
  <c r="K30" i="13"/>
  <c r="M30" i="13" s="1"/>
  <c r="Q30" i="13"/>
  <c r="H31" i="13"/>
  <c r="K31" i="13"/>
  <c r="M31" i="13" s="1"/>
  <c r="Q31" i="13"/>
  <c r="H32" i="13"/>
  <c r="K32" i="13"/>
  <c r="M32" i="13" s="1"/>
  <c r="Q32" i="13"/>
  <c r="H35" i="13"/>
  <c r="K35" i="13"/>
  <c r="M35" i="13" s="1"/>
  <c r="Q35" i="13"/>
  <c r="D42" i="13"/>
  <c r="F42" i="13"/>
  <c r="G42" i="13"/>
  <c r="H43" i="13"/>
  <c r="K43" i="13"/>
  <c r="M43" i="13" s="1"/>
  <c r="Q43" i="13"/>
  <c r="H44" i="13"/>
  <c r="K44" i="13"/>
  <c r="M44" i="13" s="1"/>
  <c r="Q44" i="13"/>
  <c r="H45" i="13"/>
  <c r="K45" i="13"/>
  <c r="M45" i="13" s="1"/>
  <c r="Q45" i="13"/>
  <c r="H47" i="13"/>
  <c r="K47" i="13"/>
  <c r="N47" i="13" s="1"/>
  <c r="M47" i="13" s="1"/>
  <c r="Q47" i="13"/>
  <c r="H48" i="13"/>
  <c r="K48" i="13"/>
  <c r="M48" i="13" s="1"/>
  <c r="Q48" i="13"/>
  <c r="C51" i="13"/>
  <c r="D51" i="13"/>
  <c r="F51" i="13"/>
  <c r="G51" i="13"/>
  <c r="N51" i="13"/>
  <c r="P51" i="13"/>
  <c r="H52" i="13"/>
  <c r="K52" i="13"/>
  <c r="M52" i="13" s="1"/>
  <c r="Q52" i="13"/>
  <c r="H53" i="13"/>
  <c r="K53" i="13"/>
  <c r="M53" i="13" s="1"/>
  <c r="Q53" i="13"/>
  <c r="H54" i="13"/>
  <c r="K54" i="13"/>
  <c r="M54" i="13" s="1"/>
  <c r="Q54" i="13"/>
  <c r="H55" i="13"/>
  <c r="K55" i="13"/>
  <c r="M55" i="13" s="1"/>
  <c r="Q55" i="13"/>
  <c r="H56" i="13"/>
  <c r="K56" i="13"/>
  <c r="M56" i="13" s="1"/>
  <c r="Q56" i="13"/>
  <c r="C58" i="13"/>
  <c r="D58" i="13"/>
  <c r="F58" i="13"/>
  <c r="G58" i="13"/>
  <c r="P58" i="13"/>
  <c r="H59" i="13"/>
  <c r="K59" i="13"/>
  <c r="M59" i="13" s="1"/>
  <c r="Q59" i="13"/>
  <c r="H60" i="13"/>
  <c r="K60" i="13"/>
  <c r="M60" i="13" s="1"/>
  <c r="Q60" i="13"/>
  <c r="H61" i="13"/>
  <c r="K61" i="13"/>
  <c r="M61" i="13" s="1"/>
  <c r="Q61" i="13"/>
  <c r="H62" i="13"/>
  <c r="K62" i="13"/>
  <c r="M62" i="13" s="1"/>
  <c r="Q62" i="13"/>
  <c r="C64" i="13"/>
  <c r="D64" i="13"/>
  <c r="F64" i="13"/>
  <c r="G64" i="13"/>
  <c r="M64" i="13"/>
  <c r="H65" i="13"/>
  <c r="H64" i="13" s="1"/>
  <c r="K65" i="13"/>
  <c r="N65" i="13" s="1"/>
  <c r="N64" i="13" s="1"/>
  <c r="Q65" i="13"/>
  <c r="G17" i="13" l="1"/>
  <c r="G16" i="13" s="1"/>
  <c r="F17" i="13"/>
  <c r="F16" i="13" s="1"/>
  <c r="C42" i="13"/>
  <c r="C17" i="13"/>
  <c r="M18" i="13"/>
  <c r="P65" i="13"/>
  <c r="P64" i="13" s="1"/>
  <c r="H58" i="13"/>
  <c r="M58" i="13"/>
  <c r="M51" i="13"/>
  <c r="H51" i="13"/>
  <c r="D16" i="13"/>
  <c r="H42" i="13"/>
  <c r="P42" i="13"/>
  <c r="N42" i="13"/>
  <c r="N17" i="13"/>
  <c r="P17" i="13"/>
  <c r="H18" i="13"/>
  <c r="H17" i="13" s="1"/>
  <c r="C16" i="13" l="1"/>
  <c r="M17" i="13"/>
  <c r="M42" i="13"/>
  <c r="H16" i="13"/>
  <c r="N16" i="13"/>
  <c r="P16" i="13"/>
  <c r="M16" i="13" l="1"/>
  <c r="G63" i="12" l="1"/>
  <c r="C63" i="12"/>
  <c r="L122" i="12"/>
  <c r="C122" i="12"/>
  <c r="G122" i="12"/>
  <c r="C18" i="12"/>
  <c r="F18" i="12"/>
  <c r="G18" i="12"/>
  <c r="O18" i="12"/>
  <c r="O17" i="12" s="1"/>
  <c r="H19" i="12"/>
  <c r="K19" i="12"/>
  <c r="P19" i="12"/>
  <c r="H20" i="12"/>
  <c r="K20" i="12"/>
  <c r="P20" i="12"/>
  <c r="H21" i="12"/>
  <c r="K21" i="12"/>
  <c r="P21" i="12"/>
  <c r="H22" i="12"/>
  <c r="K22" i="12"/>
  <c r="P22" i="12"/>
  <c r="H24" i="12"/>
  <c r="K24" i="12"/>
  <c r="P24" i="12"/>
  <c r="H25" i="12"/>
  <c r="K25" i="12"/>
  <c r="P25" i="12"/>
  <c r="H26" i="12"/>
  <c r="K26" i="12"/>
  <c r="P26" i="12"/>
  <c r="H27" i="12"/>
  <c r="P27" i="12"/>
  <c r="H29" i="12"/>
  <c r="K29" i="12"/>
  <c r="P29" i="12"/>
  <c r="H30" i="12"/>
  <c r="K30" i="12"/>
  <c r="P30" i="12"/>
  <c r="H31" i="12"/>
  <c r="K31" i="12"/>
  <c r="P31" i="12"/>
  <c r="H33" i="12"/>
  <c r="M33" i="12" s="1"/>
  <c r="P33" i="12"/>
  <c r="H34" i="12"/>
  <c r="M34" i="12" s="1"/>
  <c r="P34" i="12"/>
  <c r="H35" i="12"/>
  <c r="K35" i="12"/>
  <c r="P35" i="12"/>
  <c r="H36" i="12"/>
  <c r="K36" i="12"/>
  <c r="P36" i="12"/>
  <c r="H37" i="12"/>
  <c r="K37" i="12"/>
  <c r="P37" i="12"/>
  <c r="H38" i="12"/>
  <c r="K38" i="12"/>
  <c r="P38" i="12"/>
  <c r="H39" i="12"/>
  <c r="K39" i="12"/>
  <c r="H40" i="12"/>
  <c r="M40" i="12" s="1"/>
  <c r="P40" i="12"/>
  <c r="H41" i="12"/>
  <c r="M41" i="12" s="1"/>
  <c r="P41" i="12"/>
  <c r="H42" i="12"/>
  <c r="K42" i="12"/>
  <c r="P42" i="12"/>
  <c r="H43" i="12"/>
  <c r="K43" i="12"/>
  <c r="P43" i="12"/>
  <c r="H44" i="12"/>
  <c r="K44" i="12"/>
  <c r="P44" i="12"/>
  <c r="H45" i="12"/>
  <c r="K45" i="12"/>
  <c r="P45" i="12"/>
  <c r="L18" i="12"/>
  <c r="H46" i="12"/>
  <c r="K46" i="12"/>
  <c r="P46" i="12"/>
  <c r="H47" i="12"/>
  <c r="K47" i="12"/>
  <c r="P47" i="12"/>
  <c r="H49" i="12"/>
  <c r="K49" i="12"/>
  <c r="P49" i="12"/>
  <c r="H50" i="12"/>
  <c r="M50" i="12" s="1"/>
  <c r="P50" i="12"/>
  <c r="H51" i="12"/>
  <c r="K51" i="12"/>
  <c r="P51" i="12"/>
  <c r="H52" i="12"/>
  <c r="K52" i="12"/>
  <c r="P52" i="12"/>
  <c r="H53" i="12"/>
  <c r="P53" i="12"/>
  <c r="H54" i="12"/>
  <c r="M54" i="12" s="1"/>
  <c r="P54" i="12"/>
  <c r="H56" i="12"/>
  <c r="M56" i="12" s="1"/>
  <c r="P56" i="12"/>
  <c r="H59" i="12"/>
  <c r="J59" i="12"/>
  <c r="K59" i="12" s="1"/>
  <c r="P59" i="12"/>
  <c r="H60" i="12"/>
  <c r="K60" i="12"/>
  <c r="P60" i="12"/>
  <c r="H61" i="12"/>
  <c r="M61" i="12" s="1"/>
  <c r="P61" i="12"/>
  <c r="Q62" i="12"/>
  <c r="F63" i="12"/>
  <c r="L63" i="12"/>
  <c r="O63" i="12"/>
  <c r="H64" i="12"/>
  <c r="K64" i="12"/>
  <c r="P64" i="12"/>
  <c r="H65" i="12"/>
  <c r="K65" i="12"/>
  <c r="P65" i="12"/>
  <c r="H66" i="12"/>
  <c r="K66" i="12"/>
  <c r="P66" i="12"/>
  <c r="H67" i="12"/>
  <c r="K67" i="12"/>
  <c r="P67" i="12"/>
  <c r="H68" i="12"/>
  <c r="K68" i="12"/>
  <c r="P68" i="12"/>
  <c r="H69" i="12"/>
  <c r="J69" i="12"/>
  <c r="K69" i="12" s="1"/>
  <c r="P69" i="12"/>
  <c r="H71" i="12"/>
  <c r="M71" i="12" s="1"/>
  <c r="P71" i="12"/>
  <c r="C73" i="12"/>
  <c r="F73" i="12"/>
  <c r="G73" i="12"/>
  <c r="J73" i="12"/>
  <c r="L73" i="12"/>
  <c r="O73" i="12"/>
  <c r="H74" i="12"/>
  <c r="P74" i="12"/>
  <c r="H75" i="12"/>
  <c r="M75" i="12" s="1"/>
  <c r="P75" i="12"/>
  <c r="H76" i="12"/>
  <c r="K76" i="12"/>
  <c r="P76" i="12"/>
  <c r="H77" i="12"/>
  <c r="M77" i="12" s="1"/>
  <c r="P77" i="12"/>
  <c r="H78" i="12"/>
  <c r="M78" i="12" s="1"/>
  <c r="P78" i="12"/>
  <c r="H79" i="12"/>
  <c r="M79" i="12" s="1"/>
  <c r="P79" i="12"/>
  <c r="H80" i="12"/>
  <c r="M80" i="12" s="1"/>
  <c r="P80" i="12"/>
  <c r="H81" i="12"/>
  <c r="M81" i="12" s="1"/>
  <c r="P81" i="12"/>
  <c r="H82" i="12"/>
  <c r="K82" i="12"/>
  <c r="H83" i="12"/>
  <c r="M83" i="12" s="1"/>
  <c r="P83" i="12"/>
  <c r="H84" i="12"/>
  <c r="M84" i="12" s="1"/>
  <c r="P84" i="12"/>
  <c r="H85" i="12"/>
  <c r="M85" i="12" s="1"/>
  <c r="P85" i="12"/>
  <c r="H86" i="12"/>
  <c r="M86" i="12" s="1"/>
  <c r="P86" i="12"/>
  <c r="H87" i="12"/>
  <c r="M87" i="12" s="1"/>
  <c r="P87" i="12"/>
  <c r="H88" i="12"/>
  <c r="M88" i="12" s="1"/>
  <c r="P88" i="12"/>
  <c r="H89" i="12"/>
  <c r="M89" i="12" s="1"/>
  <c r="P89" i="12"/>
  <c r="H90" i="12"/>
  <c r="K90" i="12"/>
  <c r="P90" i="12"/>
  <c r="H91" i="12"/>
  <c r="M91" i="12" s="1"/>
  <c r="P91" i="12"/>
  <c r="H92" i="12"/>
  <c r="M92" i="12" s="1"/>
  <c r="P92" i="12"/>
  <c r="H95" i="12"/>
  <c r="P95" i="12"/>
  <c r="H98" i="12"/>
  <c r="M98" i="12" s="1"/>
  <c r="P98" i="12"/>
  <c r="H99" i="12"/>
  <c r="K99" i="12"/>
  <c r="H101" i="12"/>
  <c r="K101" i="12"/>
  <c r="P101" i="12"/>
  <c r="H102" i="12"/>
  <c r="K102" i="12"/>
  <c r="P102" i="12"/>
  <c r="H103" i="12"/>
  <c r="M103" i="12" s="1"/>
  <c r="P103" i="12"/>
  <c r="H104" i="12"/>
  <c r="K104" i="12"/>
  <c r="P104" i="12"/>
  <c r="H105" i="12"/>
  <c r="K105" i="12"/>
  <c r="P105" i="12"/>
  <c r="H106" i="12"/>
  <c r="M106" i="12" s="1"/>
  <c r="P106" i="12"/>
  <c r="H107" i="12"/>
  <c r="M107" i="12" s="1"/>
  <c r="P107" i="12"/>
  <c r="H108" i="12"/>
  <c r="M108" i="12" s="1"/>
  <c r="P108" i="12"/>
  <c r="H109" i="12"/>
  <c r="K109" i="12"/>
  <c r="P109" i="12"/>
  <c r="H110" i="12"/>
  <c r="M110" i="12" s="1"/>
  <c r="P110" i="12"/>
  <c r="H111" i="12"/>
  <c r="K111" i="12"/>
  <c r="P111" i="12"/>
  <c r="H112" i="12"/>
  <c r="K112" i="12"/>
  <c r="P112" i="12"/>
  <c r="H113" i="12"/>
  <c r="K113" i="12"/>
  <c r="P113" i="12"/>
  <c r="H114" i="12"/>
  <c r="K114" i="12"/>
  <c r="P114" i="12"/>
  <c r="H115" i="12"/>
  <c r="M115" i="12" s="1"/>
  <c r="P115" i="12"/>
  <c r="H116" i="12"/>
  <c r="M116" i="12" s="1"/>
  <c r="P116" i="12"/>
  <c r="H117" i="12"/>
  <c r="K117" i="12"/>
  <c r="H118" i="12"/>
  <c r="M118" i="12" s="1"/>
  <c r="P118" i="12"/>
  <c r="H119" i="12"/>
  <c r="M119" i="12" s="1"/>
  <c r="P119" i="12"/>
  <c r="H120" i="12"/>
  <c r="M120" i="12" s="1"/>
  <c r="P120" i="12"/>
  <c r="N122" i="12"/>
  <c r="O122" i="12"/>
  <c r="O94" i="12" s="1"/>
  <c r="H123" i="12"/>
  <c r="K123" i="12"/>
  <c r="P123" i="12"/>
  <c r="H124" i="12"/>
  <c r="K124" i="12"/>
  <c r="P124" i="12"/>
  <c r="H125" i="12"/>
  <c r="M125" i="12" s="1"/>
  <c r="P125" i="12"/>
  <c r="H126" i="12"/>
  <c r="M126" i="12" s="1"/>
  <c r="P126" i="12"/>
  <c r="H127" i="12"/>
  <c r="K127" i="12"/>
  <c r="P127" i="12"/>
  <c r="H129" i="12"/>
  <c r="K129" i="12"/>
  <c r="P129" i="12"/>
  <c r="H130" i="12"/>
  <c r="M130" i="12" s="1"/>
  <c r="P130" i="12"/>
  <c r="H131" i="12"/>
  <c r="M131" i="12" s="1"/>
  <c r="P131" i="12"/>
  <c r="H132" i="12"/>
  <c r="M132" i="12" s="1"/>
  <c r="P132" i="12"/>
  <c r="F133" i="12"/>
  <c r="F122" i="12" s="1"/>
  <c r="K133" i="12"/>
  <c r="P133" i="12"/>
  <c r="H134" i="12"/>
  <c r="M134" i="12" s="1"/>
  <c r="P134" i="12"/>
  <c r="H135" i="12"/>
  <c r="M135" i="12" s="1"/>
  <c r="P135" i="12"/>
  <c r="H136" i="12"/>
  <c r="K136" i="12"/>
  <c r="P136" i="12"/>
  <c r="H137" i="12"/>
  <c r="K137" i="12"/>
  <c r="P137" i="12"/>
  <c r="H138" i="12"/>
  <c r="M138" i="12" s="1"/>
  <c r="P138" i="12"/>
  <c r="H140" i="12"/>
  <c r="K140" i="12"/>
  <c r="P140" i="12"/>
  <c r="H141" i="12"/>
  <c r="M141" i="12" s="1"/>
  <c r="P141" i="12"/>
  <c r="H143" i="12"/>
  <c r="K143" i="12"/>
  <c r="P143" i="12"/>
  <c r="H144" i="12"/>
  <c r="K144" i="12"/>
  <c r="P144" i="12"/>
  <c r="H145" i="12"/>
  <c r="K145" i="12"/>
  <c r="P145" i="12"/>
  <c r="O147" i="12"/>
  <c r="H148" i="12"/>
  <c r="P148" i="12"/>
  <c r="H149" i="12"/>
  <c r="M149" i="12" s="1"/>
  <c r="P149" i="12"/>
  <c r="H150" i="12"/>
  <c r="M150" i="12" s="1"/>
  <c r="P150" i="12"/>
  <c r="H151" i="12"/>
  <c r="M151" i="12" s="1"/>
  <c r="P151" i="12"/>
  <c r="H152" i="12"/>
  <c r="M152" i="12" s="1"/>
  <c r="P152" i="12"/>
  <c r="H153" i="12"/>
  <c r="M153" i="12" s="1"/>
  <c r="P153" i="12"/>
  <c r="H154" i="12"/>
  <c r="M154" i="12" s="1"/>
  <c r="P154" i="12"/>
  <c r="H155" i="12"/>
  <c r="K155" i="12"/>
  <c r="P155" i="12"/>
  <c r="H156" i="12"/>
  <c r="M156" i="12" s="1"/>
  <c r="P156" i="12"/>
  <c r="H157" i="12"/>
  <c r="M157" i="12" s="1"/>
  <c r="P157" i="12"/>
  <c r="H158" i="12"/>
  <c r="M158" i="12" s="1"/>
  <c r="P158" i="12"/>
  <c r="H159" i="12"/>
  <c r="K159" i="12"/>
  <c r="P159" i="12"/>
  <c r="H160" i="12"/>
  <c r="M160" i="12" s="1"/>
  <c r="P160" i="12"/>
  <c r="H161" i="12"/>
  <c r="M161" i="12" s="1"/>
  <c r="P161" i="12"/>
  <c r="H162" i="12"/>
  <c r="K162" i="12"/>
  <c r="P162" i="12"/>
  <c r="H163" i="12"/>
  <c r="M163" i="12" s="1"/>
  <c r="P163" i="12"/>
  <c r="H164" i="12"/>
  <c r="M164" i="12" s="1"/>
  <c r="P164" i="12"/>
  <c r="H165" i="12"/>
  <c r="J165" i="12"/>
  <c r="K165" i="12" s="1"/>
  <c r="P165" i="12"/>
  <c r="H166" i="12"/>
  <c r="M166" i="12" s="1"/>
  <c r="P166" i="12"/>
  <c r="H167" i="12"/>
  <c r="K167" i="12"/>
  <c r="P167" i="12"/>
  <c r="H168" i="12"/>
  <c r="M168" i="12" s="1"/>
  <c r="P168" i="12"/>
  <c r="H169" i="12"/>
  <c r="K169" i="12"/>
  <c r="P169" i="12"/>
  <c r="H170" i="12"/>
  <c r="M170" i="12" s="1"/>
  <c r="P170" i="12"/>
  <c r="H171" i="12"/>
  <c r="M171" i="12" s="1"/>
  <c r="P171" i="12"/>
  <c r="Q172" i="12"/>
  <c r="H18" i="11"/>
  <c r="J18" i="11"/>
  <c r="K18" i="11" s="1"/>
  <c r="H20" i="11"/>
  <c r="J20" i="11"/>
  <c r="K20" i="11" s="1"/>
  <c r="H22" i="11"/>
  <c r="J22" i="11"/>
  <c r="K22" i="11" s="1"/>
  <c r="H23" i="11"/>
  <c r="J23" i="11"/>
  <c r="K23" i="11" s="1"/>
  <c r="H27" i="11"/>
  <c r="J27" i="11"/>
  <c r="K27" i="11" s="1"/>
  <c r="H28" i="11"/>
  <c r="J28" i="11"/>
  <c r="K28" i="11" s="1"/>
  <c r="H29" i="11"/>
  <c r="J29" i="11"/>
  <c r="K29" i="11" s="1"/>
  <c r="H31" i="11"/>
  <c r="J31" i="11"/>
  <c r="K31" i="11" s="1"/>
  <c r="H33" i="11"/>
  <c r="J33" i="11"/>
  <c r="K33" i="11" s="1"/>
  <c r="H34" i="11"/>
  <c r="J34" i="11"/>
  <c r="K34" i="11" s="1"/>
  <c r="H35" i="11"/>
  <c r="J35" i="11"/>
  <c r="K35" i="11" s="1"/>
  <c r="H36" i="11"/>
  <c r="J36" i="11"/>
  <c r="K36" i="11" s="1"/>
  <c r="H37" i="11"/>
  <c r="J37" i="11"/>
  <c r="K37" i="11" s="1"/>
  <c r="H38" i="11"/>
  <c r="J38" i="11"/>
  <c r="K38" i="11" s="1"/>
  <c r="H40" i="11"/>
  <c r="J40" i="11"/>
  <c r="K40" i="11" s="1"/>
  <c r="H41" i="11"/>
  <c r="J41" i="11"/>
  <c r="K41" i="11" s="1"/>
  <c r="G42" i="11"/>
  <c r="J42" i="11"/>
  <c r="K42" i="11" s="1"/>
  <c r="H46" i="11"/>
  <c r="J46" i="11"/>
  <c r="K46" i="11" s="1"/>
  <c r="H47" i="11"/>
  <c r="J47" i="11"/>
  <c r="K47" i="11" s="1"/>
  <c r="H48" i="11"/>
  <c r="J48" i="11"/>
  <c r="K48" i="11" s="1"/>
  <c r="H49" i="11"/>
  <c r="J49" i="11"/>
  <c r="K49" i="11" s="1"/>
  <c r="H50" i="11"/>
  <c r="J50" i="11"/>
  <c r="K50" i="11" s="1"/>
  <c r="H56" i="11"/>
  <c r="J56" i="11"/>
  <c r="K56" i="11" s="1"/>
  <c r="H57" i="11"/>
  <c r="J57" i="11"/>
  <c r="K57" i="11" s="1"/>
  <c r="H59" i="11"/>
  <c r="J59" i="11"/>
  <c r="K59" i="11" s="1"/>
  <c r="J60" i="11"/>
  <c r="K60" i="11" s="1"/>
  <c r="H62" i="11"/>
  <c r="J62" i="11"/>
  <c r="K62" i="11" s="1"/>
  <c r="H63" i="11"/>
  <c r="J63" i="11"/>
  <c r="K63" i="11" s="1"/>
  <c r="H65" i="11"/>
  <c r="J65" i="11"/>
  <c r="K65" i="11" s="1"/>
  <c r="H66" i="11"/>
  <c r="J66" i="11"/>
  <c r="K66" i="11" s="1"/>
  <c r="H67" i="11"/>
  <c r="J67" i="11"/>
  <c r="K67" i="11" s="1"/>
  <c r="H70" i="11"/>
  <c r="J70" i="11"/>
  <c r="K70" i="11" s="1"/>
  <c r="H71" i="11"/>
  <c r="J71" i="11"/>
  <c r="K71" i="11" s="1"/>
  <c r="H72" i="11"/>
  <c r="J72" i="11"/>
  <c r="K72" i="11" s="1"/>
  <c r="H73" i="11"/>
  <c r="J73" i="11"/>
  <c r="K73" i="11" s="1"/>
  <c r="H76" i="11"/>
  <c r="J76" i="11"/>
  <c r="K76" i="11" s="1"/>
  <c r="H77" i="11"/>
  <c r="J77" i="11"/>
  <c r="K77" i="11" s="1"/>
  <c r="H78" i="11"/>
  <c r="J78" i="11"/>
  <c r="K78" i="11" s="1"/>
  <c r="H80" i="11"/>
  <c r="J80" i="11"/>
  <c r="K80" i="11" s="1"/>
  <c r="H81" i="11"/>
  <c r="J81" i="11"/>
  <c r="K81" i="11" s="1"/>
  <c r="H82" i="11"/>
  <c r="J82" i="11"/>
  <c r="K82" i="11" s="1"/>
  <c r="H83" i="11"/>
  <c r="J83" i="11"/>
  <c r="K83" i="11" s="1"/>
  <c r="H84" i="11"/>
  <c r="J84" i="11"/>
  <c r="K84" i="11" s="1"/>
  <c r="H85" i="11"/>
  <c r="J85" i="11"/>
  <c r="K85" i="11" s="1"/>
  <c r="H86" i="11"/>
  <c r="J86" i="11"/>
  <c r="K86" i="11" s="1"/>
  <c r="H87" i="11"/>
  <c r="J87" i="11"/>
  <c r="K87" i="11" s="1"/>
  <c r="H89" i="11"/>
  <c r="J89" i="11"/>
  <c r="K89" i="11" s="1"/>
  <c r="H90" i="11"/>
  <c r="J90" i="11"/>
  <c r="K90" i="11" s="1"/>
  <c r="H93" i="11"/>
  <c r="J93" i="11"/>
  <c r="K93" i="11" s="1"/>
  <c r="H96" i="11"/>
  <c r="J96" i="11"/>
  <c r="K96" i="11" s="1"/>
  <c r="H97" i="11"/>
  <c r="J97" i="11"/>
  <c r="K97" i="11" s="1"/>
  <c r="H98" i="11"/>
  <c r="J98" i="11"/>
  <c r="K98" i="11" s="1"/>
  <c r="H99" i="11"/>
  <c r="J99" i="11"/>
  <c r="K99" i="11" s="1"/>
  <c r="H100" i="11"/>
  <c r="J100" i="11"/>
  <c r="K100" i="11" s="1"/>
  <c r="H101" i="11"/>
  <c r="J101" i="11"/>
  <c r="K101" i="11" s="1"/>
  <c r="H102" i="11"/>
  <c r="J102" i="11"/>
  <c r="K102" i="11" s="1"/>
  <c r="H103" i="11"/>
  <c r="J103" i="11"/>
  <c r="K103" i="11" s="1"/>
  <c r="H104" i="11"/>
  <c r="J104" i="11"/>
  <c r="K104" i="11" s="1"/>
  <c r="H105" i="11"/>
  <c r="J105" i="11"/>
  <c r="K105" i="11" s="1"/>
  <c r="H106" i="11"/>
  <c r="J106" i="11"/>
  <c r="K106" i="11" s="1"/>
  <c r="H108" i="11"/>
  <c r="J108" i="11"/>
  <c r="K108" i="11" s="1"/>
  <c r="H109" i="11"/>
  <c r="J109" i="11"/>
  <c r="K109" i="11" s="1"/>
  <c r="G110" i="11"/>
  <c r="H110" i="11" s="1"/>
  <c r="J110" i="11"/>
  <c r="K110" i="11" s="1"/>
  <c r="H111" i="11"/>
  <c r="K111" i="11"/>
  <c r="H113" i="11"/>
  <c r="J113" i="11"/>
  <c r="K113" i="11" s="1"/>
  <c r="C27" i="10"/>
  <c r="C17" i="10"/>
  <c r="D17" i="10"/>
  <c r="F17" i="10"/>
  <c r="G17" i="10"/>
  <c r="H18" i="10"/>
  <c r="K18" i="10"/>
  <c r="H19" i="10"/>
  <c r="J19" i="10"/>
  <c r="K19" i="10" s="1"/>
  <c r="C20" i="10"/>
  <c r="D20" i="10"/>
  <c r="F20" i="10"/>
  <c r="G20" i="10"/>
  <c r="H21" i="10"/>
  <c r="J21" i="10"/>
  <c r="K21" i="10" s="1"/>
  <c r="H22" i="10"/>
  <c r="J22" i="10"/>
  <c r="K22" i="10" s="1"/>
  <c r="H23" i="10"/>
  <c r="J23" i="10"/>
  <c r="K23" i="10" s="1"/>
  <c r="C24" i="10"/>
  <c r="D24" i="10"/>
  <c r="F24" i="10"/>
  <c r="G24" i="10"/>
  <c r="H25" i="10"/>
  <c r="J25" i="10"/>
  <c r="K25" i="10" s="1"/>
  <c r="H26" i="10"/>
  <c r="J26" i="10"/>
  <c r="K26" i="10" s="1"/>
  <c r="G27" i="10"/>
  <c r="H28" i="10"/>
  <c r="K28" i="10"/>
  <c r="H30" i="10"/>
  <c r="K30" i="10"/>
  <c r="H32" i="10"/>
  <c r="K32" i="10"/>
  <c r="H33" i="10"/>
  <c r="K33" i="10"/>
  <c r="H34" i="10"/>
  <c r="K34" i="10"/>
  <c r="D27" i="10"/>
  <c r="H36" i="10"/>
  <c r="K36" i="10"/>
  <c r="H37" i="10"/>
  <c r="J37" i="10"/>
  <c r="K37" i="10" s="1"/>
  <c r="H38" i="10"/>
  <c r="J38" i="10"/>
  <c r="K38" i="10" s="1"/>
  <c r="H40" i="10"/>
  <c r="K40" i="10"/>
  <c r="H41" i="10"/>
  <c r="K41" i="10"/>
  <c r="H42" i="10"/>
  <c r="K42" i="10"/>
  <c r="H43" i="10"/>
  <c r="K43" i="10"/>
  <c r="H44" i="10"/>
  <c r="J44" i="10"/>
  <c r="K44" i="10" s="1"/>
  <c r="H45" i="10"/>
  <c r="J45" i="10"/>
  <c r="K45" i="10" s="1"/>
  <c r="H46" i="10"/>
  <c r="J46" i="10"/>
  <c r="K46" i="10" s="1"/>
  <c r="G19" i="9"/>
  <c r="J19" i="9"/>
  <c r="G20" i="9"/>
  <c r="J20" i="9"/>
  <c r="G25" i="9"/>
  <c r="J25" i="9"/>
  <c r="G26" i="9"/>
  <c r="J26" i="9"/>
  <c r="G27" i="9"/>
  <c r="J27" i="9"/>
  <c r="G28" i="9"/>
  <c r="J28" i="9"/>
  <c r="G29" i="9"/>
  <c r="J29" i="9"/>
  <c r="G39" i="9"/>
  <c r="J39" i="9"/>
  <c r="G40" i="9"/>
  <c r="J40" i="9"/>
  <c r="F41" i="9"/>
  <c r="G41" i="9" s="1"/>
  <c r="J41" i="9"/>
  <c r="G42" i="9"/>
  <c r="J42" i="9"/>
  <c r="B45" i="9"/>
  <c r="C45" i="9"/>
  <c r="E45" i="9"/>
  <c r="K45" i="9"/>
  <c r="G48" i="9"/>
  <c r="J48" i="9"/>
  <c r="G49" i="9"/>
  <c r="J49" i="9"/>
  <c r="G50" i="9"/>
  <c r="J50" i="9"/>
  <c r="F51" i="9"/>
  <c r="F55" i="9" s="1"/>
  <c r="J51" i="9"/>
  <c r="G52" i="9"/>
  <c r="J52" i="9"/>
  <c r="G53" i="9"/>
  <c r="J53" i="9"/>
  <c r="B55" i="9"/>
  <c r="C55" i="9"/>
  <c r="E55" i="9"/>
  <c r="K55" i="9"/>
  <c r="G59" i="9"/>
  <c r="J59" i="9"/>
  <c r="G60" i="9"/>
  <c r="J60" i="9"/>
  <c r="G68" i="9"/>
  <c r="J68" i="9"/>
  <c r="G70" i="9"/>
  <c r="J70" i="9"/>
  <c r="G71" i="9"/>
  <c r="J71" i="9"/>
  <c r="G73" i="9"/>
  <c r="J73" i="9"/>
  <c r="G72" i="9"/>
  <c r="J72" i="9"/>
  <c r="B76" i="9"/>
  <c r="C76" i="9"/>
  <c r="E76" i="9"/>
  <c r="F76" i="9"/>
  <c r="K76" i="9"/>
  <c r="M40" i="9" l="1"/>
  <c r="O40" i="9" s="1"/>
  <c r="M20" i="12"/>
  <c r="Q20" i="12" s="1"/>
  <c r="M35" i="12"/>
  <c r="Q35" i="12" s="1"/>
  <c r="M102" i="12"/>
  <c r="Q102" i="12" s="1"/>
  <c r="Q158" i="12"/>
  <c r="M47" i="12"/>
  <c r="Q47" i="12" s="1"/>
  <c r="M112" i="12"/>
  <c r="Q112" i="12" s="1"/>
  <c r="M109" i="12"/>
  <c r="Q109" i="12" s="1"/>
  <c r="M136" i="12"/>
  <c r="Q136" i="12" s="1"/>
  <c r="M117" i="12"/>
  <c r="Q117" i="12" s="1"/>
  <c r="M51" i="12"/>
  <c r="Q51" i="12" s="1"/>
  <c r="M66" i="12"/>
  <c r="Q66" i="12" s="1"/>
  <c r="M165" i="12"/>
  <c r="Q165" i="12" s="1"/>
  <c r="M169" i="12"/>
  <c r="Q169" i="12" s="1"/>
  <c r="N82" i="12"/>
  <c r="N73" i="12" s="1"/>
  <c r="Q78" i="12"/>
  <c r="M69" i="12"/>
  <c r="Q69" i="12" s="1"/>
  <c r="M104" i="12"/>
  <c r="Q104" i="12" s="1"/>
  <c r="M76" i="12"/>
  <c r="Q76" i="12" s="1"/>
  <c r="M140" i="12"/>
  <c r="Q140" i="12" s="1"/>
  <c r="Q168" i="12"/>
  <c r="Q161" i="12"/>
  <c r="M144" i="12"/>
  <c r="Q144" i="12" s="1"/>
  <c r="Q120" i="12"/>
  <c r="Q107" i="12"/>
  <c r="Q88" i="12"/>
  <c r="Q40" i="12"/>
  <c r="Q131" i="12"/>
  <c r="Q126" i="12"/>
  <c r="M123" i="12"/>
  <c r="Q123" i="12" s="1"/>
  <c r="Q116" i="12"/>
  <c r="Q84" i="12"/>
  <c r="M43" i="12"/>
  <c r="Q43" i="12" s="1"/>
  <c r="M19" i="12"/>
  <c r="Q19" i="12" s="1"/>
  <c r="M137" i="12"/>
  <c r="Q137" i="12" s="1"/>
  <c r="Q134" i="12"/>
  <c r="Q156" i="12"/>
  <c r="Q130" i="12"/>
  <c r="Q141" i="12"/>
  <c r="M105" i="12"/>
  <c r="Q105" i="12" s="1"/>
  <c r="M129" i="12"/>
  <c r="Q129" i="12" s="1"/>
  <c r="M114" i="12"/>
  <c r="Q114" i="12" s="1"/>
  <c r="Q125" i="12"/>
  <c r="M167" i="12"/>
  <c r="Q167" i="12" s="1"/>
  <c r="Q164" i="12"/>
  <c r="Q91" i="12"/>
  <c r="Q81" i="12"/>
  <c r="Q71" i="12"/>
  <c r="Q34" i="12"/>
  <c r="M29" i="12"/>
  <c r="Q29" i="12" s="1"/>
  <c r="M22" i="12"/>
  <c r="Q22" i="12" s="1"/>
  <c r="Q98" i="12"/>
  <c r="Q80" i="12"/>
  <c r="Q163" i="12"/>
  <c r="F147" i="12"/>
  <c r="Q152" i="12"/>
  <c r="M143" i="12"/>
  <c r="Q143" i="12" s="1"/>
  <c r="G94" i="12"/>
  <c r="M90" i="12"/>
  <c r="Q90" i="12" s="1"/>
  <c r="M36" i="12"/>
  <c r="Q36" i="12" s="1"/>
  <c r="C147" i="12"/>
  <c r="M42" i="12"/>
  <c r="Q42" i="12" s="1"/>
  <c r="M60" i="12"/>
  <c r="Q60" i="12" s="1"/>
  <c r="Q41" i="12"/>
  <c r="M25" i="12"/>
  <c r="Q25" i="12" s="1"/>
  <c r="Q110" i="12"/>
  <c r="M82" i="12"/>
  <c r="M68" i="12"/>
  <c r="Q68" i="12" s="1"/>
  <c r="M67" i="12"/>
  <c r="Q67" i="12" s="1"/>
  <c r="M26" i="12"/>
  <c r="Q26" i="12" s="1"/>
  <c r="Q119" i="12"/>
  <c r="M59" i="12"/>
  <c r="Q59" i="12" s="1"/>
  <c r="Q166" i="12"/>
  <c r="Q160" i="12"/>
  <c r="M155" i="12"/>
  <c r="Q155" i="12" s="1"/>
  <c r="Q151" i="12"/>
  <c r="N147" i="12"/>
  <c r="M145" i="12"/>
  <c r="Q145" i="12" s="1"/>
  <c r="Q115" i="12"/>
  <c r="Q106" i="12"/>
  <c r="Q87" i="12"/>
  <c r="H63" i="12"/>
  <c r="Q61" i="12"/>
  <c r="Q54" i="12"/>
  <c r="M44" i="12"/>
  <c r="Q44" i="12" s="1"/>
  <c r="M38" i="12"/>
  <c r="Q38" i="12" s="1"/>
  <c r="Q33" i="12"/>
  <c r="M31" i="12"/>
  <c r="Q31" i="12" s="1"/>
  <c r="Q171" i="12"/>
  <c r="Q157" i="12"/>
  <c r="L147" i="12"/>
  <c r="L94" i="12"/>
  <c r="Q118" i="12"/>
  <c r="F94" i="12"/>
  <c r="Q56" i="12"/>
  <c r="Q154" i="12"/>
  <c r="Q150" i="12"/>
  <c r="G147" i="12"/>
  <c r="Q138" i="12"/>
  <c r="M124" i="12"/>
  <c r="Q124" i="12" s="1"/>
  <c r="C94" i="12"/>
  <c r="Q86" i="12"/>
  <c r="Q83" i="12"/>
  <c r="Q75" i="12"/>
  <c r="Q50" i="12"/>
  <c r="M21" i="12"/>
  <c r="Q21" i="12" s="1"/>
  <c r="M159" i="12"/>
  <c r="Q159" i="12" s="1"/>
  <c r="Q135" i="12"/>
  <c r="Q132" i="12"/>
  <c r="M127" i="12"/>
  <c r="Q127" i="12" s="1"/>
  <c r="P122" i="12"/>
  <c r="Q108" i="12"/>
  <c r="M101" i="12"/>
  <c r="Q101" i="12" s="1"/>
  <c r="M99" i="12"/>
  <c r="Q99" i="12" s="1"/>
  <c r="Q89" i="12"/>
  <c r="Q77" i="12"/>
  <c r="M52" i="12"/>
  <c r="Q52" i="12" s="1"/>
  <c r="M46" i="12"/>
  <c r="Q46" i="12" s="1"/>
  <c r="M30" i="12"/>
  <c r="Q30" i="12" s="1"/>
  <c r="Q170" i="12"/>
  <c r="Q153" i="12"/>
  <c r="Q149" i="12"/>
  <c r="M111" i="12"/>
  <c r="Q111" i="12" s="1"/>
  <c r="Q103" i="12"/>
  <c r="Q92" i="12"/>
  <c r="H73" i="12"/>
  <c r="M37" i="12"/>
  <c r="Q37" i="12" s="1"/>
  <c r="M113" i="12"/>
  <c r="Q113" i="12" s="1"/>
  <c r="Q85" i="12"/>
  <c r="Q79" i="12"/>
  <c r="M65" i="12"/>
  <c r="Q65" i="12" s="1"/>
  <c r="M49" i="12"/>
  <c r="Q49" i="12" s="1"/>
  <c r="M45" i="12"/>
  <c r="Q45" i="12" s="1"/>
  <c r="M39" i="12"/>
  <c r="Q39" i="12" s="1"/>
  <c r="M24" i="12"/>
  <c r="Q24" i="12" s="1"/>
  <c r="G17" i="12"/>
  <c r="F17" i="12"/>
  <c r="L17" i="12"/>
  <c r="N18" i="12"/>
  <c r="N17" i="12" s="1"/>
  <c r="C17" i="12"/>
  <c r="H133" i="12"/>
  <c r="M133" i="12" s="1"/>
  <c r="Q133" i="12" s="1"/>
  <c r="M95" i="12"/>
  <c r="M53" i="12"/>
  <c r="M148" i="12"/>
  <c r="M74" i="12"/>
  <c r="M64" i="12"/>
  <c r="M162" i="12"/>
  <c r="M27" i="12"/>
  <c r="M108" i="11"/>
  <c r="M40" i="11"/>
  <c r="M105" i="11"/>
  <c r="M101" i="11"/>
  <c r="M97" i="11"/>
  <c r="N84" i="11"/>
  <c r="P84" i="11" s="1"/>
  <c r="N80" i="11"/>
  <c r="P80" i="11" s="1"/>
  <c r="F16" i="11"/>
  <c r="M59" i="11"/>
  <c r="M111" i="11"/>
  <c r="N83" i="11"/>
  <c r="P83" i="11" s="1"/>
  <c r="M76" i="11"/>
  <c r="M62" i="11"/>
  <c r="N36" i="11"/>
  <c r="P36" i="11" s="1"/>
  <c r="M22" i="11"/>
  <c r="M31" i="11"/>
  <c r="M72" i="11"/>
  <c r="M66" i="11"/>
  <c r="N113" i="11"/>
  <c r="P113" i="11" s="1"/>
  <c r="M103" i="11"/>
  <c r="M99" i="11"/>
  <c r="N90" i="11"/>
  <c r="P90" i="11" s="1"/>
  <c r="M80" i="11"/>
  <c r="M20" i="11"/>
  <c r="M104" i="11"/>
  <c r="M29" i="11"/>
  <c r="N87" i="11"/>
  <c r="P87" i="11" s="1"/>
  <c r="N48" i="11"/>
  <c r="P48" i="11" s="1"/>
  <c r="M34" i="11"/>
  <c r="M89" i="11"/>
  <c r="N20" i="11"/>
  <c r="P20" i="11" s="1"/>
  <c r="M86" i="11"/>
  <c r="M70" i="11"/>
  <c r="N63" i="11"/>
  <c r="P63" i="11" s="1"/>
  <c r="M57" i="11"/>
  <c r="M47" i="11"/>
  <c r="M41" i="11"/>
  <c r="N60" i="11"/>
  <c r="P60" i="11" s="1"/>
  <c r="M60" i="11"/>
  <c r="M90" i="11"/>
  <c r="N77" i="11"/>
  <c r="P77" i="11" s="1"/>
  <c r="N38" i="11"/>
  <c r="P38" i="11" s="1"/>
  <c r="N93" i="11"/>
  <c r="P93" i="11" s="1"/>
  <c r="M63" i="11"/>
  <c r="M50" i="11"/>
  <c r="N28" i="11"/>
  <c r="P28" i="11" s="1"/>
  <c r="N82" i="11"/>
  <c r="P82" i="11" s="1"/>
  <c r="D16" i="11"/>
  <c r="M87" i="11"/>
  <c r="M46" i="11"/>
  <c r="C16" i="11"/>
  <c r="N34" i="11"/>
  <c r="P34" i="11" s="1"/>
  <c r="N89" i="11"/>
  <c r="P89" i="11" s="1"/>
  <c r="N62" i="11"/>
  <c r="P62" i="11" s="1"/>
  <c r="M48" i="11"/>
  <c r="N40" i="11"/>
  <c r="P40" i="11" s="1"/>
  <c r="M38" i="11"/>
  <c r="M35" i="11"/>
  <c r="M113" i="11"/>
  <c r="M83" i="11"/>
  <c r="N31" i="11"/>
  <c r="P31" i="11" s="1"/>
  <c r="M28" i="11"/>
  <c r="N86" i="11"/>
  <c r="P86" i="11" s="1"/>
  <c r="M82" i="11"/>
  <c r="M18" i="11"/>
  <c r="M110" i="11"/>
  <c r="N110" i="11"/>
  <c r="P110" i="11" s="1"/>
  <c r="N85" i="11"/>
  <c r="P85" i="11" s="1"/>
  <c r="M77" i="11"/>
  <c r="M71" i="11"/>
  <c r="M23" i="11"/>
  <c r="N23" i="11"/>
  <c r="P23" i="11" s="1"/>
  <c r="M109" i="11"/>
  <c r="N109" i="11"/>
  <c r="P109" i="11" s="1"/>
  <c r="M100" i="11"/>
  <c r="M93" i="11"/>
  <c r="N37" i="11"/>
  <c r="P37" i="11" s="1"/>
  <c r="M106" i="11"/>
  <c r="N106" i="11"/>
  <c r="P106" i="11" s="1"/>
  <c r="N103" i="11"/>
  <c r="P103" i="11" s="1"/>
  <c r="M96" i="11"/>
  <c r="M84" i="11"/>
  <c r="M73" i="11"/>
  <c r="N73" i="11"/>
  <c r="P73" i="11" s="1"/>
  <c r="N70" i="11"/>
  <c r="P70" i="11" s="1"/>
  <c r="M65" i="11"/>
  <c r="N49" i="11"/>
  <c r="P49" i="11" s="1"/>
  <c r="N27" i="11"/>
  <c r="P27" i="11" s="1"/>
  <c r="M102" i="11"/>
  <c r="N102" i="11"/>
  <c r="P102" i="11" s="1"/>
  <c r="N99" i="11"/>
  <c r="P99" i="11" s="1"/>
  <c r="N81" i="11"/>
  <c r="P81" i="11" s="1"/>
  <c r="N57" i="11"/>
  <c r="P57" i="11" s="1"/>
  <c r="M36" i="11"/>
  <c r="M98" i="11"/>
  <c r="N98" i="11"/>
  <c r="P98" i="11" s="1"/>
  <c r="M67" i="11"/>
  <c r="N67" i="11"/>
  <c r="P67" i="11" s="1"/>
  <c r="M56" i="11"/>
  <c r="N56" i="11"/>
  <c r="P56" i="11" s="1"/>
  <c r="N33" i="11"/>
  <c r="P33" i="11" s="1"/>
  <c r="N78" i="11"/>
  <c r="P78" i="11" s="1"/>
  <c r="N108" i="11"/>
  <c r="P108" i="11" s="1"/>
  <c r="N105" i="11"/>
  <c r="P105" i="11" s="1"/>
  <c r="N101" i="11"/>
  <c r="P101" i="11" s="1"/>
  <c r="N97" i="11"/>
  <c r="P97" i="11" s="1"/>
  <c r="M85" i="11"/>
  <c r="M81" i="11"/>
  <c r="M78" i="11"/>
  <c r="N72" i="11"/>
  <c r="P72" i="11" s="1"/>
  <c r="N66" i="11"/>
  <c r="P66" i="11" s="1"/>
  <c r="M49" i="11"/>
  <c r="H42" i="11"/>
  <c r="M37" i="11"/>
  <c r="M33" i="11"/>
  <c r="M27" i="11"/>
  <c r="N22" i="11"/>
  <c r="P22" i="11" s="1"/>
  <c r="N50" i="11"/>
  <c r="P50" i="11" s="1"/>
  <c r="N46" i="11"/>
  <c r="P46" i="11" s="1"/>
  <c r="N76" i="11"/>
  <c r="N47" i="11"/>
  <c r="P47" i="11" s="1"/>
  <c r="N41" i="11"/>
  <c r="P41" i="11" s="1"/>
  <c r="N35" i="11"/>
  <c r="P35" i="11" s="1"/>
  <c r="N29" i="11"/>
  <c r="P29" i="11" s="1"/>
  <c r="N18" i="11"/>
  <c r="N111" i="11"/>
  <c r="P111" i="11" s="1"/>
  <c r="N104" i="11"/>
  <c r="P104" i="11" s="1"/>
  <c r="N100" i="11"/>
  <c r="P100" i="11" s="1"/>
  <c r="N96" i="11"/>
  <c r="P96" i="11" s="1"/>
  <c r="N71" i="11"/>
  <c r="P71" i="11" s="1"/>
  <c r="N65" i="11"/>
  <c r="P65" i="11" s="1"/>
  <c r="N59" i="11"/>
  <c r="P59" i="11" s="1"/>
  <c r="M25" i="10"/>
  <c r="M33" i="10"/>
  <c r="M32" i="10"/>
  <c r="N40" i="10"/>
  <c r="P40" i="10" s="1"/>
  <c r="N23" i="10"/>
  <c r="N46" i="10"/>
  <c r="N37" i="10"/>
  <c r="M37" i="10"/>
  <c r="M43" i="10"/>
  <c r="M45" i="10"/>
  <c r="N30" i="10"/>
  <c r="M18" i="10"/>
  <c r="M34" i="10"/>
  <c r="M40" i="10"/>
  <c r="D16" i="10"/>
  <c r="N43" i="10"/>
  <c r="P43" i="10" s="1"/>
  <c r="M46" i="10"/>
  <c r="N25" i="10"/>
  <c r="M19" i="10"/>
  <c r="G16" i="10"/>
  <c r="M36" i="10"/>
  <c r="N28" i="10"/>
  <c r="M23" i="10"/>
  <c r="N18" i="10"/>
  <c r="N45" i="10"/>
  <c r="M38" i="10"/>
  <c r="C16" i="10"/>
  <c r="M42" i="10"/>
  <c r="N34" i="10"/>
  <c r="M22" i="10"/>
  <c r="N19" i="10"/>
  <c r="M41" i="10"/>
  <c r="M30" i="10"/>
  <c r="M44" i="10"/>
  <c r="N33" i="10"/>
  <c r="H24" i="10"/>
  <c r="N36" i="10"/>
  <c r="M28" i="10"/>
  <c r="M21" i="10"/>
  <c r="N38" i="10"/>
  <c r="N26" i="10"/>
  <c r="N21" i="10"/>
  <c r="H20" i="10"/>
  <c r="M26" i="10"/>
  <c r="N44" i="10"/>
  <c r="N41" i="10"/>
  <c r="H27" i="10"/>
  <c r="N22" i="10"/>
  <c r="H17" i="10"/>
  <c r="F27" i="10"/>
  <c r="N42" i="10"/>
  <c r="N32" i="10"/>
  <c r="L49" i="9"/>
  <c r="M60" i="9"/>
  <c r="O60" i="9" s="1"/>
  <c r="L40" i="9"/>
  <c r="L71" i="9"/>
  <c r="L29" i="9"/>
  <c r="L25" i="9"/>
  <c r="M52" i="9"/>
  <c r="O52" i="9" s="1"/>
  <c r="L19" i="9"/>
  <c r="M71" i="9"/>
  <c r="O71" i="9" s="1"/>
  <c r="L52" i="9"/>
  <c r="M49" i="9"/>
  <c r="O49" i="9" s="1"/>
  <c r="L26" i="9"/>
  <c r="L48" i="9"/>
  <c r="L60" i="9"/>
  <c r="L50" i="9"/>
  <c r="L28" i="9"/>
  <c r="E16" i="9"/>
  <c r="C16" i="9"/>
  <c r="L72" i="9"/>
  <c r="L42" i="9"/>
  <c r="L39" i="9"/>
  <c r="M70" i="9"/>
  <c r="O70" i="9" s="1"/>
  <c r="L59" i="9"/>
  <c r="G51" i="9"/>
  <c r="L51" i="9" s="1"/>
  <c r="L68" i="9"/>
  <c r="M27" i="9"/>
  <c r="O27" i="9" s="1"/>
  <c r="L20" i="9"/>
  <c r="M72" i="9"/>
  <c r="O72" i="9" s="1"/>
  <c r="M28" i="9"/>
  <c r="O28" i="9" s="1"/>
  <c r="M19" i="9"/>
  <c r="O19" i="9" s="1"/>
  <c r="L53" i="9"/>
  <c r="M25" i="9"/>
  <c r="O25" i="9" s="1"/>
  <c r="L73" i="9"/>
  <c r="K16" i="9"/>
  <c r="F45" i="9"/>
  <c r="F16" i="9" s="1"/>
  <c r="L27" i="9"/>
  <c r="B16" i="9"/>
  <c r="L70" i="9"/>
  <c r="L41" i="9"/>
  <c r="M41" i="9"/>
  <c r="O41" i="9" s="1"/>
  <c r="G76" i="9"/>
  <c r="M68" i="9"/>
  <c r="O68" i="9" s="1"/>
  <c r="M53" i="9"/>
  <c r="O53" i="9" s="1"/>
  <c r="M50" i="9"/>
  <c r="O50" i="9" s="1"/>
  <c r="M26" i="9"/>
  <c r="O26" i="9" s="1"/>
  <c r="M73" i="9"/>
  <c r="O73" i="9" s="1"/>
  <c r="M42" i="9"/>
  <c r="O42" i="9" s="1"/>
  <c r="M39" i="9"/>
  <c r="O39" i="9" s="1"/>
  <c r="M29" i="9"/>
  <c r="O29" i="9" s="1"/>
  <c r="M59" i="9"/>
  <c r="M48" i="9"/>
  <c r="M20" i="9"/>
  <c r="O20" i="9" s="1"/>
  <c r="P147" i="12" l="1"/>
  <c r="P82" i="12"/>
  <c r="P73" i="12" s="1"/>
  <c r="P94" i="12"/>
  <c r="P63" i="12"/>
  <c r="N63" i="12"/>
  <c r="N94" i="12"/>
  <c r="H147" i="12"/>
  <c r="H94" i="12"/>
  <c r="Q95" i="12"/>
  <c r="Q27" i="12"/>
  <c r="M122" i="12"/>
  <c r="Q162" i="12"/>
  <c r="M63" i="12"/>
  <c r="Q64" i="12"/>
  <c r="H18" i="12"/>
  <c r="H17" i="12" s="1"/>
  <c r="M73" i="12"/>
  <c r="Q74" i="12"/>
  <c r="Q53" i="12"/>
  <c r="H122" i="12"/>
  <c r="M18" i="12"/>
  <c r="Q148" i="12"/>
  <c r="H16" i="11"/>
  <c r="G16" i="11"/>
  <c r="M42" i="11"/>
  <c r="N42" i="11"/>
  <c r="P42" i="11" s="1"/>
  <c r="P18" i="11"/>
  <c r="P76" i="11"/>
  <c r="P37" i="10"/>
  <c r="P41" i="10"/>
  <c r="P33" i="10"/>
  <c r="P46" i="10"/>
  <c r="P44" i="10"/>
  <c r="P32" i="10"/>
  <c r="P45" i="10"/>
  <c r="P25" i="10"/>
  <c r="P23" i="10"/>
  <c r="P42" i="10"/>
  <c r="P18" i="10"/>
  <c r="P30" i="10"/>
  <c r="P19" i="10"/>
  <c r="P28" i="10"/>
  <c r="P22" i="10"/>
  <c r="P38" i="10"/>
  <c r="P36" i="10"/>
  <c r="P34" i="10"/>
  <c r="M24" i="10"/>
  <c r="M17" i="10"/>
  <c r="P17" i="10"/>
  <c r="M27" i="10"/>
  <c r="M20" i="10"/>
  <c r="N17" i="10"/>
  <c r="H16" i="10"/>
  <c r="P21" i="10"/>
  <c r="N20" i="10"/>
  <c r="P26" i="10"/>
  <c r="N24" i="10"/>
  <c r="F16" i="10"/>
  <c r="N27" i="10"/>
  <c r="L76" i="9"/>
  <c r="O45" i="9"/>
  <c r="L45" i="9"/>
  <c r="G45" i="9"/>
  <c r="M51" i="9"/>
  <c r="O51" i="9" s="1"/>
  <c r="G55" i="9"/>
  <c r="G16" i="9" s="1"/>
  <c r="L55" i="9"/>
  <c r="M45" i="9"/>
  <c r="O48" i="9"/>
  <c r="M76" i="9"/>
  <c r="O59" i="9"/>
  <c r="O76" i="9" s="1"/>
  <c r="Q82" i="12" l="1"/>
  <c r="Q63" i="12"/>
  <c r="Q73" i="12"/>
  <c r="M147" i="12"/>
  <c r="Q147" i="12" s="1"/>
  <c r="P18" i="12"/>
  <c r="Q122" i="12"/>
  <c r="P20" i="10"/>
  <c r="P27" i="10"/>
  <c r="P24" i="10"/>
  <c r="M16" i="10"/>
  <c r="N16" i="10"/>
  <c r="L16" i="9"/>
  <c r="O55" i="9"/>
  <c r="O16" i="9" s="1"/>
  <c r="M55" i="9"/>
  <c r="M16" i="9" s="1"/>
  <c r="P17" i="12" l="1"/>
  <c r="Q18" i="12"/>
  <c r="M94" i="12"/>
  <c r="N16" i="11"/>
  <c r="P16" i="11"/>
  <c r="P16" i="10"/>
  <c r="Q94" i="12" l="1"/>
  <c r="M17" i="12"/>
  <c r="Q17" i="12" l="1"/>
  <c r="M82" i="8" l="1"/>
  <c r="M74" i="8"/>
  <c r="C19" i="8"/>
  <c r="D19" i="8"/>
  <c r="F19" i="8"/>
  <c r="G19" i="8"/>
  <c r="H20" i="8"/>
  <c r="K20" i="8"/>
  <c r="N20" i="8" s="1"/>
  <c r="P20" i="8" s="1"/>
  <c r="H21" i="8"/>
  <c r="K21" i="8"/>
  <c r="N21" i="8"/>
  <c r="P21" i="8" s="1"/>
  <c r="H22" i="8"/>
  <c r="K22" i="8"/>
  <c r="N22" i="8"/>
  <c r="P22" i="8" s="1"/>
  <c r="H23" i="8"/>
  <c r="K23" i="8"/>
  <c r="N23" i="8" s="1"/>
  <c r="P23" i="8" s="1"/>
  <c r="H24" i="8"/>
  <c r="K24" i="8"/>
  <c r="N24" i="8" s="1"/>
  <c r="P24" i="8" s="1"/>
  <c r="H25" i="8"/>
  <c r="K25" i="8"/>
  <c r="N25" i="8"/>
  <c r="P25" i="8" s="1"/>
  <c r="C38" i="8"/>
  <c r="F38" i="8"/>
  <c r="G38" i="8"/>
  <c r="O38" i="8"/>
  <c r="H39" i="8"/>
  <c r="J39" i="8"/>
  <c r="K39" i="8" s="1"/>
  <c r="M39" i="8" s="1"/>
  <c r="M27" i="8" s="1"/>
  <c r="Q39" i="8"/>
  <c r="H40" i="8"/>
  <c r="K40" i="8"/>
  <c r="N40" i="8"/>
  <c r="P40" i="8"/>
  <c r="Q40" i="8"/>
  <c r="H41" i="8"/>
  <c r="K41" i="8"/>
  <c r="N41" i="8" s="1"/>
  <c r="P41" i="8" s="1"/>
  <c r="Q41" i="8"/>
  <c r="D42" i="8"/>
  <c r="D27" i="8" s="1"/>
  <c r="H43" i="8"/>
  <c r="K43" i="8"/>
  <c r="N43" i="8" s="1"/>
  <c r="P43" i="8" s="1"/>
  <c r="Q43" i="8"/>
  <c r="H44" i="8"/>
  <c r="K44" i="8"/>
  <c r="N44" i="8" s="1"/>
  <c r="P44" i="8" s="1"/>
  <c r="Q44" i="8"/>
  <c r="C45" i="8"/>
  <c r="C42" i="8" s="1"/>
  <c r="C27" i="8" s="1"/>
  <c r="C15" i="8" s="1"/>
  <c r="F45" i="8"/>
  <c r="F42" i="8" s="1"/>
  <c r="F27" i="8" s="1"/>
  <c r="F15" i="8" s="1"/>
  <c r="G45" i="8"/>
  <c r="G42" i="8" s="1"/>
  <c r="O45" i="8"/>
  <c r="O42" i="8" s="1"/>
  <c r="H46" i="8"/>
  <c r="H45" i="8" s="1"/>
  <c r="K46" i="8"/>
  <c r="M46" i="8" s="1"/>
  <c r="Q46" i="8"/>
  <c r="H47" i="8"/>
  <c r="K47" i="8"/>
  <c r="N47" i="8" s="1"/>
  <c r="Q47" i="8"/>
  <c r="H48" i="8"/>
  <c r="K48" i="8"/>
  <c r="N48" i="8" s="1"/>
  <c r="P48" i="8" s="1"/>
  <c r="Q48" i="8"/>
  <c r="H49" i="8"/>
  <c r="K49" i="8"/>
  <c r="M49" i="8"/>
  <c r="Q49" i="8"/>
  <c r="H50" i="8"/>
  <c r="K50" i="8"/>
  <c r="N50" i="8" s="1"/>
  <c r="P50" i="8" s="1"/>
  <c r="Q50" i="8"/>
  <c r="C51" i="8"/>
  <c r="G51" i="8"/>
  <c r="O51" i="8"/>
  <c r="H52" i="8"/>
  <c r="H51" i="8" s="1"/>
  <c r="K52" i="8"/>
  <c r="N52" i="8" s="1"/>
  <c r="P52" i="8" s="1"/>
  <c r="Q52" i="8"/>
  <c r="H53" i="8"/>
  <c r="K53" i="8"/>
  <c r="N53" i="8" s="1"/>
  <c r="P53" i="8" s="1"/>
  <c r="Q53" i="8"/>
  <c r="H54" i="8"/>
  <c r="J54" i="8"/>
  <c r="K54" i="8" s="1"/>
  <c r="N54" i="8" s="1"/>
  <c r="P54" i="8" s="1"/>
  <c r="Q54" i="8"/>
  <c r="H55" i="8"/>
  <c r="K55" i="8"/>
  <c r="N55" i="8" s="1"/>
  <c r="P55" i="8" s="1"/>
  <c r="Q55" i="8"/>
  <c r="G56" i="8"/>
  <c r="H57" i="8"/>
  <c r="J57" i="8"/>
  <c r="K57" i="8"/>
  <c r="M57" i="8"/>
  <c r="Q57" i="8"/>
  <c r="H58" i="8"/>
  <c r="H56" i="8" s="1"/>
  <c r="K58" i="8"/>
  <c r="N58" i="8"/>
  <c r="P58" i="8" s="1"/>
  <c r="Q58" i="8"/>
  <c r="C60" i="8"/>
  <c r="D60" i="8"/>
  <c r="F60" i="8"/>
  <c r="G60" i="8"/>
  <c r="N60" i="8"/>
  <c r="P60" i="8"/>
  <c r="H61" i="8"/>
  <c r="H60" i="8" s="1"/>
  <c r="K61" i="8"/>
  <c r="M61" i="8" s="1"/>
  <c r="Q61" i="8"/>
  <c r="H62" i="8"/>
  <c r="J62" i="8"/>
  <c r="K62" i="8" s="1"/>
  <c r="M62" i="8" s="1"/>
  <c r="Q62" i="8"/>
  <c r="H63" i="8"/>
  <c r="K63" i="8"/>
  <c r="M63" i="8" s="1"/>
  <c r="Q63" i="8"/>
  <c r="H64" i="8"/>
  <c r="K64" i="8"/>
  <c r="M64" i="8" s="1"/>
  <c r="Q64" i="8"/>
  <c r="H65" i="8"/>
  <c r="K65" i="8"/>
  <c r="M65" i="8"/>
  <c r="Q65" i="8"/>
  <c r="H66" i="8"/>
  <c r="K66" i="8"/>
  <c r="M66" i="8" s="1"/>
  <c r="Q66" i="8"/>
  <c r="H67" i="8"/>
  <c r="K67" i="8"/>
  <c r="M67" i="8"/>
  <c r="Q67" i="8"/>
  <c r="C69" i="8"/>
  <c r="D69" i="8"/>
  <c r="F69" i="8"/>
  <c r="G69" i="8"/>
  <c r="N69" i="8"/>
  <c r="P69" i="8"/>
  <c r="H70" i="8"/>
  <c r="K70" i="8"/>
  <c r="M70" i="8" s="1"/>
  <c r="M69" i="8" s="1"/>
  <c r="Q70" i="8"/>
  <c r="H71" i="8"/>
  <c r="K71" i="8"/>
  <c r="M71" i="8"/>
  <c r="Q71" i="8"/>
  <c r="N45" i="8" l="1"/>
  <c r="P47" i="8"/>
  <c r="P45" i="8" s="1"/>
  <c r="P42" i="8" s="1"/>
  <c r="P27" i="8" s="1"/>
  <c r="P15" i="8" s="1"/>
  <c r="G27" i="8"/>
  <c r="G15" i="8" s="1"/>
  <c r="H38" i="8"/>
  <c r="H69" i="8"/>
  <c r="D15" i="8"/>
  <c r="P19" i="8"/>
  <c r="H19" i="8"/>
  <c r="N19" i="8"/>
  <c r="P38" i="8"/>
  <c r="H42" i="8"/>
  <c r="H27" i="8" s="1"/>
  <c r="N27" i="8"/>
  <c r="M60" i="8"/>
  <c r="M15" i="8" s="1"/>
  <c r="P51" i="8"/>
  <c r="N51" i="8"/>
  <c r="N38" i="8"/>
  <c r="N42" i="8"/>
  <c r="H15" i="8" l="1"/>
  <c r="N15" i="8"/>
  <c r="Q22" i="1"/>
  <c r="Q21" i="1"/>
  <c r="Q20" i="1"/>
  <c r="Q19" i="1"/>
  <c r="Q18" i="1"/>
  <c r="Q14" i="1"/>
  <c r="Q13" i="1"/>
  <c r="Q12" i="1"/>
  <c r="K22" i="1"/>
  <c r="K21" i="1"/>
  <c r="K20" i="1"/>
  <c r="K19" i="1"/>
  <c r="K18" i="1"/>
  <c r="K14" i="1"/>
  <c r="K13" i="1"/>
  <c r="K12" i="1"/>
  <c r="B17" i="1" l="1"/>
  <c r="E10" i="1"/>
  <c r="E17" i="1"/>
  <c r="K10" i="1"/>
  <c r="Q17" i="1"/>
  <c r="K17" i="1"/>
  <c r="Q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author>
    <author>Microsoft Office User</author>
  </authors>
  <commentList>
    <comment ref="C9" authorId="0" shapeId="0" xr:uid="{389CC7A1-9C18-44DB-9EEF-178544A98B21}">
      <text>
        <r>
          <rPr>
            <b/>
            <sz val="9"/>
            <color indexed="81"/>
            <rFont val="Tahoma"/>
            <family val="2"/>
          </rPr>
          <t>Chris:</t>
        </r>
        <r>
          <rPr>
            <sz val="9"/>
            <color indexed="81"/>
            <rFont val="Tahoma"/>
            <family val="2"/>
          </rPr>
          <t xml:space="preserve">
TOTALLY DAMAGED
</t>
        </r>
      </text>
    </comment>
    <comment ref="D9" authorId="0" shapeId="0" xr:uid="{595F1EF1-A8DE-493A-A49E-F56599E89207}">
      <text>
        <r>
          <rPr>
            <b/>
            <sz val="9"/>
            <color indexed="81"/>
            <rFont val="Tahoma"/>
            <family val="2"/>
          </rPr>
          <t>Chris:</t>
        </r>
        <r>
          <rPr>
            <sz val="9"/>
            <color indexed="81"/>
            <rFont val="Tahoma"/>
            <family val="2"/>
          </rPr>
          <t xml:space="preserve">
PARTIALLY DAMAGED
</t>
        </r>
      </text>
    </comment>
    <comment ref="I9" authorId="0" shapeId="0" xr:uid="{530C585E-3C03-4053-841D-9EC2DA33E7BC}">
      <text>
        <r>
          <rPr>
            <b/>
            <sz val="9"/>
            <color indexed="81"/>
            <rFont val="Tahoma"/>
            <family val="2"/>
          </rPr>
          <t>Chris:</t>
        </r>
        <r>
          <rPr>
            <sz val="9"/>
            <color indexed="81"/>
            <rFont val="Tahoma"/>
            <family val="2"/>
          </rPr>
          <t xml:space="preserve">
TOTALLY DAMAGED
</t>
        </r>
      </text>
    </comment>
    <comment ref="J9" authorId="0" shapeId="0" xr:uid="{29695B42-FCC1-4780-964F-C9D5C8EBDDEB}">
      <text>
        <r>
          <rPr>
            <b/>
            <sz val="9"/>
            <color indexed="81"/>
            <rFont val="Tahoma"/>
            <family val="2"/>
          </rPr>
          <t>Chris:</t>
        </r>
        <r>
          <rPr>
            <sz val="9"/>
            <color indexed="81"/>
            <rFont val="Tahoma"/>
            <family val="2"/>
          </rPr>
          <t xml:space="preserve">
PARTIALLY DAMAGED
</t>
        </r>
      </text>
    </comment>
    <comment ref="F11" authorId="1" shapeId="0" xr:uid="{77FBC8AF-0A1B-724B-8AD0-65A21CB4D394}">
      <text>
        <r>
          <rPr>
            <b/>
            <sz val="10"/>
            <color rgb="FF000000"/>
            <rFont val="Tahoma"/>
            <family val="2"/>
          </rPr>
          <t>Microsoft Office User:</t>
        </r>
        <r>
          <rPr>
            <sz val="10"/>
            <color rgb="FF000000"/>
            <rFont val="Tahoma"/>
            <family val="2"/>
          </rPr>
          <t xml:space="preserve">
</t>
        </r>
        <r>
          <rPr>
            <sz val="10"/>
            <color rgb="FF000000"/>
            <rFont val="Tahoma"/>
            <family val="2"/>
          </rPr>
          <t>Seedling stage lahat</t>
        </r>
      </text>
    </comment>
    <comment ref="F12" authorId="1" shapeId="0" xr:uid="{CECE54D5-6509-3F41-BEB9-6D7135BBDAD8}">
      <text>
        <r>
          <rPr>
            <b/>
            <sz val="10"/>
            <color rgb="FF000000"/>
            <rFont val="Tahoma"/>
            <family val="2"/>
          </rPr>
          <t>Microsoft Office User:</t>
        </r>
        <r>
          <rPr>
            <sz val="10"/>
            <color rgb="FF000000"/>
            <rFont val="Tahoma"/>
            <family val="2"/>
          </rPr>
          <t xml:space="preserve">
</t>
        </r>
        <r>
          <rPr>
            <sz val="10"/>
            <color rgb="FF000000"/>
            <rFont val="Tahoma"/>
            <family val="2"/>
          </rPr>
          <t>Seedling stage lahat</t>
        </r>
      </text>
    </comment>
    <comment ref="F13" authorId="1" shapeId="0" xr:uid="{B6F240B1-9450-5D43-AB8B-91505273B678}">
      <text>
        <r>
          <rPr>
            <b/>
            <sz val="10"/>
            <color rgb="FF000000"/>
            <rFont val="Tahoma"/>
            <family val="2"/>
          </rPr>
          <t>Microsoft Office User:</t>
        </r>
        <r>
          <rPr>
            <sz val="10"/>
            <color rgb="FF000000"/>
            <rFont val="Tahoma"/>
            <family val="2"/>
          </rPr>
          <t xml:space="preserve">
</t>
        </r>
        <r>
          <rPr>
            <sz val="10"/>
            <color rgb="FF000000"/>
            <rFont val="Tahoma"/>
            <family val="2"/>
          </rPr>
          <t xml:space="preserve">Newly planted lahat
</t>
        </r>
      </text>
    </comment>
    <comment ref="F14" authorId="1" shapeId="0" xr:uid="{6B861C2E-14E2-0941-8F4B-460D67E9545A}">
      <text>
        <r>
          <rPr>
            <b/>
            <sz val="10"/>
            <color rgb="FF000000"/>
            <rFont val="Tahoma"/>
            <family val="2"/>
          </rPr>
          <t>Microsoft Office User:</t>
        </r>
        <r>
          <rPr>
            <sz val="10"/>
            <color rgb="FF000000"/>
            <rFont val="Tahoma"/>
            <family val="2"/>
          </rPr>
          <t xml:space="preserve">
</t>
        </r>
        <r>
          <rPr>
            <sz val="10"/>
            <color rgb="FF000000"/>
            <rFont val="Tahoma"/>
            <family val="2"/>
          </rPr>
          <t xml:space="preserve">Newly planted lahat
</t>
        </r>
      </text>
    </comment>
    <comment ref="F15" authorId="1" shapeId="0" xr:uid="{A744D4A5-DA50-2B44-92A9-CC9FFA2F9DF4}">
      <text>
        <r>
          <rPr>
            <b/>
            <sz val="10"/>
            <color rgb="FF000000"/>
            <rFont val="Tahoma"/>
            <family val="2"/>
          </rPr>
          <t>Microsoft Office User:</t>
        </r>
        <r>
          <rPr>
            <sz val="10"/>
            <color rgb="FF000000"/>
            <rFont val="Tahoma"/>
            <family val="2"/>
          </rPr>
          <t xml:space="preserve">
</t>
        </r>
        <r>
          <rPr>
            <sz val="10"/>
            <color rgb="FF000000"/>
            <rFont val="Tahoma"/>
            <family val="2"/>
          </rPr>
          <t xml:space="preserve">Newly planted lahat
</t>
        </r>
      </text>
    </comment>
    <comment ref="F16" authorId="1" shapeId="0" xr:uid="{E018373E-4116-7741-89CA-1CBFF45551F9}">
      <text>
        <r>
          <rPr>
            <b/>
            <sz val="10"/>
            <color rgb="FF000000"/>
            <rFont val="Tahoma"/>
            <family val="2"/>
          </rPr>
          <t>Microsoft Office User:</t>
        </r>
        <r>
          <rPr>
            <sz val="10"/>
            <color rgb="FF000000"/>
            <rFont val="Tahoma"/>
            <family val="2"/>
          </rPr>
          <t xml:space="preserve">
</t>
        </r>
        <r>
          <rPr>
            <sz val="10"/>
            <color rgb="FF000000"/>
            <rFont val="Tahoma"/>
            <family val="2"/>
          </rPr>
          <t>Seedling stage lahat</t>
        </r>
      </text>
    </comment>
    <comment ref="F18" authorId="1" shapeId="0" xr:uid="{03B3E0BC-5FAC-0B40-9C2E-19E6053763AD}">
      <text>
        <r>
          <rPr>
            <b/>
            <sz val="10"/>
            <color rgb="FF000000"/>
            <rFont val="Tahoma"/>
            <family val="2"/>
          </rPr>
          <t>Microsoft Office User:</t>
        </r>
        <r>
          <rPr>
            <sz val="10"/>
            <color rgb="FF000000"/>
            <rFont val="Tahoma"/>
            <family val="2"/>
          </rPr>
          <t xml:space="preserve">
</t>
        </r>
        <r>
          <rPr>
            <sz val="10"/>
            <color rgb="FF000000"/>
            <rFont val="Tahoma"/>
            <family val="2"/>
          </rPr>
          <t>Seedling stage lahat</t>
        </r>
      </text>
    </comment>
    <comment ref="F19" authorId="1" shapeId="0" xr:uid="{704B41F8-158C-0449-AD48-B77707C430D4}">
      <text>
        <r>
          <rPr>
            <b/>
            <sz val="10"/>
            <color rgb="FF000000"/>
            <rFont val="Tahoma"/>
            <family val="2"/>
          </rPr>
          <t>Microsoft Office User:</t>
        </r>
        <r>
          <rPr>
            <sz val="10"/>
            <color rgb="FF000000"/>
            <rFont val="Tahoma"/>
            <family val="2"/>
          </rPr>
          <t xml:space="preserve">
</t>
        </r>
        <r>
          <rPr>
            <sz val="10"/>
            <color rgb="FF000000"/>
            <rFont val="Tahoma"/>
            <family val="2"/>
          </rPr>
          <t>Seedling stage lahat</t>
        </r>
      </text>
    </comment>
  </commentList>
</comments>
</file>

<file path=xl/sharedStrings.xml><?xml version="1.0" encoding="utf-8"?>
<sst xmlns="http://schemas.openxmlformats.org/spreadsheetml/2006/main" count="1177" uniqueCount="345">
  <si>
    <t>San Vicente</t>
  </si>
  <si>
    <t>Bato</t>
  </si>
  <si>
    <t>Mercedes</t>
  </si>
  <si>
    <t>San Jose</t>
  </si>
  <si>
    <t>San Miguel</t>
  </si>
  <si>
    <t>Rice</t>
  </si>
  <si>
    <t>No. of Farmers Affected</t>
  </si>
  <si>
    <t>Alang-alang</t>
  </si>
  <si>
    <t>Albuera</t>
  </si>
  <si>
    <t>Barugo</t>
  </si>
  <si>
    <t>Baybay City</t>
  </si>
  <si>
    <t>Burauen</t>
  </si>
  <si>
    <t>Carigara</t>
  </si>
  <si>
    <t>Dagami</t>
  </si>
  <si>
    <t>Dulag</t>
  </si>
  <si>
    <t>Jaro</t>
  </si>
  <si>
    <t>Julita</t>
  </si>
  <si>
    <t>Kananga</t>
  </si>
  <si>
    <t>La Paz</t>
  </si>
  <si>
    <t>Leyte-leyte</t>
  </si>
  <si>
    <t>Mac Arthur</t>
  </si>
  <si>
    <t>Mayorga</t>
  </si>
  <si>
    <t>Merida</t>
  </si>
  <si>
    <t>Ormoc City</t>
  </si>
  <si>
    <t>Palo</t>
  </si>
  <si>
    <t>Pastrana</t>
  </si>
  <si>
    <t>Sta. Fe</t>
  </si>
  <si>
    <t>Tabango</t>
  </si>
  <si>
    <t>Tabon-tabon</t>
  </si>
  <si>
    <t>Tacloban City</t>
  </si>
  <si>
    <t>Tanauan</t>
  </si>
  <si>
    <t>Tunga</t>
  </si>
  <si>
    <t>Villaba</t>
  </si>
  <si>
    <t>SOUTHERN LEYTE</t>
  </si>
  <si>
    <t>Anahawan</t>
  </si>
  <si>
    <t>Bontoc</t>
  </si>
  <si>
    <t>Hinunangan</t>
  </si>
  <si>
    <t>Liloan</t>
  </si>
  <si>
    <t>Maasin City</t>
  </si>
  <si>
    <t>Macrohon</t>
  </si>
  <si>
    <t>Malitbog</t>
  </si>
  <si>
    <t>Padre Burgos</t>
  </si>
  <si>
    <t>Pintuyan</t>
  </si>
  <si>
    <t>San Francisco</t>
  </si>
  <si>
    <t>Silago</t>
  </si>
  <si>
    <t>Sogod</t>
  </si>
  <si>
    <t>BILIRAN</t>
  </si>
  <si>
    <t>Almeria</t>
  </si>
  <si>
    <t>Biliran</t>
  </si>
  <si>
    <t>Cabucgayan</t>
  </si>
  <si>
    <t>Caibiran</t>
  </si>
  <si>
    <t>Culaba</t>
  </si>
  <si>
    <t>Kawayan</t>
  </si>
  <si>
    <t>Naval</t>
  </si>
  <si>
    <t>SAMAR</t>
  </si>
  <si>
    <t>Basey</t>
  </si>
  <si>
    <t>Calbiga</t>
  </si>
  <si>
    <t>Catbalogan City</t>
  </si>
  <si>
    <t>Daram</t>
  </si>
  <si>
    <t>Gandara</t>
  </si>
  <si>
    <t>Hinabangan</t>
  </si>
  <si>
    <t>Jiabong</t>
  </si>
  <si>
    <t>Marabut</t>
  </si>
  <si>
    <t>Motiong</t>
  </si>
  <si>
    <t>Paranas</t>
  </si>
  <si>
    <t>San Jose de Buan</t>
  </si>
  <si>
    <t>San Sebastian</t>
  </si>
  <si>
    <t>Sta. Rita</t>
  </si>
  <si>
    <t>Tarangnan</t>
  </si>
  <si>
    <t>Villareal</t>
  </si>
  <si>
    <t>Zumarraga</t>
  </si>
  <si>
    <t>EASTERN SAMAR</t>
  </si>
  <si>
    <t>Balangkayan</t>
  </si>
  <si>
    <t>Borongan</t>
  </si>
  <si>
    <t>Dolores</t>
  </si>
  <si>
    <t>Giporlos</t>
  </si>
  <si>
    <t>Guiuan</t>
  </si>
  <si>
    <t>Lawaan</t>
  </si>
  <si>
    <t>Llorente</t>
  </si>
  <si>
    <t>Maslog</t>
  </si>
  <si>
    <t>Oras</t>
  </si>
  <si>
    <t>Quinapondan</t>
  </si>
  <si>
    <t>Taft</t>
  </si>
  <si>
    <t>NORTHERN SAMAR</t>
  </si>
  <si>
    <t>Allen</t>
  </si>
  <si>
    <t>Biri</t>
  </si>
  <si>
    <t>Capul</t>
  </si>
  <si>
    <t>Catarman</t>
  </si>
  <si>
    <t>Catubig</t>
  </si>
  <si>
    <t>Lope de Vega</t>
  </si>
  <si>
    <t>Mapanas</t>
  </si>
  <si>
    <t>Pambujan</t>
  </si>
  <si>
    <t>San Isidro</t>
  </si>
  <si>
    <t>Silvino Lobos</t>
  </si>
  <si>
    <t>Victoria</t>
  </si>
  <si>
    <t>Production Loss (M.T.)</t>
  </si>
  <si>
    <t>Cost of Prod'n. Loss (P)</t>
  </si>
  <si>
    <t>Area w/ No Chance of Recovery (ha)</t>
  </si>
  <si>
    <t>Area w/ Chance of Recovery (HA)</t>
  </si>
  <si>
    <t>Total Area Affected (has.)</t>
  </si>
  <si>
    <t>Matag-ob</t>
  </si>
  <si>
    <t>Laoang</t>
  </si>
  <si>
    <t>Calbayog</t>
  </si>
  <si>
    <t>Can-avid</t>
  </si>
  <si>
    <t>Jipapad</t>
  </si>
  <si>
    <t>Arteche</t>
  </si>
  <si>
    <t>Mondragon</t>
  </si>
  <si>
    <t>Ripening/Maturity</t>
  </si>
  <si>
    <t>Seedling/Sowing</t>
  </si>
  <si>
    <t>San Roque</t>
  </si>
  <si>
    <t>Rosario</t>
  </si>
  <si>
    <t>Lavezares</t>
  </si>
  <si>
    <t>Las Navas</t>
  </si>
  <si>
    <t>Lapinig</t>
  </si>
  <si>
    <t>Gamay</t>
  </si>
  <si>
    <t>Northern Samar</t>
  </si>
  <si>
    <t>Sulat</t>
  </si>
  <si>
    <t>Seedling stage</t>
  </si>
  <si>
    <t>seedling stage</t>
  </si>
  <si>
    <t>Seedling Stage</t>
  </si>
  <si>
    <t>vegetative</t>
  </si>
  <si>
    <t>Eastern Samar</t>
  </si>
  <si>
    <t>Reproductive</t>
  </si>
  <si>
    <t>Seedling</t>
  </si>
  <si>
    <t>Catbalogan</t>
  </si>
  <si>
    <t>Maturity</t>
  </si>
  <si>
    <t>Pinabacdao</t>
  </si>
  <si>
    <t>San Jorge</t>
  </si>
  <si>
    <t>Matuguinao</t>
  </si>
  <si>
    <t>Sta. Margarita</t>
  </si>
  <si>
    <t>Newly sown/Seedling</t>
  </si>
  <si>
    <t>Western Samar</t>
  </si>
  <si>
    <t>Maturing</t>
  </si>
  <si>
    <t>Harvesting</t>
  </si>
  <si>
    <t>Leyte</t>
  </si>
  <si>
    <t>REGION 8</t>
  </si>
  <si>
    <t>(R)</t>
  </si>
  <si>
    <t xml:space="preserve">(M) + (P) </t>
  </si>
  <si>
    <t>(P)</t>
  </si>
  <si>
    <t>(O)</t>
  </si>
  <si>
    <t>(N)</t>
  </si>
  <si>
    <t>(M)</t>
  </si>
  <si>
    <t>(L)</t>
  </si>
  <si>
    <t>(K)</t>
  </si>
  <si>
    <t>(J)</t>
  </si>
  <si>
    <t>(I)</t>
  </si>
  <si>
    <t>(H)</t>
  </si>
  <si>
    <t>(G)</t>
  </si>
  <si>
    <t>(F)</t>
  </si>
  <si>
    <t>(E)</t>
  </si>
  <si>
    <t>(C)</t>
  </si>
  <si>
    <t>(A)</t>
  </si>
  <si>
    <t>Total Value
(P)</t>
  </si>
  <si>
    <t>Price/kg
(P)</t>
  </si>
  <si>
    <t>Volume
(mt)</t>
  </si>
  <si>
    <t>Value
 (P)</t>
  </si>
  <si>
    <t>Cost of Prod'nt/Ha.
(P)**</t>
  </si>
  <si>
    <t>After
Calamity</t>
  </si>
  <si>
    <t>Before
Calamity</t>
  </si>
  <si>
    <t>TOTAL</t>
  </si>
  <si>
    <t>Partially Damaged</t>
  </si>
  <si>
    <t>Totally Damaged</t>
  </si>
  <si>
    <t xml:space="preserve">Based on Farm Gate </t>
  </si>
  <si>
    <t>Based on Cost of Prod'n.</t>
  </si>
  <si>
    <t>REMARKS / ANALYSIS</t>
  </si>
  <si>
    <t>TOTAL LOSSES</t>
  </si>
  <si>
    <t>YIELD
LOSS
(%)</t>
  </si>
  <si>
    <t>YIELD PER HECTARE (MT)</t>
  </si>
  <si>
    <t>AREA AFFECTED 
(HA)</t>
  </si>
  <si>
    <t>STAGE OF CROP DEVELOPMENT</t>
  </si>
  <si>
    <t>AREA OF
STANDING CROPS
(ha)</t>
  </si>
  <si>
    <t>NUMBER OF
FARMERS
AFFECTED</t>
  </si>
  <si>
    <t>ECOSYSTEM/
VARIETY</t>
  </si>
  <si>
    <t>PROVINCE/
MUNICIPALITY</t>
  </si>
  <si>
    <t>RICE</t>
  </si>
  <si>
    <t>Regional</t>
  </si>
  <si>
    <t>Final</t>
  </si>
  <si>
    <t>Provincial</t>
  </si>
  <si>
    <t>Progress</t>
  </si>
  <si>
    <t>Municipal</t>
  </si>
  <si>
    <t>Initial</t>
  </si>
  <si>
    <t>2. Level</t>
  </si>
  <si>
    <t>1. Type</t>
  </si>
  <si>
    <t>B. Type and Level of Report: (Pls. Check)</t>
  </si>
  <si>
    <t>A. Geographic Information: 
REGION 8</t>
  </si>
  <si>
    <t>Date of Occurrence : December 1-2, 2019</t>
  </si>
  <si>
    <t>Cause of Damage : Heavy Rainfall and Flooding caused by Typhoon Tisoy</t>
  </si>
  <si>
    <t>FINAL DAMAGE ASSESSMENT REPORT for RICE*</t>
  </si>
  <si>
    <t>Bobon</t>
  </si>
  <si>
    <t>Regional Executive Director</t>
  </si>
  <si>
    <t>ARD for Operations and Extension</t>
  </si>
  <si>
    <t>BERNADETTE F. SAN JUAN, CESO IV</t>
  </si>
  <si>
    <t>WILSON A. CERBITO, DVM, CESE</t>
  </si>
  <si>
    <t>DA RFO 8 COMMAND CENTER</t>
  </si>
  <si>
    <t>Noted by:</t>
  </si>
  <si>
    <t>Prepared by:</t>
  </si>
  <si>
    <t>Weeding = P5,000</t>
  </si>
  <si>
    <t>Pest Control = P1,949</t>
  </si>
  <si>
    <t>Labor = P1,500</t>
  </si>
  <si>
    <t>Fertilizer = P1,850</t>
  </si>
  <si>
    <t>*For reproductive stage, the following costs were added:</t>
  </si>
  <si>
    <t>Labor = @ 250/2pax @ 3-days</t>
  </si>
  <si>
    <t>Fertilizer  (UREA P1350/bag, Complete P1,200/bag = P8,550</t>
  </si>
  <si>
    <t>Weeding  @ 5pax @ 200 @ 4 man-days</t>
  </si>
  <si>
    <t>Replanting  @ 2pax @ 150</t>
  </si>
  <si>
    <t>Transplanting  @ 15 person @ 250</t>
  </si>
  <si>
    <t xml:space="preserve">Levelling @ 350/man-day </t>
  </si>
  <si>
    <t>Land Preperation = P4,570</t>
  </si>
  <si>
    <t>*For vegetative stage, the following costs were added:</t>
  </si>
  <si>
    <t>Seeds=P1,280</t>
  </si>
  <si>
    <t>Maintenance (@1 pax for 18 days) = P2,700</t>
  </si>
  <si>
    <t>Pest Control = P3,490</t>
  </si>
  <si>
    <t>Fertilizer = P40</t>
  </si>
  <si>
    <t>Pulling of seedlings(5 pax/ha@P350) = P350</t>
  </si>
  <si>
    <t>Seed bed prep/sowing = P350/man-day</t>
  </si>
  <si>
    <t>*For seedling stage, the following items with corresponding costs were considered:</t>
  </si>
  <si>
    <t>*In arriving at the production cost, the prevailing prices of goods and services in the region were considered</t>
  </si>
  <si>
    <t>* for further validation</t>
  </si>
  <si>
    <t>Sub-total</t>
  </si>
  <si>
    <t>Vegetative</t>
  </si>
  <si>
    <t>San Antonio</t>
  </si>
  <si>
    <t>Lao-ang</t>
  </si>
  <si>
    <t>San Policarpo</t>
  </si>
  <si>
    <t>Pagsanghan</t>
  </si>
  <si>
    <t>Babatgon</t>
  </si>
  <si>
    <t>seedling</t>
  </si>
  <si>
    <t>District I</t>
  </si>
  <si>
    <t>LEYTE</t>
  </si>
  <si>
    <t>17.00</t>
  </si>
  <si>
    <t>(Q)</t>
  </si>
  <si>
    <t>(D)</t>
  </si>
  <si>
    <t>Based on Farmgate Price</t>
  </si>
  <si>
    <t>A. Geographic Information: REGION 8</t>
  </si>
  <si>
    <t>Report as of: 5:00 pm, July 22, 2014</t>
  </si>
  <si>
    <t>Date of Occurrence :  July 15 to 16, 2014</t>
  </si>
  <si>
    <r>
      <t>Cause of Damage :</t>
    </r>
    <r>
      <rPr>
        <b/>
        <u/>
        <sz val="12"/>
        <rFont val="Arial"/>
        <family val="2"/>
      </rPr>
      <t xml:space="preserve"> Typhoon 'GLENDA</t>
    </r>
    <r>
      <rPr>
        <b/>
        <i/>
        <u/>
        <sz val="12"/>
        <rFont val="Arial"/>
        <family val="2"/>
      </rPr>
      <t>'</t>
    </r>
  </si>
  <si>
    <t>DAMAGE ASSESSMENT REPORT for RICE *</t>
  </si>
  <si>
    <t>LEO P. CAÑEDA, CESO III</t>
  </si>
  <si>
    <t>DA-RFO 8 Command Center</t>
  </si>
  <si>
    <t>Noted by :</t>
  </si>
  <si>
    <t>Palapag</t>
  </si>
  <si>
    <t>Flowering Stage</t>
  </si>
  <si>
    <t>Samar</t>
  </si>
  <si>
    <t>(B)</t>
  </si>
  <si>
    <t>Report as of: December 28, 2015</t>
  </si>
  <si>
    <t>Date of Occurrence :  December 14, 2015</t>
  </si>
  <si>
    <r>
      <t>Cause of Damage :</t>
    </r>
    <r>
      <rPr>
        <b/>
        <u/>
        <sz val="12"/>
        <color indexed="8"/>
        <rFont val="Arial"/>
        <family val="2"/>
      </rPr>
      <t xml:space="preserve"> Typhoon 'NONA</t>
    </r>
    <r>
      <rPr>
        <b/>
        <i/>
        <u/>
        <sz val="12"/>
        <color indexed="8"/>
        <rFont val="Arial"/>
        <family val="2"/>
      </rPr>
      <t>'</t>
    </r>
  </si>
  <si>
    <t xml:space="preserve">PARTIAL DAMAGE ASSESSMENT REPORT for RICE </t>
  </si>
  <si>
    <t>Lvezares</t>
  </si>
  <si>
    <t>N. Samar</t>
  </si>
  <si>
    <t>San Julian</t>
  </si>
  <si>
    <t>Salcedo</t>
  </si>
  <si>
    <t>Maydolong</t>
  </si>
  <si>
    <t>Hernani</t>
  </si>
  <si>
    <t>Gen. MacArthur</t>
  </si>
  <si>
    <t>Balangiga</t>
  </si>
  <si>
    <t>E. Samar</t>
  </si>
  <si>
    <t>Tagapul-an</t>
  </si>
  <si>
    <r>
      <t>Sto. Ni</t>
    </r>
    <r>
      <rPr>
        <sz val="12"/>
        <rFont val="Calibri"/>
        <family val="2"/>
      </rPr>
      <t>ño</t>
    </r>
  </si>
  <si>
    <t>Javier</t>
  </si>
  <si>
    <t>Inopacan</t>
  </si>
  <si>
    <t>Palompon</t>
  </si>
  <si>
    <t>Calubian</t>
  </si>
  <si>
    <t>Capoocan</t>
  </si>
  <si>
    <t>Babatngon</t>
  </si>
  <si>
    <t>Report as of: December 11, 2014</t>
  </si>
  <si>
    <t>Date of Occurrence :  December 6-7, 2014</t>
  </si>
  <si>
    <r>
      <t>Cause of Damage :</t>
    </r>
    <r>
      <rPr>
        <b/>
        <u/>
        <sz val="12"/>
        <rFont val="Arial"/>
        <family val="2"/>
      </rPr>
      <t xml:space="preserve"> Typhoon 'RUBY</t>
    </r>
    <r>
      <rPr>
        <b/>
        <i/>
        <u/>
        <sz val="12"/>
        <rFont val="Arial"/>
        <family val="2"/>
      </rPr>
      <t>'</t>
    </r>
  </si>
  <si>
    <t xml:space="preserve">FINAL DAMAGE ASSESSMENT REPORT for RICE </t>
  </si>
  <si>
    <t>Copocan</t>
  </si>
  <si>
    <t>Sto. Niño</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</si>
  <si>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</si>
  <si>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San Roqu</t>
  </si>
  <si>
    <t>seedlling</t>
  </si>
  <si>
    <t>General Macarthur</t>
  </si>
  <si>
    <t>Talalora</t>
  </si>
  <si>
    <t>seedlings</t>
  </si>
  <si>
    <t>maturity</t>
  </si>
  <si>
    <t>Almagro</t>
  </si>
  <si>
    <t>Tomas Oppus</t>
  </si>
  <si>
    <t>San Ricardo</t>
  </si>
  <si>
    <t>San Juan (Cabalian)</t>
  </si>
  <si>
    <t>Saint Bernard</t>
  </si>
  <si>
    <t>Limasawa</t>
  </si>
  <si>
    <t>Libagon</t>
  </si>
  <si>
    <t>Hinundayan</t>
  </si>
  <si>
    <t>Maripipi</t>
  </si>
  <si>
    <t>At least 15 percent of total affacted area is reportedly covered with mud, silt, and boulders.</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</si>
  <si>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</si>
  <si>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 xml:space="preserve">Around 30 hectares are covered with mud an silt. As such, desilting, removal of boulders and logs and, reconstruction of dikes are among the actions to be taken. </t>
  </si>
  <si>
    <t>Matalom</t>
  </si>
  <si>
    <t>Mahaplag</t>
  </si>
  <si>
    <t>Hindang</t>
  </si>
  <si>
    <t>Hilongos</t>
  </si>
  <si>
    <t>Abuyog</t>
  </si>
  <si>
    <t>Isabel</t>
  </si>
  <si>
    <t>Tolosa</t>
  </si>
  <si>
    <t>TOTAL VALUE (P)</t>
  </si>
  <si>
    <t xml:space="preserve">            Final</t>
  </si>
  <si>
    <t xml:space="preserve">           Progress</t>
  </si>
  <si>
    <t>Report as of: December 26, 2017</t>
  </si>
  <si>
    <t>Date of Occurrence : December 14-16, 2017</t>
  </si>
  <si>
    <r>
      <t>Cause of Damage : Heavy</t>
    </r>
    <r>
      <rPr>
        <b/>
        <u/>
        <sz val="12"/>
        <rFont val="Arial"/>
        <family val="2"/>
      </rPr>
      <t xml:space="preserve"> Rains/Flooding due to Typhoon Urduja</t>
    </r>
  </si>
  <si>
    <t>DAMAGE ASSESSMENT REPORT for RICE*</t>
  </si>
  <si>
    <t>1</t>
  </si>
  <si>
    <t>2</t>
  </si>
  <si>
    <t>3</t>
  </si>
  <si>
    <t>4</t>
  </si>
  <si>
    <t>5</t>
  </si>
  <si>
    <t>6</t>
  </si>
  <si>
    <t>7</t>
  </si>
  <si>
    <t>8</t>
  </si>
  <si>
    <t>9</t>
  </si>
  <si>
    <t>10</t>
  </si>
  <si>
    <t>11</t>
  </si>
  <si>
    <t>12</t>
  </si>
  <si>
    <t>13</t>
  </si>
  <si>
    <t>14</t>
  </si>
  <si>
    <t>15</t>
  </si>
  <si>
    <t>16</t>
  </si>
  <si>
    <t>17</t>
  </si>
  <si>
    <t>validated</t>
  </si>
  <si>
    <t>Date of Occurrence: December 24-25, 2019</t>
  </si>
  <si>
    <t>Cause of Damage: Heavy Rainfall and Flooding caused by Typhoon Ursula</t>
  </si>
  <si>
    <t>18</t>
  </si>
  <si>
    <t>Gen. Macarthur</t>
  </si>
  <si>
    <t>Municipality 3</t>
  </si>
  <si>
    <t>Municipality 4</t>
  </si>
  <si>
    <t>Municipality 5</t>
  </si>
  <si>
    <t>TROPICAL CYCLONE 2</t>
  </si>
  <si>
    <t>Production Loss (PhP)</t>
  </si>
  <si>
    <t>Area with no Chance of Recovery (ha)</t>
  </si>
  <si>
    <t>Area with Chance of Recovery (ha)</t>
  </si>
  <si>
    <t>TROPICAL CYCLONE 3</t>
  </si>
  <si>
    <t>Davao de Oro</t>
  </si>
  <si>
    <t>TD VICKY</t>
  </si>
  <si>
    <t>Compostela</t>
  </si>
  <si>
    <t>Montevista</t>
  </si>
  <si>
    <t>New Bataam</t>
  </si>
  <si>
    <t>Mawab</t>
  </si>
  <si>
    <t>Nabunturan</t>
  </si>
  <si>
    <t>Laak</t>
  </si>
  <si>
    <t>Davao del Norte</t>
  </si>
  <si>
    <t>New Corella</t>
  </si>
  <si>
    <t>Tagum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</si>
</sst>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61" x14ac:knownFonts="1">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b/>
      <i/>
      <sz val="11"/>
      <name val="Arial Narrow"/>
      <family val="2"/>
    </font>
    <font>
      <b/>
      <sz val="11"/>
      <name val="Arial Narrow"/>
      <family val="2"/>
    </font>
    <font>
      <sz val="11"/>
      <name val="Arial Narrow"/>
      <family val="2"/>
    </font>
    <font>
      <i/>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b/>
      <sz val="13"/>
      <name val="Arial"/>
      <family val="2"/>
    </font>
    <font>
      <sz val="13"/>
      <name val="Arial"/>
      <family val="2"/>
    </font>
    <font>
      <sz val="8"/>
      <name val="Calibri"/>
      <family val="2"/>
      <scheme val="minor"/>
    </font>
    <font>
      <sz val="9"/>
      <color indexed="81"/>
      <name val="Tahoma"/>
      <family val="2"/>
    </font>
    <font>
      <b/>
      <sz val="9"/>
      <color indexed="81"/>
      <name val="Tahom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auto="1"/>
      </bottom>
      <diagonal/>
    </border>
  </borders>
  <cellStyleXfs count="12">
    <xf numFmtId="0" fontId="0" fillId="0" borderId="0"/>
    <xf numFmtId="164" fontId="3"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3" fillId="0" borderId="0" applyFont="0" applyFill="0" applyBorder="0" applyAlignment="0" applyProtection="0"/>
    <xf numFmtId="164" fontId="4" fillId="0" borderId="0" applyFont="0" applyFill="0" applyBorder="0" applyAlignment="0" applyProtection="0"/>
    <xf numFmtId="164" fontId="3" fillId="0" borderId="0" applyFont="0" applyFill="0" applyBorder="0" applyAlignment="0" applyProtection="0"/>
    <xf numFmtId="9" fontId="4" fillId="0" borderId="0" applyFont="0" applyFill="0" applyBorder="0" applyAlignment="0" applyProtection="0"/>
    <xf numFmtId="0" fontId="3" fillId="0" borderId="0"/>
  </cellStyleXfs>
  <cellXfs count="817">
    <xf numFmtId="0" fontId="0" fillId="0" borderId="0" xfId="0"/>
    <xf numFmtId="0" fontId="0" fillId="0" borderId="0" xfId="0" applyAlignment="1">
      <alignment horizontal="left"/>
    </xf>
    <xf numFmtId="0" fontId="0" fillId="0" borderId="0" xfId="0" applyAlignment="1">
      <alignment wrapText="1"/>
    </xf>
    <xf numFmtId="164" fontId="9" fillId="0" borderId="0" xfId="8" applyFont="1" applyBorder="1"/>
    <xf numFmtId="164" fontId="4" fillId="0" borderId="0" xfId="8" applyFont="1" applyBorder="1" applyAlignment="1">
      <alignment horizontal="left"/>
    </xf>
    <xf numFmtId="164" fontId="10" fillId="0" borderId="0" xfId="8" applyFont="1" applyBorder="1"/>
    <xf numFmtId="164" fontId="10" fillId="0" borderId="13" xfId="8" applyFont="1" applyBorder="1" applyAlignment="1">
      <alignment horizontal="center" vertical="center"/>
    </xf>
    <xf numFmtId="164" fontId="4" fillId="0" borderId="14" xfId="8" applyFont="1" applyBorder="1" applyAlignment="1">
      <alignment horizontal="left"/>
    </xf>
    <xf numFmtId="164" fontId="9" fillId="0" borderId="13" xfId="8" applyFont="1" applyBorder="1" applyAlignment="1">
      <alignment horizontal="center" vertical="center"/>
    </xf>
    <xf numFmtId="164" fontId="11" fillId="3" borderId="1" xfId="8" applyFont="1" applyFill="1" applyBorder="1" applyAlignment="1">
      <alignment vertical="center"/>
    </xf>
    <xf numFmtId="165" fontId="11" fillId="0" borderId="1" xfId="8" applyNumberFormat="1" applyFont="1" applyFill="1" applyBorder="1" applyAlignment="1">
      <alignment horizontal="center" vertical="center" wrapText="1"/>
    </xf>
    <xf numFmtId="3" fontId="14" fillId="3" borderId="1" xfId="11" applyNumberFormat="1" applyFont="1" applyFill="1" applyBorder="1" applyAlignment="1" applyProtection="1">
      <alignment horizontal="center" vertical="center" wrapText="1"/>
      <protection locked="0"/>
    </xf>
    <xf numFmtId="49" fontId="11" fillId="0" borderId="1" xfId="11" applyNumberFormat="1" applyFont="1" applyBorder="1" applyAlignment="1">
      <alignment horizontal="left" vertical="center" wrapText="1"/>
    </xf>
    <xf numFmtId="164" fontId="11" fillId="3" borderId="1" xfId="8" applyFont="1" applyFill="1" applyBorder="1" applyAlignment="1">
      <alignment horizontal="center" vertical="center" wrapText="1"/>
    </xf>
    <xf numFmtId="0" fontId="15" fillId="0" borderId="0" xfId="11" applyFont="1" applyAlignment="1">
      <alignment vertical="center"/>
    </xf>
    <xf numFmtId="0" fontId="15" fillId="0" borderId="0" xfId="11" applyFont="1" applyAlignment="1">
      <alignment horizontal="left" vertical="center"/>
    </xf>
    <xf numFmtId="164" fontId="15" fillId="0" borderId="0" xfId="8" applyFont="1" applyAlignment="1">
      <alignment vertical="center"/>
    </xf>
    <xf numFmtId="166" fontId="15" fillId="0" borderId="0" xfId="1" applyNumberFormat="1" applyFont="1" applyAlignment="1">
      <alignment horizontal="center" vertical="center"/>
    </xf>
    <xf numFmtId="164" fontId="15" fillId="0" borderId="0" xfId="8" applyFont="1" applyAlignment="1">
      <alignment horizontal="center" vertical="center"/>
    </xf>
    <xf numFmtId="166" fontId="15" fillId="0" borderId="0" xfId="1" applyNumberFormat="1" applyFont="1" applyAlignment="1">
      <alignment vertical="center"/>
    </xf>
    <xf numFmtId="0" fontId="15" fillId="0" borderId="0" xfId="11" applyFont="1" applyAlignment="1">
      <alignment horizontal="center" vertical="center"/>
    </xf>
    <xf numFmtId="167" fontId="15" fillId="0" borderId="0" xfId="8" applyNumberFormat="1" applyFont="1" applyAlignment="1">
      <alignment horizontal="center" vertical="center"/>
    </xf>
    <xf numFmtId="165" fontId="15" fillId="0" borderId="0" xfId="8" applyNumberFormat="1" applyFont="1" applyAlignment="1">
      <alignment horizontal="center" vertical="center"/>
    </xf>
    <xf numFmtId="49" fontId="11" fillId="3" borderId="1" xfId="11" applyNumberFormat="1" applyFont="1" applyFill="1" applyBorder="1" applyAlignment="1">
      <alignment vertical="center" wrapText="1"/>
    </xf>
    <xf numFmtId="0" fontId="11" fillId="3" borderId="1" xfId="11" applyFont="1" applyFill="1" applyBorder="1" applyAlignment="1">
      <alignment horizontal="center" vertical="center" wrapText="1"/>
    </xf>
    <xf numFmtId="164" fontId="11" fillId="3" borderId="1" xfId="8" applyFont="1" applyFill="1" applyBorder="1" applyAlignment="1">
      <alignment horizontal="right" vertical="center"/>
    </xf>
    <xf numFmtId="39" fontId="11" fillId="0" borderId="1" xfId="8" applyNumberFormat="1" applyFont="1" applyFill="1" applyBorder="1" applyAlignment="1">
      <alignment horizontal="right" vertical="center"/>
    </xf>
    <xf numFmtId="9" fontId="11" fillId="0" borderId="1" xfId="11" applyNumberFormat="1" applyFont="1" applyBorder="1" applyAlignment="1">
      <alignment horizontal="center" vertical="center" wrapText="1"/>
    </xf>
    <xf numFmtId="167" fontId="11" fillId="3" borderId="1" xfId="8" applyNumberFormat="1" applyFont="1" applyFill="1" applyBorder="1" applyAlignment="1">
      <alignment horizontal="center" vertical="center" wrapText="1"/>
    </xf>
    <xf numFmtId="164" fontId="11" fillId="0" borderId="1" xfId="8" applyFont="1" applyFill="1" applyBorder="1" applyAlignment="1" applyProtection="1">
      <alignment horizontal="center" vertical="center"/>
    </xf>
    <xf numFmtId="164" fontId="11" fillId="3" borderId="1" xfId="8" applyFont="1" applyFill="1" applyBorder="1" applyAlignment="1">
      <alignment horizontal="center" vertical="center"/>
    </xf>
    <xf numFmtId="49" fontId="11" fillId="0" borderId="1" xfId="11" applyNumberFormat="1" applyFont="1" applyBorder="1" applyAlignment="1">
      <alignment vertical="center" wrapText="1"/>
    </xf>
    <xf numFmtId="49" fontId="11" fillId="0" borderId="1" xfId="11" applyNumberFormat="1" applyFont="1" applyBorder="1" applyAlignment="1">
      <alignment horizontal="center" vertical="center" wrapText="1"/>
    </xf>
    <xf numFmtId="49" fontId="11" fillId="3" borderId="1" xfId="11" applyNumberFormat="1" applyFont="1" applyFill="1" applyBorder="1" applyAlignment="1">
      <alignment horizontal="left" vertical="center" wrapText="1"/>
    </xf>
    <xf numFmtId="0" fontId="16" fillId="0" borderId="0" xfId="11" applyFont="1" applyAlignment="1">
      <alignment vertical="center"/>
    </xf>
    <xf numFmtId="0" fontId="16" fillId="0" borderId="0" xfId="11" applyFont="1" applyAlignment="1">
      <alignment horizontal="left" vertical="center"/>
    </xf>
    <xf numFmtId="167" fontId="11" fillId="0" borderId="1" xfId="8" applyNumberFormat="1" applyFont="1" applyFill="1" applyBorder="1" applyAlignment="1">
      <alignment horizontal="center" vertical="center" wrapText="1"/>
    </xf>
    <xf numFmtId="164" fontId="11" fillId="0" borderId="1" xfId="8" applyFont="1" applyFill="1" applyBorder="1" applyAlignment="1">
      <alignment horizontal="center" vertical="center"/>
    </xf>
    <xf numFmtId="164" fontId="11" fillId="0" borderId="1" xfId="8" applyFont="1" applyFill="1" applyBorder="1" applyAlignment="1">
      <alignment horizontal="center" vertical="center" wrapText="1"/>
    </xf>
    <xf numFmtId="164" fontId="11" fillId="0" borderId="1" xfId="8" applyFont="1" applyFill="1" applyBorder="1" applyAlignment="1">
      <alignment vertical="center" wrapText="1"/>
    </xf>
    <xf numFmtId="3" fontId="14" fillId="0" borderId="1" xfId="11" applyNumberFormat="1" applyFont="1" applyBorder="1" applyAlignment="1">
      <alignment horizontal="center" vertical="center" wrapText="1"/>
    </xf>
    <xf numFmtId="49" fontId="11" fillId="0" borderId="18" xfId="11" applyNumberFormat="1" applyFont="1" applyBorder="1" applyAlignment="1">
      <alignment horizontal="left" vertical="center" wrapText="1"/>
    </xf>
    <xf numFmtId="3" fontId="14" fillId="3" borderId="1" xfId="11"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xf>
    <xf numFmtId="49" fontId="16" fillId="0" borderId="0" xfId="11" applyNumberFormat="1" applyFont="1" applyAlignment="1">
      <alignment horizontal="center" vertical="center"/>
    </xf>
    <xf numFmtId="49" fontId="17" fillId="0" borderId="0" xfId="11" applyNumberFormat="1" applyFont="1" applyAlignment="1">
      <alignment horizontal="center" vertical="center"/>
    </xf>
    <xf numFmtId="0" fontId="16" fillId="0" borderId="0" xfId="11" applyFont="1" applyAlignment="1">
      <alignment horizontal="center" vertical="center"/>
    </xf>
    <xf numFmtId="49" fontId="18" fillId="3" borderId="1" xfId="11" applyNumberFormat="1" applyFont="1" applyFill="1" applyBorder="1" applyAlignment="1">
      <alignment vertical="center" wrapText="1"/>
    </xf>
    <xf numFmtId="164" fontId="18" fillId="3" borderId="1" xfId="8" applyFont="1" applyFill="1" applyBorder="1" applyAlignment="1">
      <alignment vertical="center"/>
    </xf>
    <xf numFmtId="0" fontId="18" fillId="3" borderId="1" xfId="11" applyFont="1" applyFill="1" applyBorder="1" applyAlignment="1">
      <alignment horizontal="center" vertical="center" wrapText="1"/>
    </xf>
    <xf numFmtId="164" fontId="18" fillId="3" borderId="1" xfId="8" applyFont="1" applyFill="1" applyBorder="1" applyAlignment="1">
      <alignment horizontal="right" vertical="center"/>
    </xf>
    <xf numFmtId="39" fontId="18" fillId="0" borderId="1" xfId="8" applyNumberFormat="1" applyFont="1" applyFill="1" applyBorder="1" applyAlignment="1">
      <alignment horizontal="right" vertical="center"/>
    </xf>
    <xf numFmtId="9" fontId="18" fillId="0" borderId="1" xfId="10" applyFont="1" applyFill="1" applyBorder="1" applyAlignment="1">
      <alignment horizontal="center" vertical="center" wrapText="1"/>
    </xf>
    <xf numFmtId="167" fontId="18" fillId="3" borderId="1" xfId="8" applyNumberFormat="1" applyFont="1" applyFill="1" applyBorder="1" applyAlignment="1">
      <alignment horizontal="center" vertical="center" wrapText="1"/>
    </xf>
    <xf numFmtId="164" fontId="18" fillId="3" borderId="1" xfId="8" applyFont="1" applyFill="1" applyBorder="1" applyAlignment="1" applyProtection="1">
      <alignment vertical="center"/>
    </xf>
    <xf numFmtId="164" fontId="18" fillId="3" borderId="1" xfId="8" applyFont="1" applyFill="1" applyBorder="1" applyAlignment="1">
      <alignment horizontal="center" vertical="center"/>
    </xf>
    <xf numFmtId="164" fontId="18" fillId="3" borderId="1" xfId="8" applyFont="1" applyFill="1" applyBorder="1" applyAlignment="1">
      <alignment horizontal="center" vertical="center" wrapText="1"/>
    </xf>
    <xf numFmtId="49" fontId="18" fillId="0" borderId="1" xfId="11" applyNumberFormat="1" applyFont="1" applyBorder="1" applyAlignment="1">
      <alignment horizontal="left" vertical="center" wrapText="1"/>
    </xf>
    <xf numFmtId="165" fontId="18" fillId="0" borderId="1" xfId="8" applyNumberFormat="1" applyFont="1" applyBorder="1" applyAlignment="1">
      <alignment horizontal="center" vertical="center" wrapText="1"/>
    </xf>
    <xf numFmtId="165" fontId="18" fillId="0" borderId="1" xfId="8" applyNumberFormat="1" applyFont="1" applyFill="1" applyBorder="1" applyAlignment="1">
      <alignment horizontal="center" vertical="center" wrapText="1"/>
    </xf>
    <xf numFmtId="49" fontId="18" fillId="0" borderId="1" xfId="11" applyNumberFormat="1" applyFont="1" applyBorder="1" applyAlignment="1">
      <alignment horizontal="center" vertical="center" wrapText="1"/>
    </xf>
    <xf numFmtId="49" fontId="9" fillId="0" borderId="0" xfId="11" applyNumberFormat="1" applyFont="1" applyAlignment="1">
      <alignment horizontal="center" vertical="center"/>
    </xf>
    <xf numFmtId="49" fontId="20" fillId="0" borderId="0" xfId="11" applyNumberFormat="1" applyFont="1" applyAlignment="1">
      <alignment horizontal="center" vertical="center"/>
    </xf>
    <xf numFmtId="0" fontId="9" fillId="0" borderId="0" xfId="11" applyFont="1" applyAlignment="1">
      <alignment horizontal="center" vertical="center"/>
    </xf>
    <xf numFmtId="49" fontId="15" fillId="0" borderId="0" xfId="11" applyNumberFormat="1" applyFont="1" applyAlignment="1">
      <alignment horizontal="center" vertical="center"/>
    </xf>
    <xf numFmtId="49" fontId="21" fillId="0" borderId="0" xfId="11" applyNumberFormat="1" applyFont="1" applyAlignment="1">
      <alignment horizontal="center" vertical="center"/>
    </xf>
    <xf numFmtId="49" fontId="22" fillId="4" borderId="1" xfId="11" applyNumberFormat="1" applyFont="1" applyFill="1" applyBorder="1" applyAlignment="1">
      <alignment vertical="center" wrapText="1"/>
    </xf>
    <xf numFmtId="164" fontId="22" fillId="4" borderId="1" xfId="8" applyFont="1" applyFill="1" applyBorder="1" applyAlignment="1">
      <alignment vertical="center"/>
    </xf>
    <xf numFmtId="164" fontId="22" fillId="4" borderId="1" xfId="8" applyFont="1" applyFill="1" applyBorder="1" applyAlignment="1">
      <alignment horizontal="center" vertical="center" wrapText="1"/>
    </xf>
    <xf numFmtId="164" fontId="22" fillId="4" borderId="1" xfId="8" applyFont="1" applyFill="1" applyBorder="1" applyAlignment="1">
      <alignment horizontal="right" vertical="center"/>
    </xf>
    <xf numFmtId="164" fontId="22" fillId="4" borderId="1" xfId="8" applyFont="1" applyFill="1" applyBorder="1" applyAlignment="1" applyProtection="1">
      <alignment vertical="center"/>
    </xf>
    <xf numFmtId="49" fontId="22" fillId="4" borderId="1" xfId="11" applyNumberFormat="1" applyFont="1" applyFill="1" applyBorder="1" applyAlignment="1">
      <alignment horizontal="left" vertical="center" wrapText="1"/>
    </xf>
    <xf numFmtId="165" fontId="22" fillId="4" borderId="1" xfId="8" applyNumberFormat="1" applyFont="1" applyFill="1" applyBorder="1" applyAlignment="1">
      <alignment horizontal="center" vertical="center" wrapText="1"/>
    </xf>
    <xf numFmtId="49" fontId="22" fillId="4" borderId="1" xfId="11" applyNumberFormat="1" applyFont="1" applyFill="1" applyBorder="1" applyAlignment="1">
      <alignment horizontal="center" vertical="center" wrapText="1"/>
    </xf>
    <xf numFmtId="49" fontId="13" fillId="3" borderId="1" xfId="11" applyNumberFormat="1" applyFont="1" applyFill="1" applyBorder="1" applyAlignment="1">
      <alignment vertical="center" wrapText="1"/>
    </xf>
    <xf numFmtId="164" fontId="13" fillId="3" borderId="1" xfId="8" applyFont="1" applyFill="1" applyBorder="1" applyAlignment="1">
      <alignment vertical="center"/>
    </xf>
    <xf numFmtId="0" fontId="13" fillId="3" borderId="1" xfId="11" applyFont="1" applyFill="1" applyBorder="1" applyAlignment="1">
      <alignment horizontal="center" vertical="center" wrapText="1"/>
    </xf>
    <xf numFmtId="164" fontId="13" fillId="3" borderId="1" xfId="8" applyFont="1" applyFill="1" applyBorder="1" applyAlignment="1">
      <alignment horizontal="right" vertical="center"/>
    </xf>
    <xf numFmtId="39" fontId="13" fillId="0" borderId="1" xfId="8" applyNumberFormat="1" applyFont="1" applyFill="1" applyBorder="1" applyAlignment="1">
      <alignment horizontal="right" vertical="center"/>
    </xf>
    <xf numFmtId="9" fontId="13" fillId="0" borderId="1" xfId="11" applyNumberFormat="1" applyFont="1" applyBorder="1" applyAlignment="1">
      <alignment horizontal="center" vertical="center" wrapText="1"/>
    </xf>
    <xf numFmtId="167" fontId="13" fillId="0" borderId="1" xfId="8" applyNumberFormat="1" applyFont="1" applyFill="1" applyBorder="1" applyAlignment="1">
      <alignment horizontal="center" vertical="center" wrapText="1"/>
    </xf>
    <xf numFmtId="164" fontId="13" fillId="0" borderId="1" xfId="8" applyFont="1" applyFill="1" applyBorder="1" applyAlignment="1" applyProtection="1">
      <alignment horizontal="center" vertical="center"/>
    </xf>
    <xf numFmtId="164" fontId="13" fillId="0" borderId="1" xfId="8" applyFont="1" applyFill="1" applyBorder="1" applyAlignment="1">
      <alignment horizontal="center" vertical="center"/>
    </xf>
    <xf numFmtId="164" fontId="13" fillId="0" borderId="1" xfId="8" applyFont="1" applyFill="1" applyBorder="1" applyAlignment="1">
      <alignment horizontal="center" vertical="center" wrapText="1"/>
    </xf>
    <xf numFmtId="164" fontId="13" fillId="0" borderId="1" xfId="8" applyFont="1" applyFill="1" applyBorder="1" applyAlignment="1">
      <alignment horizontal="left" vertical="center" wrapText="1"/>
    </xf>
    <xf numFmtId="165" fontId="13" fillId="0" borderId="1" xfId="8" applyNumberFormat="1" applyFont="1" applyFill="1" applyBorder="1" applyAlignment="1">
      <alignment horizontal="center" vertical="center" wrapText="1"/>
    </xf>
    <xf numFmtId="49" fontId="13" fillId="0" borderId="1" xfId="11" applyNumberFormat="1" applyFont="1" applyBorder="1" applyAlignment="1">
      <alignment horizontal="center" vertical="center" wrapText="1"/>
    </xf>
    <xf numFmtId="49" fontId="13" fillId="0" borderId="1" xfId="11" applyNumberFormat="1" applyFont="1" applyBorder="1" applyAlignment="1">
      <alignment horizontal="left" vertical="center" wrapText="1"/>
    </xf>
    <xf numFmtId="164" fontId="11" fillId="0" borderId="1" xfId="8" applyFont="1" applyFill="1" applyBorder="1" applyAlignment="1">
      <alignment horizontal="left" vertical="center" wrapText="1"/>
    </xf>
    <xf numFmtId="164" fontId="23" fillId="3" borderId="1" xfId="8" applyFont="1" applyFill="1" applyBorder="1" applyAlignment="1">
      <alignment vertical="center"/>
    </xf>
    <xf numFmtId="0" fontId="23" fillId="3" borderId="1" xfId="11" applyFont="1" applyFill="1" applyBorder="1" applyAlignment="1">
      <alignment horizontal="center" vertical="center" wrapText="1"/>
    </xf>
    <xf numFmtId="164" fontId="23" fillId="3" borderId="1" xfId="8" applyFont="1" applyFill="1" applyBorder="1" applyAlignment="1">
      <alignment horizontal="right" vertical="center"/>
    </xf>
    <xf numFmtId="39" fontId="23" fillId="0" borderId="1" xfId="8" applyNumberFormat="1" applyFont="1" applyFill="1" applyBorder="1" applyAlignment="1">
      <alignment horizontal="right" vertical="center"/>
    </xf>
    <xf numFmtId="9" fontId="23" fillId="0" borderId="1" xfId="11" applyNumberFormat="1" applyFont="1" applyBorder="1" applyAlignment="1">
      <alignment horizontal="center" vertical="center" wrapText="1"/>
    </xf>
    <xf numFmtId="164" fontId="11" fillId="0" borderId="1" xfId="8" applyFont="1" applyFill="1" applyBorder="1" applyAlignment="1" applyProtection="1">
      <alignment vertical="center"/>
    </xf>
    <xf numFmtId="0" fontId="14" fillId="0" borderId="1" xfId="0" applyFont="1" applyBorder="1" applyAlignment="1">
      <alignment vertical="center"/>
    </xf>
    <xf numFmtId="165" fontId="11" fillId="3" borderId="1" xfId="8" applyNumberFormat="1" applyFont="1" applyFill="1" applyBorder="1" applyAlignment="1">
      <alignment horizontal="center" vertical="center" wrapText="1"/>
    </xf>
    <xf numFmtId="49" fontId="15" fillId="5" borderId="0" xfId="11" applyNumberFormat="1" applyFont="1" applyFill="1" applyAlignment="1">
      <alignment horizontal="center" vertical="center"/>
    </xf>
    <xf numFmtId="49" fontId="21" fillId="5" borderId="0" xfId="11" applyNumberFormat="1" applyFont="1" applyFill="1" applyAlignment="1">
      <alignment horizontal="center" vertical="center"/>
    </xf>
    <xf numFmtId="0" fontId="15" fillId="5" borderId="0" xfId="11" applyFont="1" applyFill="1" applyAlignment="1">
      <alignment horizontal="center" vertical="center"/>
    </xf>
    <xf numFmtId="49" fontId="11" fillId="5" borderId="1" xfId="11" applyNumberFormat="1" applyFont="1" applyFill="1" applyBorder="1" applyAlignment="1">
      <alignment vertical="center" wrapText="1"/>
    </xf>
    <xf numFmtId="164" fontId="11" fillId="5" borderId="1" xfId="8" applyFont="1" applyFill="1" applyBorder="1" applyAlignment="1">
      <alignment vertical="center"/>
    </xf>
    <xf numFmtId="0" fontId="11" fillId="5" borderId="1" xfId="11" applyFont="1" applyFill="1" applyBorder="1" applyAlignment="1">
      <alignment horizontal="center" vertical="center" wrapText="1"/>
    </xf>
    <xf numFmtId="164" fontId="11" fillId="5" borderId="1" xfId="8" applyFont="1" applyFill="1" applyBorder="1" applyAlignment="1">
      <alignment horizontal="right" vertical="center"/>
    </xf>
    <xf numFmtId="39" fontId="11" fillId="5" borderId="1" xfId="8" applyNumberFormat="1" applyFont="1" applyFill="1" applyBorder="1" applyAlignment="1">
      <alignment horizontal="right" vertical="center"/>
    </xf>
    <xf numFmtId="9" fontId="11" fillId="5" borderId="1" xfId="11" applyNumberFormat="1" applyFont="1" applyFill="1" applyBorder="1" applyAlignment="1">
      <alignment horizontal="center" vertical="center" wrapText="1"/>
    </xf>
    <xf numFmtId="167" fontId="11" fillId="5" borderId="1" xfId="8" applyNumberFormat="1" applyFont="1" applyFill="1" applyBorder="1" applyAlignment="1">
      <alignment horizontal="center" vertical="center" wrapText="1"/>
    </xf>
    <xf numFmtId="164" fontId="11" fillId="5" borderId="1" xfId="8" applyFont="1" applyFill="1" applyBorder="1" applyAlignment="1" applyProtection="1">
      <alignment vertical="center"/>
    </xf>
    <xf numFmtId="164" fontId="11" fillId="5" borderId="1" xfId="8" applyFont="1" applyFill="1" applyBorder="1" applyAlignment="1">
      <alignment horizontal="center" vertical="center"/>
    </xf>
    <xf numFmtId="164" fontId="11" fillId="5" borderId="1" xfId="8" applyFont="1" applyFill="1" applyBorder="1" applyAlignment="1">
      <alignment horizontal="center" vertical="center" wrapText="1"/>
    </xf>
    <xf numFmtId="0" fontId="14" fillId="5" borderId="1" xfId="0" applyFont="1" applyFill="1" applyBorder="1" applyAlignment="1">
      <alignment vertical="center"/>
    </xf>
    <xf numFmtId="165" fontId="11" fillId="5" borderId="1" xfId="8" applyNumberFormat="1" applyFont="1" applyFill="1" applyBorder="1" applyAlignment="1">
      <alignment horizontal="center" vertical="center" wrapText="1"/>
    </xf>
    <xf numFmtId="49" fontId="11" fillId="5" borderId="1" xfId="11" applyNumberFormat="1" applyFont="1" applyFill="1" applyBorder="1" applyAlignment="1">
      <alignment horizontal="center" vertical="center" wrapText="1"/>
    </xf>
    <xf numFmtId="49" fontId="11" fillId="5" borderId="1" xfId="11" applyNumberFormat="1" applyFont="1" applyFill="1" applyBorder="1" applyAlignment="1">
      <alignment horizontal="left" vertical="center" wrapText="1"/>
    </xf>
    <xf numFmtId="164" fontId="11" fillId="3" borderId="1" xfId="8" applyFont="1" applyFill="1" applyBorder="1" applyAlignment="1" applyProtection="1">
      <alignment vertical="center"/>
    </xf>
    <xf numFmtId="49" fontId="12" fillId="5" borderId="1" xfId="11" applyNumberFormat="1" applyFont="1" applyFill="1" applyBorder="1" applyAlignment="1">
      <alignment vertical="center" wrapText="1"/>
    </xf>
    <xf numFmtId="164" fontId="12" fillId="5" borderId="1" xfId="8" applyFont="1" applyFill="1" applyBorder="1" applyAlignment="1">
      <alignment vertical="center"/>
    </xf>
    <xf numFmtId="49" fontId="15" fillId="3" borderId="0" xfId="11" applyNumberFormat="1" applyFont="1" applyFill="1" applyAlignment="1">
      <alignment horizontal="center" vertical="center"/>
    </xf>
    <xf numFmtId="49" fontId="21" fillId="3" borderId="0" xfId="11" applyNumberFormat="1" applyFont="1" applyFill="1" applyAlignment="1">
      <alignment horizontal="center" vertical="center"/>
    </xf>
    <xf numFmtId="0" fontId="15" fillId="3" borderId="0" xfId="11" applyFont="1" applyFill="1" applyAlignment="1">
      <alignment horizontal="center" vertical="center"/>
    </xf>
    <xf numFmtId="49" fontId="12" fillId="3" borderId="1" xfId="11" applyNumberFormat="1" applyFont="1" applyFill="1" applyBorder="1" applyAlignment="1">
      <alignment vertical="center" wrapText="1"/>
    </xf>
    <xf numFmtId="164" fontId="12" fillId="3" borderId="1" xfId="8" applyFont="1" applyFill="1" applyBorder="1" applyAlignment="1">
      <alignment vertical="center"/>
    </xf>
    <xf numFmtId="164" fontId="12" fillId="3" borderId="1" xfId="8" applyFont="1" applyFill="1" applyBorder="1" applyAlignment="1">
      <alignment horizontal="center" vertical="center" wrapText="1"/>
    </xf>
    <xf numFmtId="164" fontId="12" fillId="3" borderId="1" xfId="8" applyFont="1" applyFill="1" applyBorder="1" applyAlignment="1">
      <alignment horizontal="right" vertical="center"/>
    </xf>
    <xf numFmtId="164" fontId="12" fillId="3" borderId="1" xfId="8" applyFont="1" applyFill="1" applyBorder="1" applyAlignment="1" applyProtection="1">
      <alignment vertical="center"/>
    </xf>
    <xf numFmtId="49" fontId="12" fillId="3" borderId="1" xfId="11" applyNumberFormat="1" applyFont="1" applyFill="1" applyBorder="1" applyAlignment="1">
      <alignment horizontal="left" vertical="center" wrapText="1"/>
    </xf>
    <xf numFmtId="165" fontId="12" fillId="3" borderId="1" xfId="8" applyNumberFormat="1" applyFont="1" applyFill="1" applyBorder="1" applyAlignment="1">
      <alignment horizontal="center" vertical="center" wrapText="1"/>
    </xf>
    <xf numFmtId="49" fontId="12" fillId="3" borderId="1" xfId="11" applyNumberFormat="1" applyFont="1" applyFill="1" applyBorder="1" applyAlignment="1">
      <alignment horizontal="center" vertical="center" wrapText="1"/>
    </xf>
    <xf numFmtId="49" fontId="12" fillId="4" borderId="1" xfId="11" applyNumberFormat="1" applyFont="1" applyFill="1" applyBorder="1" applyAlignment="1">
      <alignment vertical="center" wrapText="1"/>
    </xf>
    <xf numFmtId="164" fontId="12" fillId="4" borderId="1" xfId="8" applyFont="1" applyFill="1" applyBorder="1" applyAlignment="1">
      <alignment vertical="center"/>
    </xf>
    <xf numFmtId="164" fontId="12" fillId="4" borderId="1" xfId="8" applyFont="1" applyFill="1" applyBorder="1" applyAlignment="1">
      <alignment horizontal="center" vertical="center" wrapText="1"/>
    </xf>
    <xf numFmtId="164" fontId="12" fillId="4" borderId="1" xfId="8" applyFont="1" applyFill="1" applyBorder="1" applyAlignment="1">
      <alignment horizontal="right" vertical="center"/>
    </xf>
    <xf numFmtId="164" fontId="12" fillId="4" borderId="1" xfId="8" applyFont="1" applyFill="1" applyBorder="1" applyAlignment="1" applyProtection="1">
      <alignment vertical="center"/>
    </xf>
    <xf numFmtId="49" fontId="12" fillId="4" borderId="1" xfId="11" applyNumberFormat="1" applyFont="1" applyFill="1" applyBorder="1" applyAlignment="1">
      <alignment horizontal="left" vertical="center" wrapText="1"/>
    </xf>
    <xf numFmtId="165" fontId="12" fillId="4" borderId="1" xfId="8" applyNumberFormat="1" applyFont="1" applyFill="1" applyBorder="1" applyAlignment="1">
      <alignment horizontal="center" vertical="center" wrapText="1"/>
    </xf>
    <xf numFmtId="49" fontId="12" fillId="4" borderId="1" xfId="11" applyNumberFormat="1" applyFont="1" applyFill="1" applyBorder="1" applyAlignment="1">
      <alignment horizontal="center" vertical="center" wrapText="1"/>
    </xf>
    <xf numFmtId="49" fontId="25" fillId="3" borderId="0" xfId="11" applyNumberFormat="1" applyFont="1" applyFill="1" applyAlignment="1">
      <alignment horizontal="center" vertical="center"/>
    </xf>
    <xf numFmtId="49" fontId="26" fillId="3" borderId="0" xfId="11" applyNumberFormat="1" applyFont="1" applyFill="1" applyAlignment="1">
      <alignment horizontal="center" vertical="center"/>
    </xf>
    <xf numFmtId="0" fontId="25" fillId="3" borderId="0" xfId="11" applyFont="1" applyFill="1" applyAlignment="1">
      <alignment horizontal="center" vertical="center"/>
    </xf>
    <xf numFmtId="164" fontId="13" fillId="3" borderId="1" xfId="8" applyFont="1" applyFill="1" applyBorder="1" applyAlignment="1">
      <alignment horizontal="center" vertical="center" wrapText="1"/>
    </xf>
    <xf numFmtId="49" fontId="13" fillId="3" borderId="1" xfId="11" applyNumberFormat="1" applyFont="1" applyFill="1" applyBorder="1" applyAlignment="1">
      <alignment horizontal="left" vertical="center" wrapText="1"/>
    </xf>
    <xf numFmtId="168" fontId="13" fillId="0" borderId="1" xfId="8" applyNumberFormat="1" applyFont="1" applyBorder="1" applyAlignment="1">
      <alignment horizontal="center" vertical="center" wrapText="1"/>
    </xf>
    <xf numFmtId="165" fontId="13" fillId="0" borderId="1" xfId="8" applyNumberFormat="1" applyFont="1" applyBorder="1" applyAlignment="1">
      <alignment horizontal="center" vertical="center" wrapText="1"/>
    </xf>
    <xf numFmtId="168" fontId="13" fillId="0" borderId="1" xfId="8" applyNumberFormat="1" applyFont="1" applyFill="1" applyBorder="1" applyAlignment="1">
      <alignment horizontal="center" vertical="center" wrapText="1"/>
    </xf>
    <xf numFmtId="49" fontId="25" fillId="0" borderId="0" xfId="11" applyNumberFormat="1" applyFont="1" applyAlignment="1">
      <alignment horizontal="center" vertical="center"/>
    </xf>
    <xf numFmtId="49" fontId="26" fillId="0" borderId="0" xfId="11" applyNumberFormat="1" applyFont="1" applyAlignment="1">
      <alignment horizontal="center" vertical="center"/>
    </xf>
    <xf numFmtId="0" fontId="25" fillId="0" borderId="0" xfId="11" applyFont="1" applyAlignment="1">
      <alignment horizontal="center" vertical="center"/>
    </xf>
    <xf numFmtId="49" fontId="12" fillId="2" borderId="1" xfId="11" applyNumberFormat="1" applyFont="1" applyFill="1" applyBorder="1" applyAlignment="1">
      <alignment vertical="center" wrapText="1"/>
    </xf>
    <xf numFmtId="164" fontId="12" fillId="2" borderId="1" xfId="8" applyFont="1" applyFill="1" applyBorder="1" applyAlignment="1">
      <alignment vertical="center"/>
    </xf>
    <xf numFmtId="164" fontId="12" fillId="2" borderId="1" xfId="8" applyFont="1" applyFill="1" applyBorder="1" applyAlignment="1">
      <alignment horizontal="center" vertical="center" wrapText="1"/>
    </xf>
    <xf numFmtId="164" fontId="12" fillId="2" borderId="1" xfId="8" applyFont="1" applyFill="1" applyBorder="1" applyAlignment="1">
      <alignment horizontal="right" vertical="center"/>
    </xf>
    <xf numFmtId="164" fontId="12" fillId="2" borderId="1" xfId="8" applyFont="1" applyFill="1" applyBorder="1" applyAlignment="1" applyProtection="1">
      <alignment vertical="center"/>
    </xf>
    <xf numFmtId="49" fontId="12" fillId="2" borderId="1" xfId="11" applyNumberFormat="1" applyFont="1" applyFill="1" applyBorder="1" applyAlignment="1">
      <alignment horizontal="left" vertical="center" wrapText="1"/>
    </xf>
    <xf numFmtId="165" fontId="12" fillId="2" borderId="1" xfId="8" applyNumberFormat="1" applyFont="1" applyFill="1" applyBorder="1" applyAlignment="1">
      <alignment horizontal="center" vertical="center" wrapText="1"/>
    </xf>
    <xf numFmtId="49" fontId="12" fillId="2" borderId="1" xfId="11" applyNumberFormat="1" applyFont="1" applyFill="1" applyBorder="1" applyAlignment="1">
      <alignment horizontal="center" vertical="center" wrapText="1"/>
    </xf>
    <xf numFmtId="49" fontId="15" fillId="0" borderId="19" xfId="11" applyNumberFormat="1" applyFont="1" applyBorder="1" applyAlignment="1">
      <alignment horizontal="center" vertical="center" wrapText="1"/>
    </xf>
    <xf numFmtId="164" fontId="13" fillId="0" borderId="20" xfId="8" applyFont="1" applyBorder="1" applyAlignment="1">
      <alignment horizontal="center" vertical="center" wrapText="1"/>
    </xf>
    <xf numFmtId="49" fontId="13" fillId="0" borderId="20" xfId="11" applyNumberFormat="1" applyFont="1" applyBorder="1" applyAlignment="1">
      <alignment horizontal="center" vertical="center" wrapText="1"/>
    </xf>
    <xf numFmtId="167" fontId="13" fillId="0" borderId="20" xfId="8" applyNumberFormat="1" applyFont="1" applyBorder="1" applyAlignment="1">
      <alignment horizontal="center" vertical="center" wrapText="1"/>
    </xf>
    <xf numFmtId="49" fontId="13" fillId="0" borderId="20" xfId="11" applyNumberFormat="1" applyFont="1" applyBorder="1" applyAlignment="1">
      <alignment horizontal="left" vertical="center" wrapText="1"/>
    </xf>
    <xf numFmtId="165" fontId="13" fillId="0" borderId="20" xfId="8" applyNumberFormat="1" applyFont="1" applyBorder="1" applyAlignment="1">
      <alignment horizontal="center" vertical="center" wrapText="1"/>
    </xf>
    <xf numFmtId="49" fontId="13" fillId="0" borderId="21" xfId="11" applyNumberFormat="1" applyFont="1" applyBorder="1" applyAlignment="1">
      <alignment horizontal="center" vertical="center" wrapText="1"/>
    </xf>
    <xf numFmtId="49" fontId="13" fillId="0" borderId="22" xfId="11" applyNumberFormat="1" applyFont="1" applyBorder="1" applyAlignment="1">
      <alignment horizontal="center" vertical="center" wrapText="1"/>
    </xf>
    <xf numFmtId="164" fontId="22" fillId="0" borderId="25" xfId="8" applyFont="1" applyBorder="1" applyAlignment="1">
      <alignment horizontal="center" vertical="center" wrapText="1"/>
    </xf>
    <xf numFmtId="166" fontId="22" fillId="0" borderId="25" xfId="1" applyNumberFormat="1" applyFont="1" applyBorder="1" applyAlignment="1">
      <alignment horizontal="center" vertical="center" wrapText="1"/>
    </xf>
    <xf numFmtId="167" fontId="22" fillId="0" borderId="24" xfId="8" applyNumberFormat="1" applyFont="1" applyBorder="1" applyAlignment="1">
      <alignment horizontal="center" vertical="center" wrapText="1"/>
    </xf>
    <xf numFmtId="0" fontId="22" fillId="0" borderId="24" xfId="11" applyFont="1" applyBorder="1" applyAlignment="1">
      <alignment horizontal="center" vertical="center" wrapText="1"/>
    </xf>
    <xf numFmtId="164" fontId="22" fillId="0" borderId="24" xfId="8" applyFont="1" applyBorder="1" applyAlignment="1">
      <alignment horizontal="center" vertical="center" wrapText="1"/>
    </xf>
    <xf numFmtId="43" fontId="15" fillId="0" borderId="0" xfId="11" applyNumberFormat="1" applyFont="1" applyAlignment="1">
      <alignment horizontal="left" vertical="center"/>
    </xf>
    <xf numFmtId="166" fontId="22" fillId="0" borderId="34" xfId="1" applyNumberFormat="1" applyFont="1" applyBorder="1" applyAlignment="1">
      <alignment horizontal="center" vertical="center" wrapText="1"/>
    </xf>
    <xf numFmtId="164" fontId="15" fillId="0" borderId="0" xfId="11" applyNumberFormat="1" applyFont="1" applyAlignment="1">
      <alignment horizontal="left" vertical="center"/>
    </xf>
    <xf numFmtId="0" fontId="25" fillId="0" borderId="4" xfId="11" applyFont="1" applyBorder="1" applyAlignment="1">
      <alignment horizontal="center" vertical="center"/>
    </xf>
    <xf numFmtId="164" fontId="22" fillId="0" borderId="40" xfId="8" applyFont="1" applyBorder="1" applyAlignment="1">
      <alignment vertical="center"/>
    </xf>
    <xf numFmtId="0" fontId="22" fillId="0" borderId="40" xfId="11" applyFont="1" applyBorder="1" applyAlignment="1">
      <alignment horizontal="center" vertical="center"/>
    </xf>
    <xf numFmtId="164" fontId="13" fillId="0" borderId="40" xfId="8" applyFont="1" applyBorder="1" applyAlignment="1">
      <alignment horizontal="center" vertical="center"/>
    </xf>
    <xf numFmtId="164" fontId="22" fillId="0" borderId="40" xfId="8" applyFont="1" applyBorder="1" applyAlignment="1">
      <alignment horizontal="left" vertical="center" indent="5"/>
    </xf>
    <xf numFmtId="167" fontId="22" fillId="0" borderId="40" xfId="8" applyNumberFormat="1" applyFont="1" applyBorder="1" applyAlignment="1">
      <alignment horizontal="center" vertical="center"/>
    </xf>
    <xf numFmtId="166" fontId="13" fillId="0" borderId="40" xfId="1" applyNumberFormat="1" applyFont="1" applyBorder="1" applyAlignment="1">
      <alignment vertical="center"/>
    </xf>
    <xf numFmtId="164" fontId="22" fillId="0" borderId="41" xfId="8" applyFont="1" applyBorder="1" applyAlignment="1">
      <alignment horizontal="left" vertical="center" indent="3"/>
    </xf>
    <xf numFmtId="164" fontId="22" fillId="0" borderId="40" xfId="8" applyFont="1" applyBorder="1" applyAlignment="1">
      <alignment horizontal="center" vertical="center"/>
    </xf>
    <xf numFmtId="0" fontId="22" fillId="0" borderId="40" xfId="11" applyFont="1" applyBorder="1" applyAlignment="1">
      <alignment horizontal="left" vertical="center"/>
    </xf>
    <xf numFmtId="165" fontId="22" fillId="0" borderId="40" xfId="8" applyNumberFormat="1" applyFont="1" applyBorder="1" applyAlignment="1">
      <alignment horizontal="center" vertical="center"/>
    </xf>
    <xf numFmtId="0" fontId="22" fillId="0" borderId="40" xfId="11" applyFont="1" applyBorder="1" applyAlignment="1">
      <alignment horizontal="left" vertical="center" indent="5"/>
    </xf>
    <xf numFmtId="0" fontId="22" fillId="0" borderId="5" xfId="11" applyFont="1" applyBorder="1" applyAlignment="1">
      <alignment horizontal="left" vertical="center" indent="5"/>
    </xf>
    <xf numFmtId="0" fontId="25" fillId="0" borderId="9" xfId="11" applyFont="1" applyBorder="1" applyAlignment="1">
      <alignment horizontal="center" vertical="center"/>
    </xf>
    <xf numFmtId="164" fontId="22" fillId="0" borderId="0" xfId="8" applyFont="1" applyBorder="1" applyAlignment="1">
      <alignment vertical="center"/>
    </xf>
    <xf numFmtId="0" fontId="22" fillId="0" borderId="0" xfId="11" applyFont="1" applyAlignment="1">
      <alignment horizontal="center" vertical="center"/>
    </xf>
    <xf numFmtId="164" fontId="13" fillId="0" borderId="0" xfId="8" applyFont="1" applyBorder="1" applyAlignment="1">
      <alignment horizontal="center" vertical="center"/>
    </xf>
    <xf numFmtId="164" fontId="22" fillId="0" borderId="0" xfId="8" applyFont="1" applyBorder="1" applyAlignment="1">
      <alignment horizontal="left" vertical="center" indent="5"/>
    </xf>
    <xf numFmtId="167" fontId="22" fillId="0" borderId="0" xfId="8" applyNumberFormat="1" applyFont="1" applyBorder="1" applyAlignment="1">
      <alignment horizontal="center" vertical="center"/>
    </xf>
    <xf numFmtId="166" fontId="13" fillId="0" borderId="0" xfId="1" applyNumberFormat="1" applyFont="1" applyBorder="1" applyAlignment="1">
      <alignment vertical="center"/>
    </xf>
    <xf numFmtId="164" fontId="22" fillId="0" borderId="13" xfId="8" applyFont="1" applyBorder="1" applyAlignment="1">
      <alignment horizontal="left" vertical="center" indent="3"/>
    </xf>
    <xf numFmtId="164" fontId="22" fillId="0" borderId="14" xfId="8" applyFont="1" applyBorder="1" applyAlignment="1">
      <alignment horizontal="center" vertical="center"/>
    </xf>
    <xf numFmtId="164" fontId="22" fillId="0" borderId="0" xfId="8" applyFont="1" applyBorder="1" applyAlignment="1">
      <alignment horizontal="center" vertical="center"/>
    </xf>
    <xf numFmtId="0" fontId="22" fillId="0" borderId="0" xfId="11" applyFont="1" applyAlignment="1">
      <alignment horizontal="left" vertical="center"/>
    </xf>
    <xf numFmtId="165" fontId="22" fillId="0" borderId="0" xfId="8" applyNumberFormat="1" applyFont="1" applyBorder="1" applyAlignment="1">
      <alignment horizontal="center" vertical="center"/>
    </xf>
    <xf numFmtId="0" fontId="22" fillId="0" borderId="0" xfId="11" applyFont="1" applyAlignment="1">
      <alignment horizontal="left" vertical="center" indent="5"/>
    </xf>
    <xf numFmtId="0" fontId="22" fillId="0" borderId="8" xfId="11" applyFont="1" applyBorder="1" applyAlignment="1">
      <alignment horizontal="left" vertical="center" indent="5"/>
    </xf>
    <xf numFmtId="0" fontId="24" fillId="0" borderId="0" xfId="11" applyFont="1" applyAlignment="1">
      <alignment horizontal="center"/>
    </xf>
    <xf numFmtId="164" fontId="22" fillId="0" borderId="0" xfId="8" applyFont="1" applyBorder="1" applyAlignment="1">
      <alignment horizontal="center"/>
    </xf>
    <xf numFmtId="164" fontId="22" fillId="0" borderId="0" xfId="8" applyFont="1" applyBorder="1" applyAlignment="1">
      <alignment horizontal="left" indent="1"/>
    </xf>
    <xf numFmtId="167" fontId="22" fillId="0" borderId="0" xfId="8" applyNumberFormat="1" applyFont="1" applyBorder="1" applyAlignment="1">
      <alignment horizontal="center"/>
    </xf>
    <xf numFmtId="0" fontId="22" fillId="0" borderId="0" xfId="11" applyFont="1"/>
    <xf numFmtId="164" fontId="22" fillId="0" borderId="13" xfId="8" applyFont="1" applyBorder="1" applyAlignment="1">
      <alignment horizontal="center"/>
    </xf>
    <xf numFmtId="0" fontId="27" fillId="0" borderId="0" xfId="11" applyFont="1" applyAlignment="1">
      <alignment horizontal="left" vertical="center"/>
    </xf>
    <xf numFmtId="0" fontId="25" fillId="0" borderId="3" xfId="11" applyFont="1" applyBorder="1" applyAlignment="1">
      <alignment horizontal="center" vertical="center"/>
    </xf>
    <xf numFmtId="164" fontId="22" fillId="0" borderId="37" xfId="8" applyFont="1" applyBorder="1" applyAlignment="1">
      <alignment vertical="center"/>
    </xf>
    <xf numFmtId="0" fontId="22" fillId="0" borderId="37" xfId="11" applyFont="1" applyBorder="1" applyAlignment="1">
      <alignment horizontal="center" vertical="center"/>
    </xf>
    <xf numFmtId="164" fontId="22" fillId="0" borderId="37" xfId="8" applyFont="1" applyBorder="1" applyAlignment="1">
      <alignment horizontal="center" vertical="center"/>
    </xf>
    <xf numFmtId="164" fontId="22" fillId="0" borderId="37" xfId="8" applyFont="1" applyBorder="1" applyAlignment="1">
      <alignment horizontal="left" indent="1"/>
    </xf>
    <xf numFmtId="166" fontId="13" fillId="0" borderId="37" xfId="1" applyNumberFormat="1" applyFont="1" applyBorder="1" applyAlignment="1">
      <alignment vertical="center"/>
    </xf>
    <xf numFmtId="167" fontId="22" fillId="0" borderId="37" xfId="8" applyNumberFormat="1" applyFont="1" applyBorder="1" applyAlignment="1">
      <alignment horizontal="center" vertical="center"/>
    </xf>
    <xf numFmtId="0" fontId="22" fillId="0" borderId="37" xfId="11" applyFont="1" applyBorder="1" applyAlignment="1">
      <alignment vertical="center"/>
    </xf>
    <xf numFmtId="164" fontId="22" fillId="0" borderId="36" xfId="8" applyFont="1" applyBorder="1" applyAlignment="1">
      <alignment horizontal="center"/>
    </xf>
    <xf numFmtId="0" fontId="22" fillId="0" borderId="37" xfId="11" applyFont="1" applyBorder="1" applyAlignment="1">
      <alignment horizontal="left" vertical="center"/>
    </xf>
    <xf numFmtId="165" fontId="22" fillId="0" borderId="37" xfId="8" applyNumberFormat="1" applyFont="1" applyBorder="1" applyAlignment="1">
      <alignment horizontal="center" vertical="center"/>
    </xf>
    <xf numFmtId="0" fontId="22" fillId="0" borderId="37" xfId="11" applyFont="1" applyBorder="1" applyAlignment="1">
      <alignment horizontal="left" vertical="center" indent="2"/>
    </xf>
    <xf numFmtId="0" fontId="22" fillId="0" borderId="2" xfId="11" applyFont="1" applyBorder="1" applyAlignment="1">
      <alignment horizontal="left" vertical="center" indent="2"/>
    </xf>
    <xf numFmtId="164" fontId="22" fillId="0" borderId="0" xfId="8" applyFont="1" applyAlignment="1">
      <alignment vertical="center"/>
    </xf>
    <xf numFmtId="164" fontId="22" fillId="0" borderId="0" xfId="8" applyFont="1" applyAlignment="1">
      <alignment horizontal="center" vertical="center"/>
    </xf>
    <xf numFmtId="167" fontId="22" fillId="0" borderId="0" xfId="8" applyNumberFormat="1" applyFont="1" applyAlignment="1">
      <alignment horizontal="center" vertical="center"/>
    </xf>
    <xf numFmtId="0" fontId="22" fillId="0" borderId="0" xfId="11" applyFont="1" applyAlignment="1">
      <alignment vertical="center"/>
    </xf>
    <xf numFmtId="165" fontId="22" fillId="0" borderId="0" xfId="8" applyNumberFormat="1" applyFont="1" applyAlignment="1">
      <alignment horizontal="center" vertical="center"/>
    </xf>
    <xf numFmtId="49" fontId="22" fillId="0" borderId="1" xfId="11" applyNumberFormat="1" applyFont="1" applyBorder="1" applyAlignment="1">
      <alignment horizontal="left" vertical="center" wrapText="1"/>
    </xf>
    <xf numFmtId="49" fontId="11" fillId="2" borderId="1" xfId="11" applyNumberFormat="1" applyFont="1" applyFill="1" applyBorder="1" applyAlignment="1">
      <alignment horizontal="left" vertical="center" wrapText="1"/>
    </xf>
    <xf numFmtId="49" fontId="11" fillId="2" borderId="1" xfId="11" applyNumberFormat="1" applyFont="1" applyFill="1" applyBorder="1" applyAlignment="1">
      <alignment horizontal="center" vertical="center" wrapText="1"/>
    </xf>
    <xf numFmtId="165" fontId="11" fillId="2" borderId="1" xfId="8" applyNumberFormat="1" applyFont="1" applyFill="1" applyBorder="1" applyAlignment="1">
      <alignment horizontal="center" vertical="center" wrapText="1"/>
    </xf>
    <xf numFmtId="164" fontId="11" fillId="2" borderId="1" xfId="8" applyFont="1" applyFill="1" applyBorder="1" applyAlignment="1">
      <alignment horizontal="center" vertical="center" wrapText="1"/>
    </xf>
    <xf numFmtId="164" fontId="11" fillId="2" borderId="1" xfId="8" applyFont="1" applyFill="1" applyBorder="1" applyAlignment="1" applyProtection="1">
      <alignment vertical="center"/>
    </xf>
    <xf numFmtId="164" fontId="11" fillId="2" borderId="1" xfId="8" applyFont="1" applyFill="1" applyBorder="1" applyAlignment="1">
      <alignment horizontal="right" vertical="center"/>
    </xf>
    <xf numFmtId="49" fontId="11" fillId="4" borderId="1" xfId="11" applyNumberFormat="1" applyFont="1" applyFill="1" applyBorder="1" applyAlignment="1">
      <alignment horizontal="left" vertical="center" wrapText="1"/>
    </xf>
    <xf numFmtId="49" fontId="11" fillId="4" borderId="1" xfId="11" applyNumberFormat="1" applyFont="1" applyFill="1" applyBorder="1" applyAlignment="1">
      <alignment horizontal="center" vertical="center" wrapText="1"/>
    </xf>
    <xf numFmtId="165" fontId="11" fillId="4" borderId="1" xfId="8" applyNumberFormat="1" applyFont="1" applyFill="1" applyBorder="1" applyAlignment="1">
      <alignment horizontal="center" vertical="center" wrapText="1"/>
    </xf>
    <xf numFmtId="164" fontId="11" fillId="4" borderId="1" xfId="8" applyFont="1" applyFill="1" applyBorder="1" applyAlignment="1">
      <alignment horizontal="center" vertical="center" wrapText="1"/>
    </xf>
    <xf numFmtId="164" fontId="11" fillId="4" borderId="1" xfId="8" applyFont="1" applyFill="1" applyBorder="1" applyAlignment="1" applyProtection="1">
      <alignment vertical="center"/>
    </xf>
    <xf numFmtId="164" fontId="11" fillId="4" borderId="1" xfId="8" applyFont="1" applyFill="1" applyBorder="1" applyAlignment="1">
      <alignment horizontal="right" vertical="center"/>
    </xf>
    <xf numFmtId="49" fontId="11" fillId="3" borderId="1" xfId="11" applyNumberFormat="1" applyFont="1" applyFill="1" applyBorder="1" applyAlignment="1">
      <alignment horizontal="center" vertical="center" wrapText="1"/>
    </xf>
    <xf numFmtId="164" fontId="11" fillId="3" borderId="1" xfId="8" applyFont="1" applyFill="1" applyBorder="1" applyAlignment="1" applyProtection="1">
      <alignment horizontal="center" vertical="center" wrapText="1"/>
      <protection locked="0"/>
    </xf>
    <xf numFmtId="165" fontId="29" fillId="6" borderId="1" xfId="0" applyNumberFormat="1" applyFont="1" applyFill="1" applyBorder="1" applyAlignment="1">
      <alignment horizontal="center" vertical="center" wrapText="1"/>
    </xf>
    <xf numFmtId="164" fontId="11" fillId="5" borderId="1" xfId="8" applyFont="1" applyFill="1" applyBorder="1" applyAlignment="1" applyProtection="1">
      <alignment horizontal="center" vertical="center" wrapText="1"/>
      <protection locked="0"/>
    </xf>
    <xf numFmtId="164" fontId="13" fillId="3" borderId="1" xfId="8" applyFont="1" applyFill="1" applyBorder="1" applyAlignment="1" applyProtection="1">
      <alignment horizontal="center" vertical="center" wrapText="1"/>
      <protection locked="0"/>
    </xf>
    <xf numFmtId="49" fontId="13" fillId="4" borderId="1" xfId="11" applyNumberFormat="1" applyFont="1" applyFill="1" applyBorder="1" applyAlignment="1">
      <alignment horizontal="left" vertical="center" wrapText="1"/>
    </xf>
    <xf numFmtId="49" fontId="13" fillId="4" borderId="1" xfId="11" applyNumberFormat="1" applyFont="1" applyFill="1" applyBorder="1" applyAlignment="1">
      <alignment horizontal="center" vertical="center" wrapText="1"/>
    </xf>
    <xf numFmtId="165" fontId="13" fillId="4" borderId="1" xfId="8" applyNumberFormat="1" applyFont="1" applyFill="1" applyBorder="1" applyAlignment="1">
      <alignment horizontal="center" vertical="center" wrapText="1"/>
    </xf>
    <xf numFmtId="164" fontId="13" fillId="4" borderId="1" xfId="8" applyFont="1" applyFill="1" applyBorder="1" applyAlignment="1">
      <alignment horizontal="center" vertical="center" wrapText="1"/>
    </xf>
    <xf numFmtId="164" fontId="13" fillId="4" borderId="1" xfId="8" applyFont="1" applyFill="1" applyBorder="1" applyAlignment="1" applyProtection="1">
      <alignment vertical="center"/>
    </xf>
    <xf numFmtId="164" fontId="13" fillId="4" borderId="1" xfId="8" applyFont="1" applyFill="1" applyBorder="1" applyAlignment="1">
      <alignment horizontal="right" vertical="center"/>
    </xf>
    <xf numFmtId="164" fontId="13" fillId="4" borderId="1" xfId="8" applyFont="1" applyFill="1" applyBorder="1" applyAlignment="1" applyProtection="1">
      <alignment horizontal="center" vertical="center" wrapText="1"/>
      <protection locked="0"/>
    </xf>
    <xf numFmtId="164" fontId="13" fillId="4" borderId="1" xfId="8" applyFont="1" applyFill="1" applyBorder="1" applyAlignment="1">
      <alignment vertical="center"/>
    </xf>
    <xf numFmtId="164" fontId="23" fillId="3" borderId="1" xfId="8" applyFont="1" applyFill="1" applyBorder="1" applyAlignment="1" applyProtection="1">
      <alignment horizontal="center" vertical="center" wrapText="1"/>
      <protection locked="0"/>
    </xf>
    <xf numFmtId="164" fontId="18" fillId="3" borderId="1" xfId="8" applyFont="1" applyFill="1" applyBorder="1" applyAlignment="1" applyProtection="1">
      <alignment horizontal="center" vertical="center" wrapText="1"/>
      <protection locked="0"/>
    </xf>
    <xf numFmtId="166" fontId="30" fillId="0" borderId="0" xfId="1" applyNumberFormat="1" applyFont="1" applyAlignment="1">
      <alignment vertical="center"/>
    </xf>
    <xf numFmtId="0" fontId="30" fillId="0" borderId="0" xfId="11" applyFont="1" applyAlignment="1">
      <alignment vertical="center"/>
    </xf>
    <xf numFmtId="3" fontId="15" fillId="0" borderId="0" xfId="11" applyNumberFormat="1" applyFont="1" applyAlignment="1">
      <alignment vertical="center"/>
    </xf>
    <xf numFmtId="3" fontId="30" fillId="0" borderId="0" xfId="11" applyNumberFormat="1" applyFont="1" applyAlignment="1">
      <alignment vertical="center"/>
    </xf>
    <xf numFmtId="0" fontId="30" fillId="0" borderId="0" xfId="11" applyFont="1" applyAlignment="1">
      <alignment horizontal="left" vertical="center" indent="1"/>
    </xf>
    <xf numFmtId="3" fontId="30" fillId="0" borderId="0" xfId="11" applyNumberFormat="1" applyFont="1" applyAlignment="1">
      <alignment horizontal="left" vertical="center" indent="1"/>
    </xf>
    <xf numFmtId="164" fontId="31" fillId="0" borderId="42" xfId="8" applyFont="1" applyFill="1" applyBorder="1" applyProtection="1"/>
    <xf numFmtId="164" fontId="30" fillId="0" borderId="0" xfId="1" applyFont="1" applyAlignment="1">
      <alignment vertical="center"/>
    </xf>
    <xf numFmtId="3" fontId="15" fillId="0" borderId="0" xfId="1" applyNumberFormat="1" applyFont="1" applyAlignment="1">
      <alignment vertical="center"/>
    </xf>
    <xf numFmtId="3" fontId="30" fillId="0" borderId="0" xfId="1" applyNumberFormat="1" applyFont="1" applyAlignment="1">
      <alignment vertical="center"/>
    </xf>
    <xf numFmtId="166" fontId="25" fillId="0" borderId="0" xfId="1" applyNumberFormat="1" applyFont="1" applyAlignment="1">
      <alignment vertical="center"/>
    </xf>
    <xf numFmtId="166" fontId="25" fillId="0" borderId="0" xfId="1" applyNumberFormat="1" applyFont="1" applyAlignment="1">
      <alignment horizontal="left" vertical="center" wrapText="1"/>
    </xf>
    <xf numFmtId="166" fontId="32" fillId="0" borderId="0" xfId="1" applyNumberFormat="1" applyFont="1" applyAlignment="1">
      <alignment horizontal="left" vertical="center" wrapText="1"/>
    </xf>
    <xf numFmtId="49" fontId="13" fillId="0" borderId="0" xfId="11" applyNumberFormat="1" applyFont="1" applyAlignment="1">
      <alignment vertical="center" wrapText="1"/>
    </xf>
    <xf numFmtId="4" fontId="13" fillId="0" borderId="0" xfId="8" applyNumberFormat="1" applyFont="1" applyBorder="1" applyAlignment="1">
      <alignment horizontal="center" vertical="center" wrapText="1"/>
    </xf>
    <xf numFmtId="0" fontId="33" fillId="0" borderId="0" xfId="11" applyFont="1" applyAlignment="1">
      <alignment horizontal="center" vertical="center" wrapText="1"/>
    </xf>
    <xf numFmtId="164" fontId="33" fillId="0" borderId="0" xfId="8" applyFont="1" applyBorder="1" applyAlignment="1">
      <alignment horizontal="center" vertical="center"/>
    </xf>
    <xf numFmtId="166" fontId="33" fillId="0" borderId="0" xfId="8" applyNumberFormat="1" applyFont="1" applyBorder="1" applyAlignment="1">
      <alignment vertical="center"/>
    </xf>
    <xf numFmtId="2" fontId="33" fillId="0" borderId="0" xfId="11" applyNumberFormat="1" applyFont="1" applyAlignment="1">
      <alignment horizontal="center" vertical="center" wrapText="1"/>
    </xf>
    <xf numFmtId="2" fontId="13" fillId="0" borderId="0" xfId="8" applyNumberFormat="1" applyFont="1" applyBorder="1" applyAlignment="1">
      <alignment horizontal="center" wrapText="1"/>
    </xf>
    <xf numFmtId="3" fontId="13" fillId="0" borderId="0" xfId="8" applyNumberFormat="1" applyFont="1" applyBorder="1" applyAlignment="1">
      <alignment vertical="center"/>
    </xf>
    <xf numFmtId="3" fontId="33" fillId="0" borderId="0" xfId="8" applyNumberFormat="1" applyFont="1" applyBorder="1" applyAlignment="1">
      <alignment vertical="center"/>
    </xf>
    <xf numFmtId="3" fontId="33" fillId="0" borderId="0" xfId="11" applyNumberFormat="1" applyFont="1" applyAlignment="1">
      <alignment horizontal="center" vertical="center" wrapText="1"/>
    </xf>
    <xf numFmtId="49" fontId="33" fillId="0" borderId="0" xfId="11" applyNumberFormat="1" applyFont="1" applyAlignment="1">
      <alignment horizontal="left" vertical="center" wrapText="1"/>
    </xf>
    <xf numFmtId="49" fontId="22" fillId="0" borderId="0" xfId="11" applyNumberFormat="1" applyFont="1" applyAlignment="1">
      <alignment horizontal="left" vertical="center" wrapText="1"/>
    </xf>
    <xf numFmtId="166" fontId="22" fillId="0" borderId="0" xfId="1" applyNumberFormat="1" applyFont="1" applyBorder="1" applyAlignment="1">
      <alignment vertical="center"/>
    </xf>
    <xf numFmtId="166" fontId="33" fillId="0" borderId="0" xfId="1" applyNumberFormat="1" applyFont="1" applyAlignment="1">
      <alignment vertical="center"/>
    </xf>
    <xf numFmtId="0" fontId="33" fillId="0" borderId="0" xfId="11" applyFont="1" applyAlignment="1">
      <alignment vertical="center"/>
    </xf>
    <xf numFmtId="0" fontId="13" fillId="0" borderId="0" xfId="11" applyFont="1" applyAlignment="1">
      <alignment vertical="center"/>
    </xf>
    <xf numFmtId="0" fontId="1" fillId="0" borderId="0" xfId="0" applyFont="1"/>
    <xf numFmtId="166" fontId="34" fillId="0" borderId="0" xfId="1" applyNumberFormat="1" applyFont="1" applyAlignment="1">
      <alignment vertical="center"/>
    </xf>
    <xf numFmtId="3" fontId="1" fillId="0" borderId="0" xfId="0" applyNumberFormat="1" applyFont="1"/>
    <xf numFmtId="0" fontId="33" fillId="0" borderId="0" xfId="11" applyFont="1" applyAlignment="1">
      <alignment horizontal="left" vertical="center" indent="1"/>
    </xf>
    <xf numFmtId="4" fontId="22" fillId="0" borderId="0" xfId="8" applyNumberFormat="1" applyFont="1" applyFill="1" applyBorder="1" applyAlignment="1">
      <alignment horizontal="center" vertical="center"/>
    </xf>
    <xf numFmtId="0" fontId="35" fillId="0" borderId="0" xfId="11" applyFont="1" applyAlignment="1">
      <alignment horizontal="center" vertical="center"/>
    </xf>
    <xf numFmtId="164" fontId="35" fillId="0" borderId="0" xfId="8" applyFont="1" applyFill="1" applyBorder="1" applyAlignment="1">
      <alignment horizontal="center" vertical="center"/>
    </xf>
    <xf numFmtId="164" fontId="35" fillId="0" borderId="0" xfId="1" applyFont="1" applyFill="1" applyBorder="1" applyAlignment="1">
      <alignment horizontal="center" vertical="center"/>
    </xf>
    <xf numFmtId="3" fontId="22" fillId="0" borderId="0" xfId="11" applyNumberFormat="1" applyFont="1" applyAlignment="1">
      <alignment horizontal="center" vertical="center"/>
    </xf>
    <xf numFmtId="3" fontId="35" fillId="0" borderId="0" xfId="11" applyNumberFormat="1" applyFont="1" applyAlignment="1">
      <alignment horizontal="center" vertical="center"/>
    </xf>
    <xf numFmtId="49" fontId="36" fillId="0" borderId="0" xfId="11" applyNumberFormat="1" applyFont="1" applyAlignment="1">
      <alignment vertical="center"/>
    </xf>
    <xf numFmtId="49" fontId="37" fillId="0" borderId="0" xfId="11" applyNumberFormat="1" applyFont="1" applyAlignment="1">
      <alignment vertical="center"/>
    </xf>
    <xf numFmtId="4" fontId="13" fillId="0" borderId="0" xfId="8" applyNumberFormat="1" applyFont="1" applyFill="1" applyBorder="1" applyAlignment="1">
      <alignment horizontal="center" vertical="center" wrapText="1"/>
    </xf>
    <xf numFmtId="164" fontId="33" fillId="0" borderId="0" xfId="8" applyFont="1" applyFill="1" applyBorder="1" applyAlignment="1">
      <alignment horizontal="center" vertical="center"/>
    </xf>
    <xf numFmtId="166" fontId="33" fillId="0" borderId="0" xfId="8" applyNumberFormat="1" applyFont="1" applyFill="1" applyBorder="1" applyAlignment="1">
      <alignment vertical="center"/>
    </xf>
    <xf numFmtId="2" fontId="13" fillId="0" borderId="0" xfId="8" applyNumberFormat="1" applyFont="1" applyFill="1" applyBorder="1" applyAlignment="1">
      <alignment horizontal="center" wrapText="1"/>
    </xf>
    <xf numFmtId="3" fontId="13" fillId="0" borderId="0" xfId="8" applyNumberFormat="1" applyFont="1" applyFill="1" applyBorder="1" applyAlignment="1">
      <alignment vertical="center"/>
    </xf>
    <xf numFmtId="3" fontId="33" fillId="0" borderId="0" xfId="8" applyNumberFormat="1" applyFont="1" applyFill="1" applyBorder="1" applyAlignment="1">
      <alignment vertical="center"/>
    </xf>
    <xf numFmtId="49" fontId="13" fillId="0" borderId="37" xfId="11" applyNumberFormat="1" applyFont="1" applyBorder="1" applyAlignment="1">
      <alignment vertical="center" wrapText="1"/>
    </xf>
    <xf numFmtId="4" fontId="13" fillId="0" borderId="37" xfId="8" applyNumberFormat="1" applyFont="1" applyFill="1" applyBorder="1" applyAlignment="1">
      <alignment horizontal="center" vertical="center" wrapText="1"/>
    </xf>
    <xf numFmtId="0" fontId="33" fillId="0" borderId="37" xfId="11" applyFont="1" applyBorder="1" applyAlignment="1">
      <alignment horizontal="center" vertical="center" wrapText="1"/>
    </xf>
    <xf numFmtId="164" fontId="33" fillId="0" borderId="37" xfId="8" applyFont="1" applyFill="1" applyBorder="1" applyAlignment="1">
      <alignment horizontal="center" vertical="center"/>
    </xf>
    <xf numFmtId="166" fontId="33" fillId="0" borderId="37" xfId="8" applyNumberFormat="1" applyFont="1" applyFill="1" applyBorder="1" applyAlignment="1">
      <alignment vertical="center"/>
    </xf>
    <xf numFmtId="2" fontId="33" fillId="0" borderId="37" xfId="11" applyNumberFormat="1" applyFont="1" applyBorder="1" applyAlignment="1">
      <alignment horizontal="center" vertical="center" wrapText="1"/>
    </xf>
    <xf numFmtId="2" fontId="13" fillId="0" borderId="37" xfId="8" applyNumberFormat="1" applyFont="1" applyFill="1" applyBorder="1" applyAlignment="1">
      <alignment horizontal="center" wrapText="1"/>
    </xf>
    <xf numFmtId="3" fontId="13" fillId="0" borderId="37" xfId="8" applyNumberFormat="1" applyFont="1" applyFill="1" applyBorder="1" applyAlignment="1">
      <alignment vertical="center"/>
    </xf>
    <xf numFmtId="3" fontId="33" fillId="0" borderId="37" xfId="8" applyNumberFormat="1" applyFont="1" applyFill="1" applyBorder="1" applyAlignment="1">
      <alignment vertical="center"/>
    </xf>
    <xf numFmtId="3" fontId="33" fillId="0" borderId="37" xfId="11" applyNumberFormat="1" applyFont="1" applyBorder="1" applyAlignment="1">
      <alignment horizontal="center" vertical="center" wrapText="1"/>
    </xf>
    <xf numFmtId="49" fontId="33" fillId="0" borderId="37" xfId="11" applyNumberFormat="1" applyFont="1" applyBorder="1" applyAlignment="1">
      <alignment horizontal="left" vertical="center" wrapText="1"/>
    </xf>
    <xf numFmtId="49" fontId="36" fillId="0" borderId="37" xfId="11" applyNumberFormat="1" applyFont="1" applyBorder="1" applyAlignment="1">
      <alignment vertical="center"/>
    </xf>
    <xf numFmtId="49" fontId="13" fillId="0" borderId="0" xfId="11" applyNumberFormat="1" applyFont="1" applyAlignment="1">
      <alignment horizontal="left" vertical="center"/>
    </xf>
    <xf numFmtId="49" fontId="21" fillId="0" borderId="0" xfId="11" applyNumberFormat="1" applyFont="1" applyAlignment="1">
      <alignment vertical="center"/>
    </xf>
    <xf numFmtId="3" fontId="35" fillId="0" borderId="0" xfId="11" applyNumberFormat="1" applyFont="1" applyAlignment="1" applyProtection="1">
      <alignment horizontal="center" vertical="center" wrapText="1"/>
      <protection locked="0"/>
    </xf>
    <xf numFmtId="9" fontId="33" fillId="0" borderId="0" xfId="11" applyNumberFormat="1" applyFont="1" applyAlignment="1">
      <alignment horizontal="center" vertical="center" wrapText="1"/>
    </xf>
    <xf numFmtId="2" fontId="21" fillId="0" borderId="0" xfId="8" applyNumberFormat="1" applyFont="1" applyFill="1" applyBorder="1" applyAlignment="1">
      <alignment horizontal="center" vertical="center" wrapText="1"/>
    </xf>
    <xf numFmtId="169" fontId="35" fillId="0" borderId="0" xfId="11" applyNumberFormat="1" applyFont="1" applyAlignment="1">
      <alignment horizontal="center" vertical="center" wrapText="1"/>
    </xf>
    <xf numFmtId="49" fontId="21" fillId="3" borderId="11" xfId="11" applyNumberFormat="1" applyFont="1" applyFill="1" applyBorder="1" applyAlignment="1">
      <alignment vertical="center"/>
    </xf>
    <xf numFmtId="3" fontId="35" fillId="0" borderId="11" xfId="11" applyNumberFormat="1" applyFont="1" applyBorder="1" applyAlignment="1" applyProtection="1">
      <alignment horizontal="center" vertical="center" wrapText="1"/>
      <protection locked="0"/>
    </xf>
    <xf numFmtId="0" fontId="33" fillId="0" borderId="11" xfId="11" applyFont="1" applyBorder="1" applyAlignment="1">
      <alignment horizontal="center" vertical="center" wrapText="1"/>
    </xf>
    <xf numFmtId="9" fontId="33" fillId="0" borderId="11" xfId="11" applyNumberFormat="1" applyFont="1" applyBorder="1" applyAlignment="1">
      <alignment horizontal="center" vertical="center" wrapText="1"/>
    </xf>
    <xf numFmtId="2" fontId="33" fillId="0" borderId="11" xfId="11" applyNumberFormat="1" applyFont="1" applyBorder="1" applyAlignment="1">
      <alignment horizontal="center" vertical="center" wrapText="1"/>
    </xf>
    <xf numFmtId="2" fontId="21" fillId="0" borderId="11" xfId="8" applyNumberFormat="1" applyFont="1" applyBorder="1" applyAlignment="1">
      <alignment horizontal="center" vertical="center" wrapText="1"/>
    </xf>
    <xf numFmtId="169" fontId="35" fillId="0" borderId="11" xfId="11" applyNumberFormat="1" applyFont="1" applyBorder="1" applyAlignment="1">
      <alignment horizontal="center" vertical="center" wrapText="1"/>
    </xf>
    <xf numFmtId="49" fontId="22" fillId="0" borderId="11" xfId="11" applyNumberFormat="1" applyFont="1" applyBorder="1" applyAlignment="1">
      <alignment horizontal="left" vertical="center" wrapText="1"/>
    </xf>
    <xf numFmtId="49" fontId="21" fillId="0" borderId="10" xfId="11" applyNumberFormat="1" applyFont="1" applyBorder="1" applyAlignment="1">
      <alignment vertical="center"/>
    </xf>
    <xf numFmtId="3" fontId="33" fillId="8" borderId="10" xfId="8" applyNumberFormat="1" applyFont="1" applyFill="1" applyBorder="1" applyAlignment="1">
      <alignment horizontal="right" vertical="center"/>
    </xf>
    <xf numFmtId="164" fontId="33" fillId="8" borderId="10" xfId="11" applyNumberFormat="1" applyFont="1" applyFill="1" applyBorder="1" applyAlignment="1">
      <alignment horizontal="center" vertical="center" wrapText="1"/>
    </xf>
    <xf numFmtId="4" fontId="33" fillId="0" borderId="10" xfId="8" applyNumberFormat="1" applyFont="1" applyFill="1" applyBorder="1" applyAlignment="1">
      <alignment horizontal="right" vertical="center"/>
    </xf>
    <xf numFmtId="39" fontId="33" fillId="0" borderId="10" xfId="8" applyNumberFormat="1" applyFont="1" applyFill="1" applyBorder="1" applyAlignment="1">
      <alignment horizontal="right" vertical="center"/>
    </xf>
    <xf numFmtId="9" fontId="33" fillId="0" borderId="10" xfId="11" applyNumberFormat="1" applyFont="1" applyBorder="1" applyAlignment="1">
      <alignment horizontal="center" vertical="center" wrapText="1"/>
    </xf>
    <xf numFmtId="2" fontId="33" fillId="0" borderId="10" xfId="11" applyNumberFormat="1" applyFont="1" applyBorder="1" applyAlignment="1">
      <alignment horizontal="center" vertical="center" wrapText="1"/>
    </xf>
    <xf numFmtId="164" fontId="15" fillId="0" borderId="10" xfId="8" applyFont="1" applyFill="1" applyBorder="1" applyProtection="1"/>
    <xf numFmtId="3" fontId="33" fillId="0" borderId="10" xfId="8" applyNumberFormat="1" applyFont="1" applyFill="1" applyBorder="1" applyAlignment="1">
      <alignment horizontal="center" vertical="center"/>
    </xf>
    <xf numFmtId="3" fontId="33" fillId="0" borderId="10" xfId="11" applyNumberFormat="1" applyFont="1" applyBorder="1" applyAlignment="1">
      <alignment horizontal="center" vertical="center" wrapText="1"/>
    </xf>
    <xf numFmtId="49" fontId="33" fillId="0" borderId="10" xfId="11" applyNumberFormat="1" applyFont="1" applyBorder="1" applyAlignment="1">
      <alignment horizontal="left" vertical="center" wrapText="1"/>
    </xf>
    <xf numFmtId="3" fontId="33" fillId="0" borderId="10" xfId="11" applyNumberFormat="1" applyFont="1" applyBorder="1" applyAlignment="1" applyProtection="1">
      <alignment horizontal="center" vertical="center" wrapText="1"/>
      <protection locked="0"/>
    </xf>
    <xf numFmtId="49" fontId="13" fillId="0" borderId="10" xfId="11" applyNumberFormat="1" applyFont="1" applyBorder="1" applyAlignment="1">
      <alignment horizontal="left" vertical="center" wrapText="1"/>
    </xf>
    <xf numFmtId="49" fontId="21" fillId="3" borderId="10" xfId="11" applyNumberFormat="1" applyFont="1" applyFill="1" applyBorder="1" applyAlignment="1">
      <alignment vertical="center"/>
    </xf>
    <xf numFmtId="4" fontId="33" fillId="0" borderId="10" xfId="8" applyNumberFormat="1" applyFont="1" applyBorder="1" applyAlignment="1">
      <alignment horizontal="right" vertical="center"/>
    </xf>
    <xf numFmtId="39" fontId="33" fillId="0" borderId="10" xfId="8" applyNumberFormat="1" applyFont="1" applyBorder="1" applyAlignment="1">
      <alignment horizontal="right" vertical="center"/>
    </xf>
    <xf numFmtId="3" fontId="33" fillId="0" borderId="10" xfId="8" applyNumberFormat="1" applyFont="1" applyBorder="1" applyAlignment="1">
      <alignment horizontal="center" vertical="center"/>
    </xf>
    <xf numFmtId="49" fontId="15" fillId="8" borderId="0" xfId="11" applyNumberFormat="1" applyFont="1" applyFill="1" applyAlignment="1">
      <alignment horizontal="center" vertical="center"/>
    </xf>
    <xf numFmtId="49" fontId="13" fillId="8" borderId="0" xfId="11" applyNumberFormat="1" applyFont="1" applyFill="1" applyAlignment="1">
      <alignment horizontal="left" vertical="center"/>
    </xf>
    <xf numFmtId="49" fontId="21" fillId="8" borderId="10" xfId="11" applyNumberFormat="1" applyFont="1" applyFill="1" applyBorder="1" applyAlignment="1">
      <alignment vertical="center"/>
    </xf>
    <xf numFmtId="4" fontId="33" fillId="8" borderId="10" xfId="8" applyNumberFormat="1" applyFont="1" applyFill="1" applyBorder="1" applyAlignment="1">
      <alignment horizontal="right" vertical="center"/>
    </xf>
    <xf numFmtId="39" fontId="33" fillId="8" borderId="10" xfId="8" applyNumberFormat="1" applyFont="1" applyFill="1" applyBorder="1" applyAlignment="1">
      <alignment horizontal="right" vertical="center"/>
    </xf>
    <xf numFmtId="9" fontId="33" fillId="8" borderId="10" xfId="11" applyNumberFormat="1" applyFont="1" applyFill="1" applyBorder="1" applyAlignment="1">
      <alignment horizontal="center" vertical="center" wrapText="1"/>
    </xf>
    <xf numFmtId="2" fontId="33" fillId="8" borderId="10" xfId="11" applyNumberFormat="1" applyFont="1" applyFill="1" applyBorder="1" applyAlignment="1">
      <alignment horizontal="center" vertical="center" wrapText="1"/>
    </xf>
    <xf numFmtId="164" fontId="15" fillId="8" borderId="10" xfId="8" applyFont="1" applyFill="1" applyBorder="1" applyProtection="1"/>
    <xf numFmtId="3" fontId="33" fillId="8" borderId="10" xfId="8" applyNumberFormat="1" applyFont="1" applyFill="1" applyBorder="1" applyAlignment="1">
      <alignment horizontal="center" vertical="center"/>
    </xf>
    <xf numFmtId="3" fontId="33" fillId="8" borderId="10" xfId="11" applyNumberFormat="1" applyFont="1" applyFill="1" applyBorder="1" applyAlignment="1">
      <alignment horizontal="center" vertical="center" wrapText="1"/>
    </xf>
    <xf numFmtId="49" fontId="33" fillId="8" borderId="10" xfId="11" applyNumberFormat="1" applyFont="1" applyFill="1" applyBorder="1" applyAlignment="1">
      <alignment horizontal="left" vertical="center" wrapText="1"/>
    </xf>
    <xf numFmtId="3" fontId="33" fillId="8" borderId="10" xfId="11" applyNumberFormat="1" applyFont="1" applyFill="1" applyBorder="1" applyAlignment="1" applyProtection="1">
      <alignment horizontal="center" vertical="center" wrapText="1"/>
      <protection locked="0"/>
    </xf>
    <xf numFmtId="49" fontId="13" fillId="8" borderId="10" xfId="11" applyNumberFormat="1" applyFont="1" applyFill="1" applyBorder="1" applyAlignment="1">
      <alignment horizontal="left" vertical="center" wrapText="1"/>
    </xf>
    <xf numFmtId="4" fontId="21" fillId="8" borderId="10" xfId="8" applyNumberFormat="1" applyFont="1" applyFill="1" applyBorder="1" applyAlignment="1">
      <alignment horizontal="right" vertical="center"/>
    </xf>
    <xf numFmtId="0" fontId="33" fillId="8" borderId="10" xfId="11" applyFont="1" applyFill="1" applyBorder="1" applyAlignment="1">
      <alignment horizontal="center" vertical="center" wrapText="1"/>
    </xf>
    <xf numFmtId="2" fontId="21" fillId="8" borderId="10" xfId="8" applyNumberFormat="1" applyFont="1" applyFill="1" applyBorder="1" applyAlignment="1">
      <alignment horizontal="center" vertical="center" wrapText="1"/>
    </xf>
    <xf numFmtId="3" fontId="21" fillId="8" borderId="10" xfId="8" applyNumberFormat="1" applyFont="1" applyFill="1" applyBorder="1" applyAlignment="1">
      <alignment horizontal="center" vertical="center"/>
    </xf>
    <xf numFmtId="49" fontId="22" fillId="8" borderId="10" xfId="11" applyNumberFormat="1" applyFont="1" applyFill="1" applyBorder="1" applyAlignment="1">
      <alignment horizontal="left" vertical="center"/>
    </xf>
    <xf numFmtId="49" fontId="21" fillId="9" borderId="10" xfId="11" applyNumberFormat="1" applyFont="1" applyFill="1" applyBorder="1" applyAlignment="1">
      <alignment vertical="center"/>
    </xf>
    <xf numFmtId="4" fontId="21" fillId="9" borderId="10" xfId="8" applyNumberFormat="1" applyFont="1" applyFill="1" applyBorder="1" applyAlignment="1">
      <alignment horizontal="right" vertical="center"/>
    </xf>
    <xf numFmtId="0" fontId="33" fillId="9" borderId="10" xfId="11" applyFont="1" applyFill="1" applyBorder="1" applyAlignment="1">
      <alignment horizontal="center" vertical="center" wrapText="1"/>
    </xf>
    <xf numFmtId="4" fontId="33" fillId="9" borderId="10" xfId="8" applyNumberFormat="1" applyFont="1" applyFill="1" applyBorder="1" applyAlignment="1">
      <alignment horizontal="right" vertical="center"/>
    </xf>
    <xf numFmtId="39" fontId="33" fillId="9" borderId="10" xfId="8" applyNumberFormat="1" applyFont="1" applyFill="1" applyBorder="1" applyAlignment="1">
      <alignment horizontal="right" vertical="center"/>
    </xf>
    <xf numFmtId="9" fontId="33" fillId="9" borderId="10" xfId="11" applyNumberFormat="1" applyFont="1" applyFill="1" applyBorder="1" applyAlignment="1">
      <alignment horizontal="center" vertical="center" wrapText="1"/>
    </xf>
    <xf numFmtId="2" fontId="33" fillId="9" borderId="10" xfId="11" applyNumberFormat="1" applyFont="1" applyFill="1" applyBorder="1" applyAlignment="1">
      <alignment horizontal="center" vertical="center" wrapText="1"/>
    </xf>
    <xf numFmtId="2" fontId="21" fillId="9" borderId="10" xfId="8" applyNumberFormat="1" applyFont="1" applyFill="1" applyBorder="1" applyAlignment="1">
      <alignment horizontal="center" vertical="center" wrapText="1"/>
    </xf>
    <xf numFmtId="3" fontId="21" fillId="9" borderId="10" xfId="8" applyNumberFormat="1" applyFont="1" applyFill="1" applyBorder="1" applyAlignment="1">
      <alignment horizontal="center" vertical="center"/>
    </xf>
    <xf numFmtId="3" fontId="33" fillId="9" borderId="10" xfId="8" applyNumberFormat="1" applyFont="1" applyFill="1" applyBorder="1" applyAlignment="1">
      <alignment horizontal="center" vertical="center"/>
    </xf>
    <xf numFmtId="3" fontId="33" fillId="9" borderId="10" xfId="11" applyNumberFormat="1" applyFont="1" applyFill="1" applyBorder="1" applyAlignment="1">
      <alignment horizontal="center" vertical="center" wrapText="1"/>
    </xf>
    <xf numFmtId="49" fontId="33" fillId="9" borderId="10" xfId="11" applyNumberFormat="1" applyFont="1" applyFill="1" applyBorder="1" applyAlignment="1">
      <alignment horizontal="left" vertical="center" wrapText="1"/>
    </xf>
    <xf numFmtId="3" fontId="33" fillId="9" borderId="10" xfId="11" applyNumberFormat="1" applyFont="1" applyFill="1" applyBorder="1" applyAlignment="1" applyProtection="1">
      <alignment horizontal="center" vertical="center" wrapText="1"/>
      <protection locked="0"/>
    </xf>
    <xf numFmtId="49" fontId="22" fillId="9" borderId="10" xfId="11" applyNumberFormat="1" applyFont="1" applyFill="1" applyBorder="1" applyAlignment="1">
      <alignment horizontal="left" vertical="center"/>
    </xf>
    <xf numFmtId="4" fontId="21" fillId="0" borderId="10" xfId="8" applyNumberFormat="1" applyFont="1" applyBorder="1" applyAlignment="1">
      <alignment horizontal="right" vertical="center"/>
    </xf>
    <xf numFmtId="0" fontId="33" fillId="0" borderId="10" xfId="11" applyFont="1" applyBorder="1" applyAlignment="1">
      <alignment horizontal="center" vertical="center" wrapText="1"/>
    </xf>
    <xf numFmtId="2" fontId="21" fillId="0" borderId="10" xfId="8" applyNumberFormat="1" applyFont="1" applyBorder="1" applyAlignment="1">
      <alignment horizontal="center" vertical="center" wrapText="1"/>
    </xf>
    <xf numFmtId="3" fontId="21" fillId="0" borderId="10" xfId="8" applyNumberFormat="1" applyFont="1" applyBorder="1" applyAlignment="1">
      <alignment horizontal="center" vertical="center"/>
    </xf>
    <xf numFmtId="49" fontId="22" fillId="0" borderId="10" xfId="11" applyNumberFormat="1" applyFont="1" applyBorder="1" applyAlignment="1">
      <alignment horizontal="left" vertical="center" wrapText="1"/>
    </xf>
    <xf numFmtId="3" fontId="35" fillId="0" borderId="10" xfId="8" applyNumberFormat="1" applyFont="1" applyBorder="1" applyAlignment="1" applyProtection="1">
      <alignment horizontal="right" vertical="center" wrapText="1"/>
      <protection locked="0"/>
    </xf>
    <xf numFmtId="3" fontId="35" fillId="0" borderId="10" xfId="8" applyNumberFormat="1" applyFont="1" applyBorder="1" applyAlignment="1" applyProtection="1">
      <alignment horizontal="center" vertical="center" wrapText="1"/>
      <protection locked="0"/>
    </xf>
    <xf numFmtId="166" fontId="35" fillId="0" borderId="10" xfId="8" applyNumberFormat="1" applyFont="1" applyBorder="1" applyAlignment="1" applyProtection="1">
      <alignment horizontal="center" vertical="center" wrapText="1"/>
      <protection locked="0"/>
    </xf>
    <xf numFmtId="0" fontId="33" fillId="0" borderId="10" xfId="11" applyFont="1" applyBorder="1" applyAlignment="1">
      <alignment horizontal="right" vertical="center" wrapText="1"/>
    </xf>
    <xf numFmtId="3" fontId="33" fillId="0" borderId="10" xfId="8" applyNumberFormat="1" applyFont="1" applyBorder="1" applyAlignment="1">
      <alignment horizontal="right" vertical="center"/>
    </xf>
    <xf numFmtId="164" fontId="33" fillId="0" borderId="10" xfId="11" applyNumberFormat="1" applyFont="1" applyBorder="1" applyAlignment="1">
      <alignment horizontal="center" vertical="center" wrapText="1"/>
    </xf>
    <xf numFmtId="3" fontId="33" fillId="0" borderId="10" xfId="8" applyNumberFormat="1" applyFont="1" applyFill="1" applyBorder="1" applyAlignment="1">
      <alignment horizontal="right" vertical="center"/>
    </xf>
    <xf numFmtId="49" fontId="22" fillId="9" borderId="10" xfId="11" applyNumberFormat="1" applyFont="1" applyFill="1" applyBorder="1" applyAlignment="1">
      <alignment horizontal="left" vertical="center" wrapText="1"/>
    </xf>
    <xf numFmtId="4" fontId="26" fillId="0" borderId="10" xfId="8" applyNumberFormat="1" applyFont="1" applyFill="1" applyBorder="1" applyAlignment="1">
      <alignment horizontal="right" vertical="center"/>
    </xf>
    <xf numFmtId="0" fontId="35" fillId="0" borderId="10" xfId="11" applyFont="1" applyBorder="1" applyAlignment="1">
      <alignment horizontal="center" vertical="center" wrapText="1"/>
    </xf>
    <xf numFmtId="4" fontId="35" fillId="0" borderId="10" xfId="8" applyNumberFormat="1" applyFont="1" applyFill="1" applyBorder="1" applyAlignment="1">
      <alignment horizontal="right" vertical="center"/>
    </xf>
    <xf numFmtId="39" fontId="35" fillId="0" borderId="10" xfId="8" applyNumberFormat="1" applyFont="1" applyFill="1" applyBorder="1" applyAlignment="1">
      <alignment horizontal="right" vertical="center"/>
    </xf>
    <xf numFmtId="9" fontId="35" fillId="0" borderId="10" xfId="11" applyNumberFormat="1" applyFont="1" applyBorder="1" applyAlignment="1">
      <alignment horizontal="center" vertical="center" wrapText="1"/>
    </xf>
    <xf numFmtId="2" fontId="35" fillId="0" borderId="10" xfId="11" applyNumberFormat="1" applyFont="1" applyBorder="1" applyAlignment="1">
      <alignment horizontal="center" vertical="center" wrapText="1"/>
    </xf>
    <xf numFmtId="2" fontId="26" fillId="0" borderId="10" xfId="8" applyNumberFormat="1" applyFont="1" applyFill="1" applyBorder="1" applyAlignment="1">
      <alignment horizontal="center" vertical="center" wrapText="1"/>
    </xf>
    <xf numFmtId="3" fontId="26" fillId="0" borderId="10" xfId="8" applyNumberFormat="1" applyFont="1" applyFill="1" applyBorder="1" applyAlignment="1">
      <alignment horizontal="center" vertical="center"/>
    </xf>
    <xf numFmtId="3" fontId="35" fillId="0" borderId="10" xfId="8" applyNumberFormat="1" applyFont="1" applyFill="1" applyBorder="1" applyAlignment="1">
      <alignment horizontal="center" vertical="center"/>
    </xf>
    <xf numFmtId="3" fontId="35" fillId="0" borderId="10" xfId="11" applyNumberFormat="1" applyFont="1" applyBorder="1" applyAlignment="1">
      <alignment horizontal="center" vertical="center" wrapText="1"/>
    </xf>
    <xf numFmtId="49" fontId="35" fillId="0" borderId="10" xfId="11" applyNumberFormat="1" applyFont="1" applyBorder="1" applyAlignment="1">
      <alignment horizontal="left" vertical="center" wrapText="1"/>
    </xf>
    <xf numFmtId="3" fontId="35" fillId="0" borderId="10" xfId="11" applyNumberFormat="1" applyFont="1" applyBorder="1" applyAlignment="1" applyProtection="1">
      <alignment horizontal="center" vertical="center" wrapText="1"/>
      <protection locked="0"/>
    </xf>
    <xf numFmtId="4" fontId="26" fillId="9" borderId="10" xfId="8" applyNumberFormat="1" applyFont="1" applyFill="1" applyBorder="1" applyAlignment="1">
      <alignment horizontal="right" vertical="center"/>
    </xf>
    <xf numFmtId="0" fontId="35" fillId="9" borderId="10" xfId="11" applyFont="1" applyFill="1" applyBorder="1" applyAlignment="1">
      <alignment horizontal="center" vertical="center" wrapText="1"/>
    </xf>
    <xf numFmtId="4" fontId="35" fillId="9" borderId="10" xfId="8" applyNumberFormat="1" applyFont="1" applyFill="1" applyBorder="1" applyAlignment="1">
      <alignment horizontal="right" vertical="center"/>
    </xf>
    <xf numFmtId="39" fontId="35" fillId="9" borderId="10" xfId="8" applyNumberFormat="1" applyFont="1" applyFill="1" applyBorder="1" applyAlignment="1">
      <alignment horizontal="right" vertical="center"/>
    </xf>
    <xf numFmtId="9" fontId="35" fillId="9" borderId="10" xfId="11" applyNumberFormat="1" applyFont="1" applyFill="1" applyBorder="1" applyAlignment="1">
      <alignment horizontal="center" vertical="center" wrapText="1"/>
    </xf>
    <xf numFmtId="2" fontId="35" fillId="9" borderId="10" xfId="11" applyNumberFormat="1" applyFont="1" applyFill="1" applyBorder="1" applyAlignment="1">
      <alignment horizontal="center" vertical="center" wrapText="1"/>
    </xf>
    <xf numFmtId="2" fontId="26" fillId="9" borderId="10" xfId="8" applyNumberFormat="1" applyFont="1" applyFill="1" applyBorder="1" applyAlignment="1">
      <alignment horizontal="center" vertical="center" wrapText="1"/>
    </xf>
    <xf numFmtId="3" fontId="26" fillId="9" borderId="10" xfId="8" applyNumberFormat="1" applyFont="1" applyFill="1" applyBorder="1" applyAlignment="1">
      <alignment horizontal="center" vertical="center"/>
    </xf>
    <xf numFmtId="3" fontId="35" fillId="9" borderId="10" xfId="8" applyNumberFormat="1" applyFont="1" applyFill="1" applyBorder="1" applyAlignment="1">
      <alignment horizontal="center" vertical="center"/>
    </xf>
    <xf numFmtId="3" fontId="35" fillId="9" borderId="10" xfId="11" applyNumberFormat="1" applyFont="1" applyFill="1" applyBorder="1" applyAlignment="1">
      <alignment horizontal="center" vertical="center" wrapText="1"/>
    </xf>
    <xf numFmtId="49" fontId="35" fillId="9" borderId="10" xfId="11" applyNumberFormat="1" applyFont="1" applyFill="1" applyBorder="1" applyAlignment="1">
      <alignment horizontal="left" vertical="center" wrapText="1"/>
    </xf>
    <xf numFmtId="3" fontId="35" fillId="9" borderId="10" xfId="11" applyNumberFormat="1" applyFont="1" applyFill="1" applyBorder="1" applyAlignment="1" applyProtection="1">
      <alignment horizontal="center" vertical="center" wrapText="1"/>
      <protection locked="0"/>
    </xf>
    <xf numFmtId="49" fontId="13" fillId="0" borderId="10" xfId="11" applyNumberFormat="1" applyFont="1" applyBorder="1" applyAlignment="1">
      <alignment vertical="center"/>
    </xf>
    <xf numFmtId="49" fontId="38" fillId="0" borderId="10" xfId="11" applyNumberFormat="1" applyFont="1" applyBorder="1" applyAlignment="1">
      <alignment vertical="center"/>
    </xf>
    <xf numFmtId="49" fontId="21" fillId="9" borderId="10" xfId="11" applyNumberFormat="1" applyFont="1" applyFill="1" applyBorder="1" applyAlignment="1">
      <alignment vertical="center" wrapText="1"/>
    </xf>
    <xf numFmtId="4" fontId="26" fillId="9" borderId="10" xfId="11" applyNumberFormat="1" applyFont="1" applyFill="1" applyBorder="1" applyAlignment="1">
      <alignment horizontal="right" vertical="center" wrapText="1"/>
    </xf>
    <xf numFmtId="0" fontId="35" fillId="9" borderId="10" xfId="8" applyNumberFormat="1" applyFont="1" applyFill="1" applyBorder="1" applyAlignment="1">
      <alignment horizontal="center" wrapText="1"/>
    </xf>
    <xf numFmtId="2" fontId="35" fillId="9" borderId="10" xfId="8" applyNumberFormat="1" applyFont="1" applyFill="1" applyBorder="1" applyAlignment="1">
      <alignment horizontal="center" vertical="center" wrapText="1"/>
    </xf>
    <xf numFmtId="164" fontId="35" fillId="9" borderId="10" xfId="8" applyFont="1" applyFill="1" applyBorder="1" applyAlignment="1">
      <alignment horizontal="right" vertical="center" wrapText="1"/>
    </xf>
    <xf numFmtId="0" fontId="26" fillId="9" borderId="10" xfId="11" applyFont="1" applyFill="1" applyBorder="1" applyAlignment="1">
      <alignment horizontal="center" vertical="center" wrapText="1"/>
    </xf>
    <xf numFmtId="3" fontId="26" fillId="9" borderId="10" xfId="11" applyNumberFormat="1" applyFont="1" applyFill="1" applyBorder="1" applyAlignment="1">
      <alignment horizontal="center" vertical="center" wrapText="1"/>
    </xf>
    <xf numFmtId="49" fontId="39" fillId="10" borderId="43" xfId="11" applyNumberFormat="1" applyFont="1" applyFill="1" applyBorder="1" applyAlignment="1">
      <alignment vertical="center"/>
    </xf>
    <xf numFmtId="3" fontId="35" fillId="10" borderId="43" xfId="11" applyNumberFormat="1" applyFont="1" applyFill="1" applyBorder="1" applyAlignment="1">
      <alignment horizontal="right" vertical="center" wrapText="1"/>
    </xf>
    <xf numFmtId="49" fontId="35" fillId="10" borderId="43" xfId="11" applyNumberFormat="1" applyFont="1" applyFill="1" applyBorder="1" applyAlignment="1">
      <alignment horizontal="right" vertical="center" wrapText="1"/>
    </xf>
    <xf numFmtId="49" fontId="33" fillId="10" borderId="43" xfId="11" applyNumberFormat="1" applyFont="1" applyFill="1" applyBorder="1" applyAlignment="1">
      <alignment horizontal="right" vertical="center" wrapText="1"/>
    </xf>
    <xf numFmtId="49" fontId="21" fillId="10" borderId="43" xfId="11" applyNumberFormat="1" applyFont="1" applyFill="1" applyBorder="1" applyAlignment="1">
      <alignment horizontal="right" vertical="center" wrapText="1"/>
    </xf>
    <xf numFmtId="49" fontId="22" fillId="10" borderId="43" xfId="11" applyNumberFormat="1" applyFont="1" applyFill="1" applyBorder="1" applyAlignment="1">
      <alignment horizontal="left" vertical="center" wrapText="1"/>
    </xf>
    <xf numFmtId="49" fontId="21" fillId="0" borderId="0" xfId="11" applyNumberFormat="1" applyFont="1" applyAlignment="1">
      <alignment horizontal="left" vertical="center"/>
    </xf>
    <xf numFmtId="49" fontId="15" fillId="0" borderId="38" xfId="11" applyNumberFormat="1" applyFont="1" applyBorder="1" applyAlignment="1">
      <alignment horizontal="center" vertical="center" wrapText="1"/>
    </xf>
    <xf numFmtId="49" fontId="13" fillId="0" borderId="38" xfId="11" applyNumberFormat="1" applyFont="1" applyBorder="1" applyAlignment="1">
      <alignment horizontal="center" vertical="center" wrapText="1"/>
    </xf>
    <xf numFmtId="49" fontId="33" fillId="0" borderId="38" xfId="11" applyNumberFormat="1" applyFont="1" applyBorder="1" applyAlignment="1">
      <alignment horizontal="center" vertical="center" wrapText="1"/>
    </xf>
    <xf numFmtId="3" fontId="13" fillId="0" borderId="38" xfId="11" applyNumberFormat="1" applyFont="1" applyBorder="1" applyAlignment="1">
      <alignment horizontal="center" vertical="center" wrapText="1"/>
    </xf>
    <xf numFmtId="3" fontId="33" fillId="0" borderId="38" xfId="11" applyNumberFormat="1" applyFont="1" applyBorder="1" applyAlignment="1">
      <alignment horizontal="center" vertical="center" wrapText="1"/>
    </xf>
    <xf numFmtId="166" fontId="35" fillId="0" borderId="25" xfId="1" applyNumberFormat="1" applyFont="1" applyBorder="1" applyAlignment="1">
      <alignment horizontal="center" wrapText="1"/>
    </xf>
    <xf numFmtId="166" fontId="35" fillId="0" borderId="25" xfId="1" applyNumberFormat="1" applyFont="1" applyBorder="1" applyAlignment="1">
      <alignment horizontal="center" vertical="center" wrapText="1"/>
    </xf>
    <xf numFmtId="0" fontId="35" fillId="0" borderId="24" xfId="11" applyFont="1" applyBorder="1" applyAlignment="1">
      <alignment horizontal="center" vertical="center" wrapText="1"/>
    </xf>
    <xf numFmtId="3" fontId="22" fillId="0" borderId="24" xfId="11" applyNumberFormat="1" applyFont="1" applyBorder="1" applyAlignment="1">
      <alignment horizontal="center" vertical="center" wrapText="1"/>
    </xf>
    <xf numFmtId="3" fontId="35" fillId="0" borderId="24" xfId="11" applyNumberFormat="1" applyFont="1" applyBorder="1" applyAlignment="1">
      <alignment horizontal="center" vertical="center" wrapText="1"/>
    </xf>
    <xf numFmtId="166" fontId="33" fillId="0" borderId="0" xfId="1" applyNumberFormat="1" applyFont="1" applyBorder="1" applyAlignment="1">
      <alignment vertical="center"/>
    </xf>
    <xf numFmtId="0" fontId="35" fillId="0" borderId="13" xfId="11" applyFont="1" applyBorder="1" applyAlignment="1">
      <alignment horizontal="left" vertical="center" indent="5"/>
    </xf>
    <xf numFmtId="0" fontId="35" fillId="0" borderId="14" xfId="11" applyFont="1" applyBorder="1" applyAlignment="1">
      <alignment horizontal="center" vertical="center"/>
    </xf>
    <xf numFmtId="2" fontId="35" fillId="0" borderId="0" xfId="11" applyNumberFormat="1" applyFont="1" applyAlignment="1">
      <alignment horizontal="center" vertical="center"/>
    </xf>
    <xf numFmtId="0" fontId="35" fillId="0" borderId="0" xfId="11" applyFont="1" applyAlignment="1">
      <alignment horizontal="left" indent="3"/>
    </xf>
    <xf numFmtId="0" fontId="35" fillId="0" borderId="13" xfId="11" applyFont="1" applyBorder="1" applyAlignment="1">
      <alignment horizontal="left" indent="1"/>
    </xf>
    <xf numFmtId="0" fontId="35" fillId="0" borderId="37" xfId="11" applyFont="1" applyBorder="1" applyAlignment="1">
      <alignment horizontal="center" vertical="center"/>
    </xf>
    <xf numFmtId="0" fontId="35" fillId="0" borderId="36" xfId="11" applyFont="1" applyBorder="1" applyAlignment="1">
      <alignment horizontal="left" indent="1"/>
    </xf>
    <xf numFmtId="166" fontId="33" fillId="0" borderId="21" xfId="1" applyNumberFormat="1" applyFont="1" applyBorder="1" applyAlignment="1">
      <alignment vertical="center"/>
    </xf>
    <xf numFmtId="3" fontId="22" fillId="0" borderId="37" xfId="11" applyNumberFormat="1" applyFont="1" applyBorder="1" applyAlignment="1">
      <alignment horizontal="center" vertical="center"/>
    </xf>
    <xf numFmtId="3" fontId="35" fillId="0" borderId="37" xfId="11" applyNumberFormat="1" applyFont="1" applyBorder="1" applyAlignment="1">
      <alignment horizontal="center" vertical="center"/>
    </xf>
    <xf numFmtId="49" fontId="22" fillId="11" borderId="10" xfId="11" applyNumberFormat="1" applyFont="1" applyFill="1" applyBorder="1" applyAlignment="1">
      <alignment horizontal="left" vertical="center" wrapText="1"/>
    </xf>
    <xf numFmtId="3" fontId="33" fillId="11" borderId="10" xfId="11" applyNumberFormat="1" applyFont="1" applyFill="1" applyBorder="1" applyAlignment="1" applyProtection="1">
      <alignment horizontal="center" vertical="center" wrapText="1"/>
      <protection locked="0"/>
    </xf>
    <xf numFmtId="3" fontId="33" fillId="11" borderId="10" xfId="11" applyNumberFormat="1" applyFont="1" applyFill="1" applyBorder="1" applyAlignment="1">
      <alignment horizontal="center" vertical="center" wrapText="1"/>
    </xf>
    <xf numFmtId="49" fontId="33" fillId="11" borderId="10" xfId="11" applyNumberFormat="1" applyFont="1" applyFill="1" applyBorder="1" applyAlignment="1">
      <alignment horizontal="left" vertical="center" wrapText="1"/>
    </xf>
    <xf numFmtId="3" fontId="33" fillId="11" borderId="10" xfId="8" applyNumberFormat="1" applyFont="1" applyFill="1" applyBorder="1" applyAlignment="1">
      <alignment horizontal="center" vertical="center"/>
    </xf>
    <xf numFmtId="3" fontId="21" fillId="11" borderId="10" xfId="8" applyNumberFormat="1" applyFont="1" applyFill="1" applyBorder="1" applyAlignment="1">
      <alignment horizontal="center" vertical="center"/>
    </xf>
    <xf numFmtId="2" fontId="21" fillId="11" borderId="10" xfId="8" applyNumberFormat="1" applyFont="1" applyFill="1" applyBorder="1" applyAlignment="1">
      <alignment horizontal="center" vertical="center" wrapText="1"/>
    </xf>
    <xf numFmtId="2" fontId="33" fillId="11" borderId="10" xfId="11" applyNumberFormat="1" applyFont="1" applyFill="1" applyBorder="1" applyAlignment="1">
      <alignment horizontal="center" vertical="center" wrapText="1"/>
    </xf>
    <xf numFmtId="9" fontId="33" fillId="11" borderId="10" xfId="11" applyNumberFormat="1" applyFont="1" applyFill="1" applyBorder="1" applyAlignment="1">
      <alignment horizontal="center" vertical="center" wrapText="1"/>
    </xf>
    <xf numFmtId="39" fontId="33" fillId="11" borderId="10" xfId="8" applyNumberFormat="1" applyFont="1" applyFill="1" applyBorder="1" applyAlignment="1">
      <alignment horizontal="right" vertical="center"/>
    </xf>
    <xf numFmtId="4" fontId="33" fillId="11" borderId="10" xfId="8" applyNumberFormat="1" applyFont="1" applyFill="1" applyBorder="1" applyAlignment="1">
      <alignment horizontal="right" vertical="center"/>
    </xf>
    <xf numFmtId="0" fontId="33" fillId="11" borderId="10" xfId="11" applyFont="1" applyFill="1" applyBorder="1" applyAlignment="1">
      <alignment horizontal="center" vertical="center" wrapText="1"/>
    </xf>
    <xf numFmtId="4" fontId="21" fillId="11" borderId="10" xfId="8" applyNumberFormat="1" applyFont="1" applyFill="1" applyBorder="1" applyAlignment="1">
      <alignment horizontal="right" vertical="center"/>
    </xf>
    <xf numFmtId="49" fontId="21" fillId="11" borderId="10" xfId="11" applyNumberFormat="1" applyFont="1" applyFill="1" applyBorder="1" applyAlignment="1">
      <alignment vertical="center"/>
    </xf>
    <xf numFmtId="49" fontId="15" fillId="11" borderId="0" xfId="11" applyNumberFormat="1" applyFont="1" applyFill="1" applyAlignment="1">
      <alignment horizontal="center" vertical="center"/>
    </xf>
    <xf numFmtId="49" fontId="13" fillId="11" borderId="0" xfId="11" applyNumberFormat="1" applyFont="1" applyFill="1" applyAlignment="1">
      <alignment horizontal="left" vertical="center"/>
    </xf>
    <xf numFmtId="49" fontId="13" fillId="11" borderId="10" xfId="11" applyNumberFormat="1" applyFont="1" applyFill="1" applyBorder="1" applyAlignment="1">
      <alignment horizontal="left" vertical="center" wrapText="1"/>
    </xf>
    <xf numFmtId="164" fontId="15" fillId="11" borderId="10" xfId="8" applyFont="1" applyFill="1" applyBorder="1" applyProtection="1"/>
    <xf numFmtId="164" fontId="33" fillId="11" borderId="10" xfId="11" applyNumberFormat="1" applyFont="1" applyFill="1" applyBorder="1" applyAlignment="1">
      <alignment horizontal="center" vertical="center" wrapText="1"/>
    </xf>
    <xf numFmtId="3" fontId="33" fillId="11" borderId="10" xfId="8" applyNumberFormat="1" applyFont="1" applyFill="1" applyBorder="1" applyAlignment="1">
      <alignment horizontal="right" vertical="center"/>
    </xf>
    <xf numFmtId="166" fontId="30" fillId="0" borderId="0" xfId="8" applyNumberFormat="1" applyFont="1" applyFill="1" applyAlignment="1">
      <alignment horizontal="left" vertical="center"/>
    </xf>
    <xf numFmtId="166" fontId="30" fillId="0" borderId="0" xfId="8" applyNumberFormat="1" applyFont="1" applyFill="1" applyAlignment="1">
      <alignment horizontal="left" vertical="center" indent="1"/>
    </xf>
    <xf numFmtId="0" fontId="42" fillId="0" borderId="0" xfId="11" applyFont="1" applyAlignment="1">
      <alignment vertical="center"/>
    </xf>
    <xf numFmtId="166" fontId="42" fillId="0" borderId="0" xfId="8" applyNumberFormat="1" applyFont="1" applyFill="1" applyAlignment="1">
      <alignment horizontal="left" vertical="center"/>
    </xf>
    <xf numFmtId="166" fontId="42" fillId="0" borderId="0" xfId="8" applyNumberFormat="1" applyFont="1" applyFill="1" applyAlignment="1">
      <alignment horizontal="left" vertical="center" indent="1"/>
    </xf>
    <xf numFmtId="0" fontId="43" fillId="0" borderId="0" xfId="11" applyFont="1" applyAlignment="1">
      <alignment vertical="center"/>
    </xf>
    <xf numFmtId="166" fontId="43" fillId="0" borderId="0" xfId="8" applyNumberFormat="1" applyFont="1" applyFill="1" applyAlignment="1">
      <alignment horizontal="left" vertical="center"/>
    </xf>
    <xf numFmtId="166" fontId="43" fillId="0" borderId="0" xfId="8" applyNumberFormat="1" applyFont="1" applyFill="1" applyAlignment="1">
      <alignment horizontal="left" vertical="center" indent="1"/>
    </xf>
    <xf numFmtId="49" fontId="30" fillId="0" borderId="0" xfId="11" applyNumberFormat="1" applyFont="1" applyAlignment="1">
      <alignment horizontal="center" vertical="center"/>
    </xf>
    <xf numFmtId="49" fontId="33" fillId="0" borderId="0" xfId="11" applyNumberFormat="1" applyFont="1" applyAlignment="1">
      <alignment horizontal="left" vertical="center"/>
    </xf>
    <xf numFmtId="166" fontId="33" fillId="0" borderId="10" xfId="8" applyNumberFormat="1" applyFont="1" applyFill="1" applyBorder="1" applyAlignment="1">
      <alignment horizontal="left" vertical="center" wrapText="1"/>
    </xf>
    <xf numFmtId="166" fontId="33" fillId="0" borderId="10" xfId="8" applyNumberFormat="1" applyFont="1" applyFill="1" applyBorder="1" applyAlignment="1">
      <alignment horizontal="left" vertical="center"/>
    </xf>
    <xf numFmtId="9" fontId="33" fillId="0" borderId="10" xfId="10" applyFont="1" applyFill="1" applyBorder="1" applyAlignment="1">
      <alignment horizontal="center" vertical="center" wrapText="1"/>
    </xf>
    <xf numFmtId="164" fontId="33" fillId="0" borderId="10" xfId="8" applyFont="1" applyFill="1" applyBorder="1" applyAlignment="1">
      <alignment horizontal="left" vertical="center" wrapText="1"/>
    </xf>
    <xf numFmtId="164" fontId="30" fillId="0" borderId="10" xfId="8" applyFont="1" applyFill="1" applyBorder="1" applyAlignment="1" applyProtection="1">
      <alignment horizontal="left" vertical="center"/>
    </xf>
    <xf numFmtId="166" fontId="33" fillId="0" borderId="10" xfId="8" applyNumberFormat="1" applyFont="1" applyFill="1" applyBorder="1" applyAlignment="1" applyProtection="1">
      <alignment horizontal="left" vertical="center" wrapText="1"/>
      <protection locked="0"/>
    </xf>
    <xf numFmtId="166" fontId="32" fillId="0" borderId="0" xfId="8" applyNumberFormat="1" applyFont="1" applyFill="1" applyAlignment="1">
      <alignment horizontal="center" vertical="center"/>
    </xf>
    <xf numFmtId="166" fontId="35" fillId="0" borderId="0" xfId="8" applyNumberFormat="1" applyFont="1" applyFill="1" applyAlignment="1">
      <alignment horizontal="left" vertical="center"/>
    </xf>
    <xf numFmtId="166" fontId="35" fillId="0" borderId="10" xfId="8" applyNumberFormat="1" applyFont="1" applyFill="1" applyBorder="1" applyAlignment="1">
      <alignment horizontal="left" vertical="center"/>
    </xf>
    <xf numFmtId="166" fontId="35" fillId="0" borderId="10" xfId="8" applyNumberFormat="1" applyFont="1" applyFill="1" applyBorder="1" applyAlignment="1" applyProtection="1">
      <alignment horizontal="left" vertical="center" wrapText="1"/>
      <protection locked="0"/>
    </xf>
    <xf numFmtId="166" fontId="35" fillId="0" borderId="10" xfId="8" applyNumberFormat="1" applyFont="1" applyFill="1" applyBorder="1" applyAlignment="1">
      <alignment horizontal="left" vertical="center" wrapText="1"/>
    </xf>
    <xf numFmtId="9" fontId="35" fillId="0" borderId="10" xfId="10" applyFont="1" applyFill="1" applyBorder="1" applyAlignment="1">
      <alignment horizontal="center" vertical="center" wrapText="1"/>
    </xf>
    <xf numFmtId="164" fontId="35" fillId="0" borderId="10" xfId="8" applyFont="1" applyFill="1" applyBorder="1" applyAlignment="1">
      <alignment horizontal="left" vertical="center" wrapText="1"/>
    </xf>
    <xf numFmtId="49" fontId="44" fillId="0" borderId="0" xfId="11" applyNumberFormat="1" applyFont="1" applyAlignment="1">
      <alignment horizontal="center" vertical="center"/>
    </xf>
    <xf numFmtId="49" fontId="45" fillId="0" borderId="0" xfId="11" applyNumberFormat="1" applyFont="1" applyAlignment="1">
      <alignment horizontal="left" vertical="center"/>
    </xf>
    <xf numFmtId="166" fontId="44" fillId="0" borderId="43" xfId="8" applyNumberFormat="1" applyFont="1" applyFill="1" applyBorder="1" applyAlignment="1">
      <alignment horizontal="left" vertical="center"/>
    </xf>
    <xf numFmtId="166" fontId="46" fillId="0" borderId="43" xfId="8" applyNumberFormat="1" applyFont="1" applyFill="1" applyBorder="1" applyAlignment="1">
      <alignment horizontal="left" vertical="center" wrapText="1"/>
    </xf>
    <xf numFmtId="166" fontId="45" fillId="0" borderId="43" xfId="8" applyNumberFormat="1" applyFont="1" applyFill="1" applyBorder="1" applyAlignment="1">
      <alignment horizontal="left" vertical="center" wrapText="1"/>
    </xf>
    <xf numFmtId="166" fontId="30" fillId="0" borderId="38" xfId="8" applyNumberFormat="1" applyFont="1" applyFill="1" applyBorder="1" applyAlignment="1">
      <alignment horizontal="left" vertical="center" wrapText="1"/>
    </xf>
    <xf numFmtId="166" fontId="33" fillId="0" borderId="38" xfId="8" applyNumberFormat="1" applyFont="1" applyFill="1" applyBorder="1" applyAlignment="1">
      <alignment horizontal="left" vertical="center" wrapText="1"/>
    </xf>
    <xf numFmtId="0" fontId="30" fillId="0" borderId="0" xfId="11" applyFont="1" applyAlignment="1">
      <alignment horizontal="center" vertical="center"/>
    </xf>
    <xf numFmtId="166" fontId="35" fillId="0" borderId="25" xfId="8" applyNumberFormat="1" applyFont="1" applyFill="1" applyBorder="1" applyAlignment="1">
      <alignment horizontal="center" vertical="center" wrapText="1"/>
    </xf>
    <xf numFmtId="166" fontId="35" fillId="0" borderId="25" xfId="8" applyNumberFormat="1" applyFont="1" applyFill="1" applyBorder="1" applyAlignment="1">
      <alignment horizontal="center" wrapText="1"/>
    </xf>
    <xf numFmtId="166" fontId="35" fillId="0" borderId="24" xfId="8" applyNumberFormat="1" applyFont="1" applyFill="1" applyBorder="1" applyAlignment="1">
      <alignment horizontal="center" vertical="center" wrapText="1"/>
    </xf>
    <xf numFmtId="166" fontId="32" fillId="0" borderId="9" xfId="8" applyNumberFormat="1" applyFont="1" applyFill="1" applyBorder="1" applyAlignment="1">
      <alignment horizontal="left" vertical="center"/>
    </xf>
    <xf numFmtId="166" fontId="35" fillId="0" borderId="0" xfId="8" applyNumberFormat="1" applyFont="1" applyFill="1" applyBorder="1" applyAlignment="1">
      <alignment horizontal="left" vertical="center"/>
    </xf>
    <xf numFmtId="166" fontId="33" fillId="0" borderId="0" xfId="8" applyNumberFormat="1" applyFont="1" applyFill="1" applyBorder="1" applyAlignment="1">
      <alignment horizontal="left" vertical="center"/>
    </xf>
    <xf numFmtId="166" fontId="35" fillId="0" borderId="13" xfId="8" applyNumberFormat="1" applyFont="1" applyFill="1" applyBorder="1" applyAlignment="1">
      <alignment horizontal="left" vertical="center" indent="5"/>
    </xf>
    <xf numFmtId="166" fontId="35" fillId="0" borderId="14" xfId="8" applyNumberFormat="1" applyFont="1" applyFill="1" applyBorder="1" applyAlignment="1">
      <alignment horizontal="left" vertical="center"/>
    </xf>
    <xf numFmtId="166" fontId="35" fillId="0" borderId="0" xfId="8" applyNumberFormat="1" applyFont="1" applyFill="1" applyBorder="1" applyAlignment="1">
      <alignment horizontal="left" vertical="center" indent="1"/>
    </xf>
    <xf numFmtId="166" fontId="35" fillId="0" borderId="8" xfId="8" applyNumberFormat="1" applyFont="1" applyFill="1" applyBorder="1" applyAlignment="1">
      <alignment horizontal="left" vertical="center" indent="5"/>
    </xf>
    <xf numFmtId="166" fontId="35" fillId="0" borderId="0" xfId="8" applyNumberFormat="1" applyFont="1" applyFill="1" applyBorder="1" applyAlignment="1">
      <alignment horizontal="left" indent="3"/>
    </xf>
    <xf numFmtId="166" fontId="35" fillId="0" borderId="13" xfId="8" applyNumberFormat="1" applyFont="1" applyFill="1" applyBorder="1" applyAlignment="1">
      <alignment horizontal="left" indent="1"/>
    </xf>
    <xf numFmtId="166" fontId="33" fillId="0" borderId="0" xfId="8" applyNumberFormat="1" applyFont="1" applyFill="1" applyAlignment="1">
      <alignment horizontal="left" vertical="center"/>
    </xf>
    <xf numFmtId="166" fontId="32" fillId="0" borderId="3" xfId="8" applyNumberFormat="1" applyFont="1" applyFill="1" applyBorder="1" applyAlignment="1">
      <alignment horizontal="left" vertical="center"/>
    </xf>
    <xf numFmtId="166" fontId="35" fillId="0" borderId="37" xfId="8" applyNumberFormat="1" applyFont="1" applyFill="1" applyBorder="1" applyAlignment="1">
      <alignment horizontal="left" vertical="center"/>
    </xf>
    <xf numFmtId="166" fontId="35" fillId="0" borderId="36" xfId="8" applyNumberFormat="1" applyFont="1" applyFill="1" applyBorder="1" applyAlignment="1">
      <alignment horizontal="left" indent="1"/>
    </xf>
    <xf numFmtId="166" fontId="33" fillId="0" borderId="21" xfId="8" applyNumberFormat="1" applyFont="1" applyFill="1" applyBorder="1" applyAlignment="1">
      <alignment horizontal="left" vertical="center"/>
    </xf>
    <xf numFmtId="166" fontId="35" fillId="0" borderId="37" xfId="8" applyNumberFormat="1" applyFont="1" applyFill="1" applyBorder="1" applyAlignment="1">
      <alignment horizontal="left" vertical="center" indent="1"/>
    </xf>
    <xf numFmtId="166" fontId="35" fillId="0" borderId="2" xfId="8" applyNumberFormat="1" applyFont="1" applyFill="1" applyBorder="1" applyAlignment="1">
      <alignment horizontal="left" vertical="center" indent="2"/>
    </xf>
    <xf numFmtId="166" fontId="33" fillId="11" borderId="10" xfId="8" applyNumberFormat="1" applyFont="1" applyFill="1" applyBorder="1" applyAlignment="1">
      <alignment horizontal="left" vertical="center" wrapText="1"/>
    </xf>
    <xf numFmtId="166" fontId="33" fillId="11" borderId="10" xfId="8" applyNumberFormat="1" applyFont="1" applyFill="1" applyBorder="1" applyAlignment="1" applyProtection="1">
      <alignment horizontal="left" vertical="center" wrapText="1"/>
      <protection locked="0"/>
    </xf>
    <xf numFmtId="166" fontId="33" fillId="11" borderId="10" xfId="8" applyNumberFormat="1" applyFont="1" applyFill="1" applyBorder="1" applyAlignment="1">
      <alignment horizontal="left" vertical="center"/>
    </xf>
    <xf numFmtId="164" fontId="30" fillId="11" borderId="10" xfId="8" applyFont="1" applyFill="1" applyBorder="1" applyAlignment="1" applyProtection="1">
      <alignment horizontal="left" vertical="center"/>
    </xf>
    <xf numFmtId="164" fontId="33" fillId="11" borderId="10" xfId="8" applyFont="1" applyFill="1" applyBorder="1" applyAlignment="1">
      <alignment horizontal="left" vertical="center" wrapText="1"/>
    </xf>
    <xf numFmtId="9" fontId="33" fillId="11" borderId="10" xfId="10" applyFont="1" applyFill="1" applyBorder="1" applyAlignment="1">
      <alignment horizontal="center" vertical="center" wrapText="1"/>
    </xf>
    <xf numFmtId="49" fontId="30" fillId="11" borderId="0" xfId="11" applyNumberFormat="1" applyFont="1" applyFill="1" applyAlignment="1">
      <alignment horizontal="center" vertical="center"/>
    </xf>
    <xf numFmtId="49" fontId="33" fillId="11" borderId="0" xfId="11" applyNumberFormat="1" applyFont="1" applyFill="1" applyAlignment="1">
      <alignment horizontal="left" vertical="center"/>
    </xf>
    <xf numFmtId="49" fontId="13" fillId="0" borderId="0" xfId="11" applyNumberFormat="1" applyFont="1" applyAlignment="1">
      <alignment horizontal="left" vertical="center" wrapText="1"/>
    </xf>
    <xf numFmtId="49" fontId="21" fillId="0" borderId="0" xfId="11" applyNumberFormat="1" applyFont="1" applyAlignment="1">
      <alignment horizontal="left" vertical="center" wrapText="1"/>
    </xf>
    <xf numFmtId="3" fontId="35" fillId="0" borderId="0" xfId="8" applyNumberFormat="1" applyFont="1" applyBorder="1" applyAlignment="1" applyProtection="1">
      <alignment horizontal="right" vertical="center" wrapText="1"/>
      <protection locked="0"/>
    </xf>
    <xf numFmtId="0" fontId="33" fillId="0" borderId="0" xfId="11" applyFont="1" applyAlignment="1">
      <alignment horizontal="right" vertical="center" wrapText="1"/>
    </xf>
    <xf numFmtId="3" fontId="35" fillId="0" borderId="0" xfId="8" applyNumberFormat="1" applyFont="1" applyBorder="1" applyAlignment="1" applyProtection="1">
      <alignment horizontal="center" vertical="center" wrapText="1"/>
      <protection locked="0"/>
    </xf>
    <xf numFmtId="2" fontId="21" fillId="0" borderId="0" xfId="8" applyNumberFormat="1" applyFont="1" applyBorder="1" applyAlignment="1">
      <alignment horizontal="center" vertical="center" wrapText="1"/>
    </xf>
    <xf numFmtId="166" fontId="35" fillId="0" borderId="0" xfId="8" applyNumberFormat="1" applyFont="1" applyBorder="1" applyAlignment="1" applyProtection="1">
      <alignment horizontal="center" vertical="center" wrapText="1"/>
      <protection locked="0"/>
    </xf>
    <xf numFmtId="49" fontId="13" fillId="0" borderId="10" xfId="11" applyNumberFormat="1" applyFont="1" applyBorder="1" applyAlignment="1">
      <alignment vertical="center" wrapText="1"/>
    </xf>
    <xf numFmtId="49" fontId="21" fillId="0" borderId="10" xfId="11" applyNumberFormat="1" applyFont="1" applyBorder="1" applyAlignment="1">
      <alignment horizontal="left" vertical="center" wrapText="1"/>
    </xf>
    <xf numFmtId="164" fontId="15" fillId="0" borderId="10" xfId="8" applyFont="1" applyFill="1" applyBorder="1" applyAlignment="1" applyProtection="1">
      <alignment vertical="center"/>
    </xf>
    <xf numFmtId="49" fontId="21" fillId="9" borderId="10" xfId="11" applyNumberFormat="1" applyFont="1" applyFill="1" applyBorder="1" applyAlignment="1">
      <alignment horizontal="left" vertical="center" wrapText="1"/>
    </xf>
    <xf numFmtId="49" fontId="33" fillId="0" borderId="10" xfId="11" applyNumberFormat="1" applyFont="1" applyBorder="1" applyAlignment="1">
      <alignment vertical="center" wrapText="1"/>
    </xf>
    <xf numFmtId="49" fontId="50" fillId="9" borderId="10" xfId="11" applyNumberFormat="1" applyFont="1" applyFill="1" applyBorder="1" applyAlignment="1">
      <alignment horizontal="left" vertical="center" wrapText="1"/>
    </xf>
    <xf numFmtId="49" fontId="27" fillId="0" borderId="0" xfId="11" applyNumberFormat="1" applyFont="1" applyAlignment="1">
      <alignment horizontal="center" vertical="center"/>
    </xf>
    <xf numFmtId="49" fontId="51" fillId="0" borderId="0" xfId="11" applyNumberFormat="1" applyFont="1" applyAlignment="1">
      <alignment horizontal="left" vertical="center"/>
    </xf>
    <xf numFmtId="49" fontId="52" fillId="10" borderId="43" xfId="11" applyNumberFormat="1" applyFont="1" applyFill="1" applyBorder="1" applyAlignment="1">
      <alignment vertical="center"/>
    </xf>
    <xf numFmtId="166" fontId="46" fillId="10" borderId="43" xfId="8" applyNumberFormat="1" applyFont="1" applyFill="1" applyBorder="1" applyAlignment="1">
      <alignment horizontal="right" vertical="center" wrapText="1"/>
    </xf>
    <xf numFmtId="49" fontId="53" fillId="10" borderId="43" xfId="11" applyNumberFormat="1" applyFont="1" applyFill="1" applyBorder="1" applyAlignment="1">
      <alignment horizontal="left" vertical="center" wrapText="1"/>
    </xf>
    <xf numFmtId="49" fontId="28" fillId="10" borderId="43" xfId="11" applyNumberFormat="1" applyFont="1" applyFill="1" applyBorder="1" applyAlignment="1">
      <alignment horizontal="left" vertical="center" wrapText="1"/>
    </xf>
    <xf numFmtId="0" fontId="22" fillId="0" borderId="0" xfId="11" applyFont="1" applyAlignment="1">
      <alignment horizontal="left" vertical="center" indent="1"/>
    </xf>
    <xf numFmtId="0" fontId="22" fillId="0" borderId="37" xfId="11" applyFont="1" applyBorder="1" applyAlignment="1">
      <alignment horizontal="left" vertical="center" indent="1"/>
    </xf>
    <xf numFmtId="49" fontId="13" fillId="11" borderId="10" xfId="11" applyNumberFormat="1" applyFont="1" applyFill="1" applyBorder="1" applyAlignment="1">
      <alignment vertical="center" wrapText="1"/>
    </xf>
    <xf numFmtId="49" fontId="21" fillId="11" borderId="10" xfId="11" applyNumberFormat="1" applyFont="1" applyFill="1" applyBorder="1" applyAlignment="1">
      <alignment horizontal="left" vertical="center" wrapText="1"/>
    </xf>
    <xf numFmtId="164" fontId="15" fillId="11" borderId="10" xfId="8" applyFont="1" applyFill="1" applyBorder="1" applyAlignment="1" applyProtection="1">
      <alignment vertical="center"/>
    </xf>
    <xf numFmtId="49" fontId="13" fillId="11" borderId="10" xfId="11" applyNumberFormat="1" applyFont="1" applyFill="1" applyBorder="1" applyAlignment="1">
      <alignment vertical="center"/>
    </xf>
    <xf numFmtId="3" fontId="15" fillId="0" borderId="0" xfId="11" applyNumberFormat="1" applyFont="1" applyAlignment="1">
      <alignment horizontal="left" vertical="center" indent="1"/>
    </xf>
    <xf numFmtId="49" fontId="13" fillId="0" borderId="0" xfId="11" applyNumberFormat="1" applyFont="1" applyAlignment="1">
      <alignment horizontal="center" vertical="center"/>
    </xf>
    <xf numFmtId="49" fontId="13" fillId="0" borderId="1" xfId="11" applyNumberFormat="1" applyFont="1" applyBorder="1" applyAlignment="1">
      <alignment horizontal="center" vertical="center"/>
    </xf>
    <xf numFmtId="164" fontId="13" fillId="0" borderId="1" xfId="8" applyFont="1" applyFill="1" applyBorder="1" applyAlignment="1">
      <alignment vertical="center"/>
    </xf>
    <xf numFmtId="164" fontId="13" fillId="0" borderId="1" xfId="8" applyFont="1" applyFill="1" applyBorder="1" applyAlignment="1" applyProtection="1">
      <alignment horizontal="right" vertical="center" wrapText="1"/>
      <protection locked="0"/>
    </xf>
    <xf numFmtId="164" fontId="13" fillId="0" borderId="1" xfId="8" applyFont="1" applyFill="1" applyBorder="1" applyAlignment="1">
      <alignment vertical="center" wrapText="1"/>
    </xf>
    <xf numFmtId="9" fontId="13" fillId="3" borderId="1" xfId="10" applyFont="1" applyFill="1" applyBorder="1" applyAlignment="1">
      <alignment vertical="center" wrapText="1"/>
    </xf>
    <xf numFmtId="164" fontId="13" fillId="0" borderId="1" xfId="8" applyFont="1" applyFill="1" applyBorder="1" applyAlignment="1">
      <alignment horizontal="right" vertical="center"/>
    </xf>
    <xf numFmtId="9" fontId="13" fillId="0" borderId="1" xfId="11" applyNumberFormat="1" applyFont="1" applyBorder="1" applyAlignment="1">
      <alignment vertical="center" wrapText="1"/>
    </xf>
    <xf numFmtId="2" fontId="13" fillId="0" borderId="1" xfId="11" applyNumberFormat="1" applyFont="1" applyBorder="1" applyAlignment="1">
      <alignment vertical="center" wrapText="1"/>
    </xf>
    <xf numFmtId="164" fontId="13" fillId="0" borderId="1" xfId="8" applyFont="1" applyFill="1" applyBorder="1" applyAlignment="1" applyProtection="1">
      <alignment vertical="center"/>
    </xf>
    <xf numFmtId="49" fontId="33" fillId="0" borderId="0" xfId="11" applyNumberFormat="1" applyFont="1" applyAlignment="1">
      <alignment horizontal="center" vertical="center"/>
    </xf>
    <xf numFmtId="0" fontId="33" fillId="0" borderId="0" xfId="11" applyFont="1" applyAlignment="1">
      <alignment horizontal="center" vertical="center"/>
    </xf>
    <xf numFmtId="49" fontId="13" fillId="0" borderId="1" xfId="11" applyNumberFormat="1" applyFont="1" applyBorder="1" applyAlignment="1">
      <alignment vertical="center" wrapText="1"/>
    </xf>
    <xf numFmtId="164" fontId="13" fillId="0" borderId="1" xfId="11" applyNumberFormat="1" applyFont="1" applyBorder="1" applyAlignment="1">
      <alignment horizontal="center" vertical="center" wrapText="1"/>
    </xf>
    <xf numFmtId="166" fontId="13" fillId="0" borderId="1" xfId="8" applyNumberFormat="1" applyFont="1" applyFill="1" applyBorder="1" applyAlignment="1">
      <alignment horizontal="center" vertical="center" wrapText="1"/>
    </xf>
    <xf numFmtId="3" fontId="13" fillId="0" borderId="1" xfId="11" applyNumberFormat="1" applyFont="1" applyBorder="1" applyAlignment="1" applyProtection="1">
      <alignment vertical="center" wrapText="1"/>
      <protection locked="0"/>
    </xf>
    <xf numFmtId="49" fontId="33" fillId="0" borderId="1" xfId="11" applyNumberFormat="1" applyFont="1" applyBorder="1" applyAlignment="1">
      <alignment vertical="center" wrapText="1"/>
    </xf>
    <xf numFmtId="0" fontId="13" fillId="0" borderId="0" xfId="11" applyFont="1" applyAlignment="1">
      <alignment horizontal="center" vertical="center"/>
    </xf>
    <xf numFmtId="39" fontId="13" fillId="0" borderId="1" xfId="0" applyNumberFormat="1" applyFont="1" applyBorder="1" applyAlignment="1">
      <alignment horizontal="right" vertical="center"/>
    </xf>
    <xf numFmtId="0" fontId="21" fillId="0" borderId="0" xfId="11" applyFont="1" applyAlignment="1">
      <alignment horizontal="center" vertical="center"/>
    </xf>
    <xf numFmtId="166" fontId="13" fillId="0" borderId="1" xfId="11" applyNumberFormat="1" applyFont="1" applyBorder="1" applyAlignment="1">
      <alignment horizontal="center" vertical="center" wrapText="1"/>
    </xf>
    <xf numFmtId="49" fontId="54" fillId="3" borderId="0" xfId="11" applyNumberFormat="1" applyFont="1" applyFill="1" applyAlignment="1">
      <alignment horizontal="center" vertical="center"/>
    </xf>
    <xf numFmtId="49" fontId="54" fillId="12" borderId="1" xfId="11" applyNumberFormat="1" applyFont="1" applyFill="1" applyBorder="1" applyAlignment="1">
      <alignment horizontal="center" vertical="center"/>
    </xf>
    <xf numFmtId="164" fontId="54" fillId="12" borderId="1" xfId="8" applyFont="1" applyFill="1" applyBorder="1" applyAlignment="1">
      <alignment vertical="center"/>
    </xf>
    <xf numFmtId="164" fontId="54" fillId="12" borderId="1" xfId="8" applyFont="1" applyFill="1" applyBorder="1" applyAlignment="1">
      <alignment horizontal="center" vertical="center" wrapText="1"/>
    </xf>
    <xf numFmtId="9" fontId="54" fillId="12" borderId="1" xfId="8" applyNumberFormat="1" applyFont="1" applyFill="1" applyBorder="1" applyAlignment="1">
      <alignment vertical="center" wrapText="1"/>
    </xf>
    <xf numFmtId="164" fontId="54" fillId="12" borderId="1" xfId="8" applyFont="1" applyFill="1" applyBorder="1" applyAlignment="1">
      <alignment vertical="center" wrapText="1"/>
    </xf>
    <xf numFmtId="49" fontId="54" fillId="12" borderId="1" xfId="11" applyNumberFormat="1" applyFont="1" applyFill="1" applyBorder="1" applyAlignment="1">
      <alignment horizontal="left" vertical="center" wrapText="1"/>
    </xf>
    <xf numFmtId="164" fontId="13" fillId="0" borderId="1" xfId="0" applyNumberFormat="1" applyFont="1" applyBorder="1" applyAlignment="1">
      <alignment horizontal="right" vertical="center"/>
    </xf>
    <xf numFmtId="3" fontId="13" fillId="0" borderId="1" xfId="11" applyNumberFormat="1" applyFont="1" applyBorder="1" applyAlignment="1">
      <alignment horizontal="center" vertical="center" wrapText="1"/>
    </xf>
    <xf numFmtId="4" fontId="13" fillId="0" borderId="1" xfId="8" applyNumberFormat="1" applyFont="1" applyFill="1" applyBorder="1" applyAlignment="1">
      <alignment horizontal="right" vertical="center"/>
    </xf>
    <xf numFmtId="166" fontId="13" fillId="0" borderId="1" xfId="8" applyNumberFormat="1" applyFont="1" applyFill="1" applyBorder="1" applyAlignment="1">
      <alignment horizontal="center" vertical="center"/>
    </xf>
    <xf numFmtId="166" fontId="13" fillId="0" borderId="1" xfId="11" applyNumberFormat="1" applyFont="1" applyBorder="1" applyAlignment="1">
      <alignment horizontal="left" vertical="center" wrapText="1"/>
    </xf>
    <xf numFmtId="49" fontId="33" fillId="0" borderId="1" xfId="11" applyNumberFormat="1" applyFont="1" applyBorder="1" applyAlignment="1">
      <alignment horizontal="left" vertical="center" wrapText="1"/>
    </xf>
    <xf numFmtId="166" fontId="13" fillId="0" borderId="1" xfId="8" applyNumberFormat="1" applyFont="1" applyFill="1" applyBorder="1" applyAlignment="1">
      <alignment horizontal="left" vertical="center" wrapText="1"/>
    </xf>
    <xf numFmtId="2" fontId="13" fillId="0" borderId="1" xfId="11" applyNumberFormat="1" applyFont="1" applyBorder="1" applyAlignment="1">
      <alignment horizontal="center" vertical="center" wrapText="1"/>
    </xf>
    <xf numFmtId="49" fontId="15" fillId="0" borderId="0" xfId="11" applyNumberFormat="1" applyFont="1" applyAlignment="1">
      <alignment horizontal="left" vertical="center"/>
    </xf>
    <xf numFmtId="164" fontId="15" fillId="0" borderId="1" xfId="8" applyFont="1" applyFill="1" applyBorder="1" applyAlignment="1">
      <alignment vertical="center"/>
    </xf>
    <xf numFmtId="164" fontId="15" fillId="0" borderId="1" xfId="8" applyFont="1" applyFill="1" applyBorder="1" applyAlignment="1" applyProtection="1">
      <alignment vertical="center"/>
    </xf>
    <xf numFmtId="49" fontId="15" fillId="0" borderId="1" xfId="11" applyNumberFormat="1" applyFont="1" applyBorder="1" applyAlignment="1">
      <alignment horizontal="center" vertical="center"/>
    </xf>
    <xf numFmtId="166" fontId="13" fillId="0" borderId="1" xfId="8" applyNumberFormat="1" applyFont="1" applyFill="1" applyBorder="1" applyAlignment="1">
      <alignment vertical="center" wrapText="1"/>
    </xf>
    <xf numFmtId="49" fontId="39" fillId="0" borderId="0" xfId="11" applyNumberFormat="1" applyFont="1" applyAlignment="1">
      <alignment horizontal="center" vertical="center"/>
    </xf>
    <xf numFmtId="49" fontId="39" fillId="0" borderId="0" xfId="11" applyNumberFormat="1" applyFont="1" applyAlignment="1">
      <alignment horizontal="left" vertical="center"/>
    </xf>
    <xf numFmtId="0" fontId="39" fillId="0" borderId="0" xfId="11" applyFont="1" applyAlignment="1">
      <alignment horizontal="center" vertical="center"/>
    </xf>
    <xf numFmtId="43" fontId="55" fillId="0" borderId="0" xfId="11" applyNumberFormat="1" applyFont="1" applyAlignment="1">
      <alignment horizontal="center" vertical="center"/>
    </xf>
    <xf numFmtId="166" fontId="54" fillId="12" borderId="1" xfId="8" applyNumberFormat="1" applyFont="1" applyFill="1" applyBorder="1" applyAlignment="1">
      <alignment vertical="center" wrapText="1"/>
    </xf>
    <xf numFmtId="49" fontId="13" fillId="3" borderId="0" xfId="11" applyNumberFormat="1" applyFont="1" applyFill="1" applyAlignment="1">
      <alignment horizontal="center" vertical="center"/>
    </xf>
    <xf numFmtId="49" fontId="13" fillId="3" borderId="1" xfId="11" applyNumberFormat="1" applyFont="1" applyFill="1" applyBorder="1" applyAlignment="1">
      <alignment horizontal="center" vertical="center"/>
    </xf>
    <xf numFmtId="164" fontId="13" fillId="3" borderId="1" xfId="8" applyFont="1" applyFill="1" applyBorder="1" applyAlignment="1" applyProtection="1">
      <alignment horizontal="right" vertical="center" wrapText="1"/>
      <protection locked="0"/>
    </xf>
    <xf numFmtId="164" fontId="13" fillId="0" borderId="1" xfId="8" applyFont="1" applyBorder="1" applyAlignment="1">
      <alignment vertical="center"/>
    </xf>
    <xf numFmtId="164" fontId="13" fillId="3" borderId="1" xfId="8" applyFont="1" applyFill="1" applyBorder="1" applyAlignment="1">
      <alignment vertical="center" wrapText="1"/>
    </xf>
    <xf numFmtId="0" fontId="13" fillId="0" borderId="1" xfId="11" applyFont="1" applyBorder="1" applyAlignment="1">
      <alignment horizontal="right" vertical="center" wrapText="1"/>
    </xf>
    <xf numFmtId="3" fontId="13" fillId="0" borderId="1" xfId="8" applyNumberFormat="1" applyFont="1" applyFill="1" applyBorder="1" applyAlignment="1" applyProtection="1">
      <alignment horizontal="right" vertical="center" wrapText="1"/>
      <protection locked="0"/>
    </xf>
    <xf numFmtId="164" fontId="33" fillId="0" borderId="1" xfId="8" applyFont="1" applyFill="1" applyBorder="1" applyAlignment="1">
      <alignment horizontal="right" vertical="center"/>
    </xf>
    <xf numFmtId="164" fontId="22" fillId="0" borderId="1" xfId="8" applyFont="1" applyFill="1" applyBorder="1" applyAlignment="1">
      <alignment vertical="center" wrapText="1"/>
    </xf>
    <xf numFmtId="49" fontId="13" fillId="0" borderId="1" xfId="11" applyNumberFormat="1" applyFont="1" applyBorder="1" applyAlignment="1">
      <alignment vertical="center"/>
    </xf>
    <xf numFmtId="2" fontId="13" fillId="0" borderId="1" xfId="8" applyNumberFormat="1" applyFont="1" applyFill="1" applyBorder="1" applyAlignment="1">
      <alignment vertical="center" wrapText="1"/>
    </xf>
    <xf numFmtId="166" fontId="22"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right" vertical="center" wrapText="1"/>
      <protection locked="0"/>
    </xf>
    <xf numFmtId="166" fontId="13" fillId="0" borderId="1" xfId="8" applyNumberFormat="1" applyFont="1" applyFill="1" applyBorder="1" applyAlignment="1" applyProtection="1">
      <alignment horizontal="center" vertical="center" wrapText="1"/>
      <protection locked="0"/>
    </xf>
    <xf numFmtId="3" fontId="22" fillId="0" borderId="1" xfId="8" applyNumberFormat="1" applyFont="1" applyFill="1" applyBorder="1" applyAlignment="1" applyProtection="1">
      <alignment horizontal="right" vertical="center" wrapText="1"/>
      <protection locked="0"/>
    </xf>
    <xf numFmtId="3" fontId="13" fillId="0" borderId="1" xfId="8" applyNumberFormat="1" applyFont="1" applyFill="1" applyBorder="1" applyAlignment="1" applyProtection="1">
      <alignment vertical="center" wrapText="1"/>
      <protection locked="0"/>
    </xf>
    <xf numFmtId="164" fontId="22" fillId="0" borderId="1" xfId="8" applyFont="1" applyFill="1" applyBorder="1" applyAlignment="1" applyProtection="1">
      <alignment horizontal="right" vertical="center" wrapText="1"/>
      <protection locked="0"/>
    </xf>
    <xf numFmtId="43" fontId="13" fillId="0" borderId="0" xfId="11" applyNumberFormat="1" applyFont="1" applyAlignment="1">
      <alignment horizontal="center" vertical="center"/>
    </xf>
    <xf numFmtId="2" fontId="13" fillId="0" borderId="1" xfId="11" applyNumberFormat="1" applyFont="1" applyBorder="1" applyAlignment="1">
      <alignment horizontal="right" vertical="center" wrapText="1"/>
    </xf>
    <xf numFmtId="2" fontId="13" fillId="0" borderId="1" xfId="8" applyNumberFormat="1" applyFont="1" applyFill="1" applyBorder="1" applyAlignment="1">
      <alignment horizontal="center" vertical="center" wrapText="1"/>
    </xf>
    <xf numFmtId="166" fontId="13" fillId="0" borderId="1" xfId="8" applyNumberFormat="1" applyFont="1" applyFill="1" applyBorder="1" applyAlignment="1">
      <alignment horizontal="right" vertical="center" wrapText="1"/>
    </xf>
    <xf numFmtId="9" fontId="13" fillId="0" borderId="1" xfId="10" applyFont="1" applyFill="1" applyBorder="1" applyAlignment="1">
      <alignment vertical="center" wrapText="1"/>
    </xf>
    <xf numFmtId="166" fontId="13" fillId="0" borderId="1" xfId="11" applyNumberFormat="1" applyFont="1" applyBorder="1" applyAlignment="1" applyProtection="1">
      <alignment vertical="center" wrapText="1"/>
      <protection locked="0"/>
    </xf>
    <xf numFmtId="164" fontId="33" fillId="0" borderId="0" xfId="8" applyFont="1" applyFill="1" applyAlignment="1">
      <alignment horizontal="center" vertical="center"/>
    </xf>
    <xf numFmtId="3" fontId="13" fillId="0" borderId="1" xfId="8" applyNumberFormat="1" applyFont="1" applyFill="1" applyBorder="1" applyAlignment="1">
      <alignment horizontal="right" vertical="center"/>
    </xf>
    <xf numFmtId="164" fontId="13" fillId="3" borderId="1" xfId="1" applyFont="1" applyFill="1" applyBorder="1" applyAlignment="1">
      <alignment horizontal="right" vertical="center" wrapText="1"/>
    </xf>
    <xf numFmtId="164" fontId="33" fillId="0" borderId="1" xfId="8" applyFont="1" applyFill="1" applyBorder="1" applyAlignment="1">
      <alignment vertical="center" wrapText="1"/>
    </xf>
    <xf numFmtId="49" fontId="19" fillId="10" borderId="1" xfId="11" applyNumberFormat="1" applyFont="1" applyFill="1" applyBorder="1" applyAlignment="1">
      <alignment horizontal="center" vertical="center"/>
    </xf>
    <xf numFmtId="164" fontId="19" fillId="10" borderId="1" xfId="8" applyFont="1" applyFill="1" applyBorder="1" applyAlignment="1">
      <alignment vertical="center"/>
    </xf>
    <xf numFmtId="164" fontId="19" fillId="10" borderId="1" xfId="8" applyFont="1" applyFill="1" applyBorder="1" applyAlignment="1">
      <alignment horizontal="center" vertical="center" wrapText="1"/>
    </xf>
    <xf numFmtId="9" fontId="19" fillId="10" borderId="1" xfId="8" applyNumberFormat="1" applyFont="1" applyFill="1" applyBorder="1" applyAlignment="1">
      <alignment vertical="center" wrapText="1"/>
    </xf>
    <xf numFmtId="164" fontId="19" fillId="10" borderId="1" xfId="8" applyFont="1" applyFill="1" applyBorder="1" applyAlignment="1">
      <alignment vertical="center" wrapText="1"/>
    </xf>
    <xf numFmtId="166" fontId="19" fillId="10" borderId="1" xfId="8" applyNumberFormat="1" applyFont="1" applyFill="1" applyBorder="1" applyAlignment="1">
      <alignment vertical="center" wrapText="1"/>
    </xf>
    <xf numFmtId="49" fontId="19" fillId="10" borderId="1" xfId="11" applyNumberFormat="1" applyFont="1" applyFill="1" applyBorder="1" applyAlignment="1">
      <alignment horizontal="left" vertical="center" wrapText="1"/>
    </xf>
    <xf numFmtId="49" fontId="15" fillId="0" borderId="33" xfId="11" applyNumberFormat="1" applyFont="1" applyBorder="1" applyAlignment="1">
      <alignment horizontal="center" vertical="center" wrapText="1"/>
    </xf>
    <xf numFmtId="164" fontId="13" fillId="0" borderId="35" xfId="8" applyFont="1" applyBorder="1" applyAlignment="1">
      <alignment horizontal="center" vertical="center" wrapText="1"/>
    </xf>
    <xf numFmtId="164" fontId="13" fillId="0" borderId="38" xfId="8" applyFont="1" applyBorder="1" applyAlignment="1">
      <alignment horizontal="center" vertical="center" wrapText="1"/>
    </xf>
    <xf numFmtId="3" fontId="13" fillId="0" borderId="38" xfId="11" applyNumberFormat="1" applyFont="1" applyBorder="1" applyAlignment="1">
      <alignment vertical="center" wrapText="1"/>
    </xf>
    <xf numFmtId="49" fontId="13" fillId="0" borderId="45" xfId="11" applyNumberFormat="1" applyFont="1" applyBorder="1" applyAlignment="1">
      <alignment horizontal="center" vertical="center" wrapText="1"/>
    </xf>
    <xf numFmtId="49" fontId="13" fillId="0" borderId="39" xfId="11" applyNumberFormat="1" applyFont="1" applyBorder="1" applyAlignment="1">
      <alignment horizontal="center" vertical="center" wrapText="1"/>
    </xf>
    <xf numFmtId="166" fontId="22" fillId="0" borderId="25" xfId="1" applyNumberFormat="1" applyFont="1" applyBorder="1" applyAlignment="1">
      <alignment horizontal="center" wrapText="1"/>
    </xf>
    <xf numFmtId="0" fontId="22" fillId="0" borderId="40" xfId="11" applyFont="1" applyBorder="1" applyAlignment="1">
      <alignment vertical="center"/>
    </xf>
    <xf numFmtId="164" fontId="22" fillId="0" borderId="41" xfId="8" applyFont="1" applyBorder="1" applyAlignment="1">
      <alignment vertical="center"/>
    </xf>
    <xf numFmtId="3" fontId="22" fillId="0" borderId="40" xfId="11" applyNumberFormat="1" applyFont="1" applyBorder="1" applyAlignment="1">
      <alignment horizontal="center" vertical="center"/>
    </xf>
    <xf numFmtId="3" fontId="22" fillId="0" borderId="40" xfId="11" applyNumberFormat="1" applyFont="1" applyBorder="1" applyAlignment="1">
      <alignment vertical="center"/>
    </xf>
    <xf numFmtId="164" fontId="22" fillId="0" borderId="13" xfId="8" applyFont="1" applyBorder="1" applyAlignment="1">
      <alignment vertical="center"/>
    </xf>
    <xf numFmtId="3" fontId="22" fillId="0" borderId="0" xfId="11" applyNumberFormat="1" applyFont="1" applyAlignment="1">
      <alignment vertical="center"/>
    </xf>
    <xf numFmtId="0" fontId="24" fillId="0" borderId="0" xfId="11" applyFont="1" applyAlignment="1">
      <alignment horizontal="left" indent="3"/>
    </xf>
    <xf numFmtId="0" fontId="22" fillId="0" borderId="0" xfId="11" applyFont="1" applyAlignment="1">
      <alignment horizontal="left" indent="3"/>
    </xf>
    <xf numFmtId="164" fontId="22" fillId="0" borderId="13" xfId="8" applyFont="1" applyBorder="1" applyAlignment="1"/>
    <xf numFmtId="164" fontId="22" fillId="0" borderId="36" xfId="8" applyFont="1" applyBorder="1" applyAlignment="1"/>
    <xf numFmtId="3" fontId="22" fillId="0" borderId="37" xfId="11" applyNumberFormat="1" applyFont="1" applyBorder="1" applyAlignment="1">
      <alignment vertical="center"/>
    </xf>
    <xf numFmtId="49" fontId="33" fillId="11" borderId="1" xfId="11" applyNumberFormat="1" applyFont="1" applyFill="1" applyBorder="1" applyAlignment="1">
      <alignment vertical="center" wrapText="1"/>
    </xf>
    <xf numFmtId="166" fontId="13" fillId="11" borderId="1" xfId="11" applyNumberFormat="1" applyFont="1" applyFill="1" applyBorder="1" applyAlignment="1" applyProtection="1">
      <alignment vertical="center" wrapText="1"/>
      <protection locked="0"/>
    </xf>
    <xf numFmtId="49" fontId="13" fillId="11" borderId="1" xfId="11" applyNumberFormat="1" applyFont="1" applyFill="1" applyBorder="1" applyAlignment="1">
      <alignment horizontal="center" vertical="center" wrapText="1"/>
    </xf>
    <xf numFmtId="164" fontId="13" fillId="11" borderId="1" xfId="8" applyFont="1" applyFill="1" applyBorder="1" applyAlignment="1">
      <alignment vertical="center" wrapText="1"/>
    </xf>
    <xf numFmtId="164" fontId="13" fillId="11" borderId="1" xfId="8" applyFont="1" applyFill="1" applyBorder="1" applyAlignment="1">
      <alignment vertical="center"/>
    </xf>
    <xf numFmtId="9" fontId="13" fillId="11" borderId="1" xfId="11" applyNumberFormat="1" applyFont="1" applyFill="1" applyBorder="1" applyAlignment="1">
      <alignment vertical="center" wrapText="1"/>
    </xf>
    <xf numFmtId="164" fontId="13" fillId="11" borderId="1" xfId="8" applyFont="1" applyFill="1" applyBorder="1" applyAlignment="1">
      <alignment horizontal="right" vertical="center"/>
    </xf>
    <xf numFmtId="49" fontId="13" fillId="11" borderId="1" xfId="11" applyNumberFormat="1" applyFont="1" applyFill="1" applyBorder="1" applyAlignment="1">
      <alignment vertical="center" wrapText="1"/>
    </xf>
    <xf numFmtId="0" fontId="33" fillId="11" borderId="0" xfId="11" applyFont="1" applyFill="1" applyAlignment="1">
      <alignment horizontal="center" vertical="center"/>
    </xf>
    <xf numFmtId="49" fontId="33" fillId="11" borderId="0" xfId="11" applyNumberFormat="1" applyFont="1" applyFill="1" applyAlignment="1">
      <alignment horizontal="center" vertical="center"/>
    </xf>
    <xf numFmtId="49" fontId="13" fillId="11" borderId="1" xfId="11" applyNumberFormat="1" applyFont="1" applyFill="1" applyBorder="1" applyAlignment="1">
      <alignment horizontal="left" vertical="center" wrapText="1"/>
    </xf>
    <xf numFmtId="166" fontId="13" fillId="11" borderId="1" xfId="8" applyNumberFormat="1" applyFont="1" applyFill="1" applyBorder="1" applyAlignment="1">
      <alignment vertical="center" wrapText="1"/>
    </xf>
    <xf numFmtId="164" fontId="13" fillId="11" borderId="1" xfId="8" applyFont="1" applyFill="1" applyBorder="1" applyAlignment="1">
      <alignment horizontal="center" vertical="center" wrapText="1"/>
    </xf>
    <xf numFmtId="164" fontId="13" fillId="11" borderId="1" xfId="8" applyFont="1" applyFill="1" applyBorder="1" applyAlignment="1" applyProtection="1">
      <alignment horizontal="right" vertical="center" wrapText="1"/>
      <protection locked="0"/>
    </xf>
    <xf numFmtId="49" fontId="13" fillId="11" borderId="1" xfId="11" applyNumberFormat="1" applyFont="1" applyFill="1" applyBorder="1" applyAlignment="1">
      <alignment horizontal="center" vertical="center"/>
    </xf>
    <xf numFmtId="49" fontId="13" fillId="11" borderId="0" xfId="11" applyNumberFormat="1" applyFont="1" applyFill="1" applyAlignment="1">
      <alignment horizontal="center" vertical="center"/>
    </xf>
    <xf numFmtId="49" fontId="33" fillId="11" borderId="1" xfId="11" applyNumberFormat="1" applyFont="1" applyFill="1" applyBorder="1" applyAlignment="1">
      <alignment horizontal="left" vertical="center" wrapText="1"/>
    </xf>
    <xf numFmtId="3" fontId="13" fillId="11" borderId="1" xfId="11" applyNumberFormat="1" applyFont="1" applyFill="1" applyBorder="1" applyAlignment="1" applyProtection="1">
      <alignment vertical="center" wrapText="1"/>
      <protection locked="0"/>
    </xf>
    <xf numFmtId="0" fontId="21" fillId="11" borderId="0" xfId="11" applyFont="1" applyFill="1" applyAlignment="1">
      <alignment horizontal="center" vertical="center"/>
    </xf>
    <xf numFmtId="49" fontId="21" fillId="11" borderId="0" xfId="11" applyNumberFormat="1" applyFont="1" applyFill="1" applyAlignment="1">
      <alignment horizontal="left" vertical="center"/>
    </xf>
    <xf numFmtId="49" fontId="21" fillId="11" borderId="0" xfId="11" applyNumberFormat="1" applyFont="1" applyFill="1" applyAlignment="1">
      <alignment horizontal="center" vertical="center"/>
    </xf>
    <xf numFmtId="0" fontId="39" fillId="11" borderId="0" xfId="11" applyFont="1" applyFill="1" applyAlignment="1">
      <alignment horizontal="center" vertical="center"/>
    </xf>
    <xf numFmtId="49" fontId="39" fillId="11" borderId="0" xfId="11" applyNumberFormat="1" applyFont="1" applyFill="1" applyAlignment="1">
      <alignment horizontal="left" vertical="center"/>
    </xf>
    <xf numFmtId="49" fontId="39" fillId="11" borderId="0" xfId="11" applyNumberFormat="1" applyFont="1" applyFill="1" applyAlignment="1">
      <alignment horizontal="center" vertical="center"/>
    </xf>
    <xf numFmtId="49" fontId="13" fillId="0" borderId="17" xfId="11" applyNumberFormat="1" applyFont="1" applyBorder="1" applyAlignment="1">
      <alignment horizontal="center" vertical="center" wrapText="1"/>
    </xf>
    <xf numFmtId="49" fontId="15" fillId="0" borderId="15" xfId="11" applyNumberFormat="1" applyFont="1" applyBorder="1" applyAlignment="1">
      <alignment horizontal="center" vertical="center" wrapText="1"/>
    </xf>
    <xf numFmtId="164" fontId="16" fillId="0" borderId="0" xfId="8" applyFont="1" applyAlignment="1">
      <alignment vertical="center"/>
    </xf>
    <xf numFmtId="166" fontId="16" fillId="0" borderId="0" xfId="1" applyNumberFormat="1" applyFont="1" applyAlignment="1">
      <alignment horizontal="center" vertical="center"/>
    </xf>
    <xf numFmtId="164" fontId="16" fillId="0" borderId="0" xfId="8" applyFont="1" applyAlignment="1">
      <alignment horizontal="center" vertical="center"/>
    </xf>
    <xf numFmtId="166" fontId="16" fillId="0" borderId="0" xfId="1" applyNumberFormat="1" applyFont="1" applyAlignment="1">
      <alignment vertical="center"/>
    </xf>
    <xf numFmtId="167" fontId="16" fillId="0" borderId="0" xfId="8" applyNumberFormat="1" applyFont="1" applyAlignment="1">
      <alignment horizontal="center" vertical="center"/>
    </xf>
    <xf numFmtId="165" fontId="16" fillId="0" borderId="0" xfId="8" applyNumberFormat="1" applyFont="1" applyAlignment="1">
      <alignment horizontal="center" vertical="center"/>
    </xf>
    <xf numFmtId="9" fontId="13" fillId="0" borderId="1" xfId="10" applyFont="1" applyFill="1" applyBorder="1" applyAlignment="1">
      <alignment horizontal="center" vertical="center" wrapText="1"/>
    </xf>
    <xf numFmtId="0" fontId="14" fillId="0" borderId="16" xfId="0" applyFont="1" applyBorder="1" applyAlignment="1">
      <alignment vertical="center"/>
    </xf>
    <xf numFmtId="49" fontId="25" fillId="3" borderId="1" xfId="11" applyNumberFormat="1" applyFont="1" applyFill="1" applyBorder="1" applyAlignment="1">
      <alignment horizontal="center" vertical="center"/>
    </xf>
    <xf numFmtId="49" fontId="15" fillId="3" borderId="1" xfId="11" applyNumberFormat="1" applyFont="1" applyFill="1" applyBorder="1" applyAlignment="1">
      <alignment horizontal="center" vertical="center"/>
    </xf>
    <xf numFmtId="166" fontId="11" fillId="0" borderId="1" xfId="8" applyNumberFormat="1" applyFont="1" applyFill="1" applyBorder="1" applyAlignment="1">
      <alignment horizontal="left" vertical="center" wrapText="1"/>
    </xf>
    <xf numFmtId="164" fontId="13" fillId="0" borderId="25" xfId="8" applyFont="1" applyBorder="1" applyAlignment="1">
      <alignment horizontal="center" vertical="center" wrapText="1"/>
    </xf>
    <xf numFmtId="164" fontId="13" fillId="0" borderId="0" xfId="8" applyFont="1" applyBorder="1" applyAlignment="1">
      <alignment horizontal="center"/>
    </xf>
    <xf numFmtId="164" fontId="13" fillId="0" borderId="37" xfId="8" applyFont="1" applyBorder="1" applyAlignment="1">
      <alignment horizontal="center" vertical="center"/>
    </xf>
    <xf numFmtId="164" fontId="13" fillId="0" borderId="0" xfId="8" applyFont="1" applyAlignment="1">
      <alignment horizontal="center" vertical="center"/>
    </xf>
    <xf numFmtId="0" fontId="33" fillId="0" borderId="0" xfId="0" applyFont="1" applyAlignment="1">
      <alignment vertical="center"/>
    </xf>
    <xf numFmtId="0" fontId="28" fillId="0" borderId="0" xfId="11" applyFont="1" applyAlignment="1">
      <alignment vertical="center"/>
    </xf>
    <xf numFmtId="0" fontId="51" fillId="0" borderId="0" xfId="11" applyFont="1" applyAlignment="1">
      <alignment vertical="center"/>
    </xf>
    <xf numFmtId="49" fontId="11" fillId="11" borderId="1" xfId="11" applyNumberFormat="1" applyFont="1" applyFill="1" applyBorder="1" applyAlignment="1">
      <alignment horizontal="left" vertical="center" wrapText="1"/>
    </xf>
    <xf numFmtId="49" fontId="12" fillId="11" borderId="1" xfId="11" applyNumberFormat="1" applyFont="1" applyFill="1" applyBorder="1" applyAlignment="1">
      <alignment horizontal="center" vertical="center" wrapText="1"/>
    </xf>
    <xf numFmtId="165" fontId="11" fillId="11" borderId="1" xfId="8" applyNumberFormat="1" applyFont="1" applyFill="1" applyBorder="1" applyAlignment="1">
      <alignment horizontal="center" vertical="center" wrapText="1"/>
    </xf>
    <xf numFmtId="164" fontId="11" fillId="11" borderId="1" xfId="8" applyFont="1" applyFill="1" applyBorder="1" applyAlignment="1" applyProtection="1">
      <alignment horizontal="center" vertical="center" wrapText="1"/>
      <protection locked="0"/>
    </xf>
    <xf numFmtId="0" fontId="11" fillId="11" borderId="1" xfId="11" applyFont="1" applyFill="1" applyBorder="1" applyAlignment="1">
      <alignment horizontal="center" vertical="center" wrapText="1"/>
    </xf>
    <xf numFmtId="164" fontId="11" fillId="11" borderId="1" xfId="8" applyFont="1" applyFill="1" applyBorder="1" applyAlignment="1">
      <alignment vertical="center"/>
    </xf>
    <xf numFmtId="49" fontId="11" fillId="11" borderId="1" xfId="11" applyNumberFormat="1" applyFont="1" applyFill="1" applyBorder="1" applyAlignment="1">
      <alignment vertical="center" wrapText="1"/>
    </xf>
    <xf numFmtId="0" fontId="25" fillId="11" borderId="0" xfId="11" applyFont="1" applyFill="1" applyAlignment="1">
      <alignment horizontal="center" vertical="center"/>
    </xf>
    <xf numFmtId="49" fontId="25" fillId="11" borderId="0" xfId="11" applyNumberFormat="1" applyFont="1" applyFill="1" applyAlignment="1">
      <alignment horizontal="center" vertical="center"/>
    </xf>
    <xf numFmtId="49" fontId="26" fillId="11" borderId="0" xfId="11" applyNumberFormat="1" applyFont="1" applyFill="1" applyAlignment="1">
      <alignment horizontal="center" vertical="center"/>
    </xf>
    <xf numFmtId="49" fontId="22" fillId="11" borderId="0" xfId="11" applyNumberFormat="1" applyFont="1" applyFill="1" applyAlignment="1">
      <alignment horizontal="center" vertical="center"/>
    </xf>
    <xf numFmtId="164" fontId="23" fillId="11" borderId="1" xfId="8" applyFont="1" applyFill="1" applyBorder="1" applyAlignment="1" applyProtection="1">
      <alignment horizontal="center" vertical="center" wrapText="1"/>
      <protection locked="0"/>
    </xf>
    <xf numFmtId="0" fontId="23" fillId="11" borderId="1" xfId="11" applyFont="1" applyFill="1" applyBorder="1" applyAlignment="1">
      <alignment horizontal="center" vertical="center" wrapText="1"/>
    </xf>
    <xf numFmtId="164" fontId="23" fillId="11" borderId="1" xfId="8" applyFont="1" applyFill="1" applyBorder="1" applyAlignment="1">
      <alignment vertical="center"/>
    </xf>
    <xf numFmtId="49" fontId="13" fillId="0" borderId="14" xfId="11" applyNumberFormat="1" applyFont="1" applyBorder="1" applyAlignment="1">
      <alignment horizontal="center" vertical="center" wrapText="1"/>
    </xf>
    <xf numFmtId="0" fontId="0" fillId="0" borderId="2" xfId="0" applyBorder="1" applyAlignment="1">
      <alignment horizontal="left"/>
    </xf>
    <xf numFmtId="0" fontId="9" fillId="0" borderId="8" xfId="0" applyFont="1" applyBorder="1" applyAlignment="1">
      <alignment horizontal="left" indent="2"/>
    </xf>
    <xf numFmtId="0" fontId="0" fillId="0" borderId="5" xfId="0" applyBorder="1" applyAlignment="1">
      <alignment horizontal="left" wrapText="1"/>
    </xf>
    <xf numFmtId="164" fontId="9" fillId="0" borderId="40" xfId="8" applyFont="1" applyFill="1" applyBorder="1" applyAlignment="1">
      <alignment horizontal="center" vertical="center" wrapText="1"/>
    </xf>
    <xf numFmtId="164" fontId="4" fillId="0" borderId="41" xfId="8" applyFont="1" applyFill="1" applyBorder="1" applyAlignment="1">
      <alignment vertical="center" wrapText="1"/>
    </xf>
    <xf numFmtId="164" fontId="9" fillId="0" borderId="46" xfId="8" applyFont="1" applyFill="1" applyBorder="1" applyAlignment="1">
      <alignment horizontal="center" vertical="center" wrapText="1"/>
    </xf>
    <xf numFmtId="0" fontId="7" fillId="13" borderId="8" xfId="0" applyFont="1" applyFill="1" applyBorder="1" applyAlignment="1">
      <alignment horizontal="left" indent="1"/>
    </xf>
    <xf numFmtId="164" fontId="7" fillId="13" borderId="13" xfId="8" applyFont="1" applyFill="1" applyBorder="1" applyAlignment="1">
      <alignment horizontal="center" vertical="center"/>
    </xf>
    <xf numFmtId="164" fontId="7" fillId="13" borderId="0" xfId="8" applyFont="1" applyFill="1" applyBorder="1"/>
    <xf numFmtId="164" fontId="2" fillId="13" borderId="0" xfId="8" applyFont="1" applyFill="1" applyBorder="1" applyAlignment="1">
      <alignment horizontal="left"/>
    </xf>
    <xf numFmtId="164" fontId="2" fillId="13" borderId="14" xfId="8" applyFont="1" applyFill="1" applyBorder="1" applyAlignment="1">
      <alignment horizontal="left"/>
    </xf>
    <xf numFmtId="0" fontId="2" fillId="13" borderId="0" xfId="0" applyFont="1" applyFill="1"/>
    <xf numFmtId="0" fontId="8" fillId="13" borderId="8" xfId="0" applyFont="1" applyFill="1" applyBorder="1" applyAlignment="1">
      <alignment horizontal="left" indent="1"/>
    </xf>
    <xf numFmtId="164" fontId="8" fillId="13" borderId="13" xfId="8" applyFont="1" applyFill="1" applyBorder="1" applyAlignment="1">
      <alignment horizontal="center" vertical="center"/>
    </xf>
    <xf numFmtId="164" fontId="8" fillId="13" borderId="0" xfId="8" applyFont="1" applyFill="1" applyBorder="1"/>
    <xf numFmtId="164" fontId="2" fillId="0" borderId="36" xfId="8" applyFont="1" applyBorder="1" applyAlignment="1">
      <alignment horizontal="center" vertical="center"/>
    </xf>
    <xf numFmtId="164" fontId="2" fillId="0" borderId="37" xfId="8" applyFont="1" applyBorder="1" applyAlignment="1">
      <alignment horizontal="center" vertical="center"/>
    </xf>
    <xf numFmtId="164" fontId="2" fillId="0" borderId="21" xfId="8" applyFont="1" applyBorder="1" applyAlignment="1">
      <alignment horizontal="center" vertical="center"/>
    </xf>
    <xf numFmtId="0" fontId="22" fillId="7" borderId="5" xfId="11" applyFont="1" applyFill="1" applyBorder="1" applyAlignment="1">
      <alignment horizontal="center" vertical="center"/>
    </xf>
    <xf numFmtId="0" fontId="22" fillId="7" borderId="40" xfId="11" applyFont="1" applyFill="1" applyBorder="1" applyAlignment="1">
      <alignment horizontal="center" vertical="center"/>
    </xf>
    <xf numFmtId="0" fontId="22" fillId="7" borderId="4" xfId="11" applyFont="1" applyFill="1" applyBorder="1" applyAlignment="1">
      <alignment horizontal="center" vertical="center"/>
    </xf>
    <xf numFmtId="0" fontId="22" fillId="0" borderId="39" xfId="11" applyFont="1" applyBorder="1" applyAlignment="1">
      <alignment horizontal="center" vertical="center" wrapText="1"/>
    </xf>
    <xf numFmtId="0" fontId="22" fillId="0" borderId="32" xfId="11" applyFont="1" applyBorder="1" applyAlignment="1">
      <alignment horizontal="center" vertical="center" wrapText="1"/>
    </xf>
    <xf numFmtId="0" fontId="22" fillId="0" borderId="26" xfId="11" applyFont="1" applyBorder="1" applyAlignment="1">
      <alignment horizontal="center" vertical="center" wrapText="1"/>
    </xf>
    <xf numFmtId="165" fontId="22" fillId="0" borderId="38" xfId="8" applyNumberFormat="1" applyFont="1" applyBorder="1" applyAlignment="1">
      <alignment horizontal="center" vertical="center" wrapText="1"/>
    </xf>
    <xf numFmtId="165" fontId="22" fillId="0" borderId="1" xfId="8" applyNumberFormat="1" applyFont="1" applyBorder="1" applyAlignment="1">
      <alignment horizontal="center" vertical="center" wrapText="1"/>
    </xf>
    <xf numFmtId="165" fontId="22" fillId="0" borderId="25" xfId="8" applyNumberFormat="1" applyFont="1" applyBorder="1" applyAlignment="1">
      <alignment horizontal="center" vertical="center" wrapText="1"/>
    </xf>
    <xf numFmtId="0" fontId="22" fillId="0" borderId="1" xfId="11" applyFont="1" applyBorder="1" applyAlignment="1">
      <alignment horizontal="center" vertical="center" wrapText="1"/>
    </xf>
    <xf numFmtId="166" fontId="22" fillId="0" borderId="35" xfId="1" applyNumberFormat="1" applyFont="1" applyBorder="1" applyAlignment="1">
      <alignment horizontal="center" vertical="center" wrapText="1"/>
    </xf>
    <xf numFmtId="166" fontId="22" fillId="0" borderId="34" xfId="1" applyNumberFormat="1" applyFont="1" applyBorder="1" applyAlignment="1">
      <alignment horizontal="center" vertical="center" wrapText="1"/>
    </xf>
    <xf numFmtId="0" fontId="25" fillId="0" borderId="33" xfId="11" applyFont="1" applyBorder="1" applyAlignment="1">
      <alignment horizontal="center" vertical="center" wrapText="1"/>
    </xf>
    <xf numFmtId="0" fontId="25" fillId="0" borderId="27" xfId="11" applyFont="1" applyBorder="1" applyAlignment="1">
      <alignment horizontal="center" vertical="center" wrapText="1"/>
    </xf>
    <xf numFmtId="0" fontId="25" fillId="0" borderId="23" xfId="11" applyFont="1" applyBorder="1" applyAlignment="1">
      <alignment horizontal="center" vertical="center" wrapText="1"/>
    </xf>
    <xf numFmtId="0" fontId="22" fillId="0" borderId="38" xfId="11" applyFont="1" applyBorder="1" applyAlignment="1">
      <alignment horizontal="center" vertical="center" wrapText="1"/>
    </xf>
    <xf numFmtId="0" fontId="22" fillId="0" borderId="25" xfId="11" applyFont="1" applyBorder="1" applyAlignment="1">
      <alignment horizontal="center" vertical="center" wrapText="1"/>
    </xf>
    <xf numFmtId="164" fontId="22" fillId="0" borderId="36" xfId="8" applyFont="1" applyBorder="1" applyAlignment="1">
      <alignment horizontal="center" vertical="center" wrapText="1"/>
    </xf>
    <xf numFmtId="164" fontId="22" fillId="0" borderId="37" xfId="8" applyFont="1" applyBorder="1" applyAlignment="1">
      <alignment horizontal="center" vertical="center" wrapText="1"/>
    </xf>
    <xf numFmtId="164" fontId="22" fillId="0" borderId="21" xfId="8" applyFont="1" applyBorder="1" applyAlignment="1">
      <alignment horizontal="center" vertical="center" wrapText="1"/>
    </xf>
    <xf numFmtId="164" fontId="22" fillId="0" borderId="15" xfId="8" applyFont="1" applyBorder="1" applyAlignment="1">
      <alignment horizontal="center" vertical="center" wrapText="1"/>
    </xf>
    <xf numFmtId="164" fontId="22" fillId="0" borderId="16" xfId="8" applyFont="1" applyBorder="1" applyAlignment="1">
      <alignment horizontal="center" vertical="center" wrapText="1"/>
    </xf>
    <xf numFmtId="164" fontId="22" fillId="0" borderId="17" xfId="8" applyFont="1" applyBorder="1" applyAlignment="1">
      <alignment horizontal="center" vertical="center" wrapText="1"/>
    </xf>
    <xf numFmtId="0" fontId="22" fillId="0" borderId="36" xfId="11" applyFont="1" applyBorder="1" applyAlignment="1">
      <alignment horizontal="center" vertical="center" wrapText="1"/>
    </xf>
    <xf numFmtId="0" fontId="22" fillId="0" borderId="21" xfId="11" applyFont="1" applyBorder="1" applyAlignment="1">
      <alignment horizontal="center" vertical="center" wrapText="1"/>
    </xf>
    <xf numFmtId="0" fontId="22" fillId="0" borderId="15" xfId="11" applyFont="1" applyBorder="1" applyAlignment="1">
      <alignment horizontal="center" vertical="center" wrapText="1"/>
    </xf>
    <xf numFmtId="0" fontId="22" fillId="0" borderId="17" xfId="11" applyFont="1" applyBorder="1" applyAlignment="1">
      <alignment horizontal="center" vertical="center" wrapText="1"/>
    </xf>
    <xf numFmtId="0" fontId="22" fillId="0" borderId="20" xfId="11" applyFont="1" applyBorder="1" applyAlignment="1">
      <alignment horizontal="center" vertical="center" wrapText="1"/>
    </xf>
    <xf numFmtId="0" fontId="22" fillId="0" borderId="31" xfId="11" applyFont="1" applyBorder="1" applyAlignment="1">
      <alignment horizontal="center" vertical="center" wrapText="1"/>
    </xf>
    <xf numFmtId="0" fontId="22" fillId="0" borderId="24" xfId="11" applyFont="1" applyBorder="1" applyAlignment="1">
      <alignment horizontal="center" vertical="center" wrapText="1"/>
    </xf>
    <xf numFmtId="166" fontId="22" fillId="0" borderId="30" xfId="1" applyNumberFormat="1" applyFont="1" applyBorder="1" applyAlignment="1">
      <alignment horizontal="center" vertical="center" wrapText="1"/>
    </xf>
    <xf numFmtId="166" fontId="22" fillId="0" borderId="29" xfId="1" applyNumberFormat="1" applyFont="1" applyBorder="1" applyAlignment="1">
      <alignment horizontal="center" vertical="center" wrapText="1"/>
    </xf>
    <xf numFmtId="166" fontId="22" fillId="0" borderId="28" xfId="1" applyNumberFormat="1" applyFont="1" applyBorder="1" applyAlignment="1">
      <alignment horizontal="center" vertical="center" wrapText="1"/>
    </xf>
    <xf numFmtId="164" fontId="22" fillId="0" borderId="18" xfId="8" applyFont="1" applyBorder="1" applyAlignment="1">
      <alignment horizontal="center" vertical="center" wrapText="1"/>
    </xf>
    <xf numFmtId="164" fontId="22" fillId="0" borderId="24" xfId="8" applyFont="1" applyBorder="1" applyAlignment="1">
      <alignment horizontal="center" vertical="center" wrapText="1"/>
    </xf>
    <xf numFmtId="0" fontId="15" fillId="0" borderId="12" xfId="11" applyFont="1" applyBorder="1" applyAlignment="1">
      <alignment horizontal="left" vertical="center" wrapText="1"/>
    </xf>
    <xf numFmtId="166" fontId="22" fillId="0" borderId="1" xfId="1" applyNumberFormat="1" applyFont="1" applyBorder="1" applyAlignment="1">
      <alignment horizontal="center" vertical="center" wrapText="1"/>
    </xf>
    <xf numFmtId="166" fontId="22" fillId="0" borderId="1" xfId="8" applyNumberFormat="1" applyFont="1" applyBorder="1" applyAlignment="1">
      <alignment horizontal="center" vertical="center" wrapText="1"/>
    </xf>
    <xf numFmtId="3" fontId="22" fillId="0" borderId="38" xfId="11" applyNumberFormat="1" applyFont="1" applyBorder="1" applyAlignment="1">
      <alignment vertical="center" wrapText="1"/>
    </xf>
    <xf numFmtId="3" fontId="22" fillId="0" borderId="1" xfId="11" applyNumberFormat="1" applyFont="1" applyBorder="1" applyAlignment="1">
      <alignment vertical="center" wrapText="1"/>
    </xf>
    <xf numFmtId="3" fontId="22" fillId="0" borderId="25" xfId="11" applyNumberFormat="1" applyFont="1" applyBorder="1" applyAlignment="1">
      <alignment vertical="center" wrapText="1"/>
    </xf>
    <xf numFmtId="166" fontId="22" fillId="0" borderId="45" xfId="1" applyNumberFormat="1" applyFont="1" applyBorder="1" applyAlignment="1">
      <alignment horizontal="center" vertical="center" wrapText="1"/>
    </xf>
    <xf numFmtId="166" fontId="22" fillId="0" borderId="18" xfId="1" applyNumberFormat="1" applyFont="1" applyBorder="1" applyAlignment="1">
      <alignment horizontal="center" vertical="center" wrapText="1"/>
    </xf>
    <xf numFmtId="166" fontId="22" fillId="0" borderId="24" xfId="1" applyNumberFormat="1" applyFont="1" applyBorder="1" applyAlignment="1">
      <alignment horizontal="center" vertical="center" wrapText="1"/>
    </xf>
    <xf numFmtId="0" fontId="22" fillId="0" borderId="0" xfId="11" applyFont="1" applyAlignment="1">
      <alignment horizontal="center" vertical="center"/>
    </xf>
    <xf numFmtId="0" fontId="35" fillId="0" borderId="38" xfId="11" applyFont="1" applyBorder="1" applyAlignment="1">
      <alignment horizontal="center" vertical="center" wrapText="1"/>
    </xf>
    <xf numFmtId="0" fontId="35" fillId="0" borderId="1" xfId="11" applyFont="1" applyBorder="1" applyAlignment="1">
      <alignment horizontal="center" vertical="center" wrapText="1"/>
    </xf>
    <xf numFmtId="0" fontId="35" fillId="0" borderId="25" xfId="11" applyFont="1" applyBorder="1" applyAlignment="1">
      <alignment horizontal="center" vertical="center" wrapText="1"/>
    </xf>
    <xf numFmtId="166" fontId="22" fillId="0" borderId="38" xfId="1" applyNumberFormat="1" applyFont="1" applyBorder="1" applyAlignment="1">
      <alignment horizontal="center" vertical="center" wrapText="1"/>
    </xf>
    <xf numFmtId="166" fontId="35" fillId="0" borderId="1" xfId="1" applyNumberFormat="1" applyFont="1" applyBorder="1" applyAlignment="1">
      <alignment horizontal="center" vertical="center" wrapText="1"/>
    </xf>
    <xf numFmtId="49" fontId="13" fillId="0" borderId="10" xfId="11" applyNumberFormat="1" applyFont="1" applyBorder="1" applyAlignment="1">
      <alignment horizontal="center" vertical="center" wrapText="1"/>
    </xf>
    <xf numFmtId="0" fontId="22" fillId="7" borderId="6" xfId="11" applyFont="1" applyFill="1" applyBorder="1" applyAlignment="1">
      <alignment horizontal="center" vertical="center"/>
    </xf>
    <xf numFmtId="0" fontId="22" fillId="7" borderId="7" xfId="11" applyFont="1" applyFill="1" applyBorder="1" applyAlignment="1">
      <alignment horizontal="center" vertical="center"/>
    </xf>
    <xf numFmtId="0" fontId="22" fillId="7" borderId="44" xfId="11" applyFont="1" applyFill="1" applyBorder="1" applyAlignment="1">
      <alignment horizontal="center" vertical="center"/>
    </xf>
    <xf numFmtId="3" fontId="35" fillId="0" borderId="38" xfId="11" applyNumberFormat="1" applyFont="1" applyBorder="1" applyAlignment="1">
      <alignment horizontal="center" vertical="center" wrapText="1"/>
    </xf>
    <xf numFmtId="3" fontId="35" fillId="0" borderId="1" xfId="11" applyNumberFormat="1" applyFont="1" applyBorder="1" applyAlignment="1">
      <alignment horizontal="center" vertical="center" wrapText="1"/>
    </xf>
    <xf numFmtId="3" fontId="35" fillId="0" borderId="25" xfId="11" applyNumberFormat="1" applyFont="1" applyBorder="1" applyAlignment="1">
      <alignment horizontal="center" vertical="center" wrapText="1"/>
    </xf>
    <xf numFmtId="3" fontId="22" fillId="0" borderId="36" xfId="11" applyNumberFormat="1" applyFont="1" applyBorder="1" applyAlignment="1">
      <alignment horizontal="center" vertical="center" wrapText="1"/>
    </xf>
    <xf numFmtId="3" fontId="22" fillId="0" borderId="37" xfId="11" applyNumberFormat="1" applyFont="1" applyBorder="1" applyAlignment="1">
      <alignment horizontal="center" vertical="center" wrapText="1"/>
    </xf>
    <xf numFmtId="3" fontId="22" fillId="0" borderId="21" xfId="11" applyNumberFormat="1" applyFont="1" applyBorder="1" applyAlignment="1">
      <alignment horizontal="center" vertical="center" wrapText="1"/>
    </xf>
    <xf numFmtId="3" fontId="22" fillId="0" borderId="15" xfId="11" applyNumberFormat="1" applyFont="1" applyBorder="1" applyAlignment="1">
      <alignment horizontal="center" vertical="center" wrapText="1"/>
    </xf>
    <xf numFmtId="3" fontId="22" fillId="0" borderId="16" xfId="11" applyNumberFormat="1" applyFont="1" applyBorder="1" applyAlignment="1">
      <alignment horizontal="center" vertical="center" wrapText="1"/>
    </xf>
    <xf numFmtId="3" fontId="22" fillId="0" borderId="17" xfId="11" applyNumberFormat="1" applyFont="1" applyBorder="1" applyAlignment="1">
      <alignment horizontal="center" vertical="center" wrapText="1"/>
    </xf>
    <xf numFmtId="0" fontId="6" fillId="0" borderId="0" xfId="0" applyFont="1" applyAlignment="1">
      <alignment wrapText="1"/>
    </xf>
    <xf numFmtId="0" fontId="6" fillId="0" borderId="0" xfId="0" applyFont="1" applyAlignment="1">
      <alignment horizontal="center"/>
    </xf>
    <xf numFmtId="0" fontId="1" fillId="0" borderId="0" xfId="0" applyFont="1" applyAlignment="1">
      <alignment horizontal="center"/>
    </xf>
    <xf numFmtId="166" fontId="35" fillId="0" borderId="36" xfId="8" applyNumberFormat="1" applyFont="1" applyFill="1" applyBorder="1" applyAlignment="1">
      <alignment horizontal="center" vertical="center" wrapText="1"/>
    </xf>
    <xf numFmtId="166" fontId="35" fillId="0" borderId="37" xfId="8" applyNumberFormat="1" applyFont="1" applyFill="1" applyBorder="1" applyAlignment="1">
      <alignment horizontal="center" vertical="center" wrapText="1"/>
    </xf>
    <xf numFmtId="166" fontId="35" fillId="0" borderId="21" xfId="8" applyNumberFormat="1" applyFont="1" applyFill="1" applyBorder="1" applyAlignment="1">
      <alignment horizontal="center" vertical="center" wrapText="1"/>
    </xf>
    <xf numFmtId="166" fontId="35" fillId="0" borderId="15" xfId="8" applyNumberFormat="1" applyFont="1" applyFill="1" applyBorder="1" applyAlignment="1">
      <alignment horizontal="center" vertical="center" wrapText="1"/>
    </xf>
    <xf numFmtId="166" fontId="35" fillId="0" borderId="16" xfId="8" applyNumberFormat="1" applyFont="1" applyFill="1" applyBorder="1" applyAlignment="1">
      <alignment horizontal="center" vertical="center" wrapText="1"/>
    </xf>
    <xf numFmtId="166" fontId="35" fillId="0" borderId="17" xfId="8" applyNumberFormat="1" applyFont="1" applyFill="1" applyBorder="1" applyAlignment="1">
      <alignment horizontal="center" vertical="center" wrapText="1"/>
    </xf>
    <xf numFmtId="166" fontId="35" fillId="0" borderId="38" xfId="8" applyNumberFormat="1" applyFont="1" applyFill="1" applyBorder="1" applyAlignment="1">
      <alignment horizontal="center" vertical="center" wrapText="1"/>
    </xf>
    <xf numFmtId="166" fontId="35" fillId="0" borderId="1" xfId="8" applyNumberFormat="1" applyFont="1" applyFill="1" applyBorder="1" applyAlignment="1">
      <alignment horizontal="center" vertical="center" wrapText="1"/>
    </xf>
    <xf numFmtId="166" fontId="35" fillId="0" borderId="25" xfId="8" applyNumberFormat="1" applyFont="1" applyFill="1" applyBorder="1" applyAlignment="1">
      <alignment horizontal="center" vertical="center" wrapText="1"/>
    </xf>
    <xf numFmtId="166" fontId="32" fillId="0" borderId="33" xfId="8" applyNumberFormat="1" applyFont="1" applyFill="1" applyBorder="1" applyAlignment="1">
      <alignment horizontal="center" vertical="center" wrapText="1"/>
    </xf>
    <xf numFmtId="166" fontId="32" fillId="0" borderId="27" xfId="8" applyNumberFormat="1" applyFont="1" applyFill="1" applyBorder="1" applyAlignment="1">
      <alignment horizontal="center" vertical="center" wrapText="1"/>
    </xf>
    <xf numFmtId="166" fontId="32" fillId="0" borderId="23" xfId="8" applyNumberFormat="1" applyFont="1" applyFill="1" applyBorder="1" applyAlignment="1">
      <alignment horizontal="center" vertical="center" wrapText="1"/>
    </xf>
    <xf numFmtId="166" fontId="35" fillId="0" borderId="0" xfId="8" applyNumberFormat="1" applyFont="1" applyFill="1" applyAlignment="1">
      <alignment horizontal="center" vertical="center"/>
    </xf>
    <xf numFmtId="0" fontId="35" fillId="0" borderId="0" xfId="11" applyFont="1" applyAlignment="1">
      <alignment horizontal="center" vertical="center"/>
    </xf>
    <xf numFmtId="166" fontId="35" fillId="0" borderId="6" xfId="8" applyNumberFormat="1" applyFont="1" applyFill="1" applyBorder="1" applyAlignment="1">
      <alignment horizontal="center" vertical="center"/>
    </xf>
    <xf numFmtId="166" fontId="35" fillId="0" borderId="7" xfId="8" applyNumberFormat="1" applyFont="1" applyFill="1" applyBorder="1" applyAlignment="1">
      <alignment horizontal="center" vertical="center"/>
    </xf>
    <xf numFmtId="166" fontId="35" fillId="0" borderId="44" xfId="8" applyNumberFormat="1" applyFont="1" applyFill="1" applyBorder="1" applyAlignment="1">
      <alignment horizontal="center" vertical="center"/>
    </xf>
    <xf numFmtId="166" fontId="35" fillId="0" borderId="39" xfId="8" applyNumberFormat="1" applyFont="1" applyFill="1" applyBorder="1" applyAlignment="1">
      <alignment horizontal="center" vertical="center" wrapText="1"/>
    </xf>
    <xf numFmtId="166" fontId="35" fillId="0" borderId="32" xfId="8" applyNumberFormat="1" applyFont="1" applyFill="1" applyBorder="1" applyAlignment="1">
      <alignment horizontal="center" vertical="center" wrapText="1"/>
    </xf>
    <xf numFmtId="166" fontId="35" fillId="0" borderId="26" xfId="8" applyNumberFormat="1" applyFont="1" applyFill="1" applyBorder="1" applyAlignment="1">
      <alignment horizontal="center" vertical="center" wrapText="1"/>
    </xf>
    <xf numFmtId="49" fontId="11" fillId="3" borderId="1" xfId="11" applyNumberFormat="1" applyFont="1" applyFill="1" applyBorder="1" applyAlignment="1">
      <alignment horizontal="left" vertical="center" wrapText="1"/>
    </xf>
    <xf numFmtId="49" fontId="11" fillId="0" borderId="1" xfId="11" applyNumberFormat="1" applyFont="1" applyBorder="1" applyAlignment="1">
      <alignment horizontal="left" vertical="center" wrapText="1"/>
    </xf>
    <xf numFmtId="0" fontId="28" fillId="0" borderId="0" xfId="11" applyFont="1" applyAlignment="1">
      <alignment horizontal="center" vertical="center"/>
    </xf>
    <xf numFmtId="164" fontId="25" fillId="0" borderId="0" xfId="1" applyFont="1" applyAlignment="1">
      <alignment horizontal="left" vertical="center" wrapText="1"/>
    </xf>
    <xf numFmtId="166" fontId="25" fillId="0" borderId="0" xfId="1" applyNumberFormat="1" applyFont="1" applyAlignment="1">
      <alignment horizontal="left" vertical="center" wrapText="1"/>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F5465A69-FB4F-CA4B-B790-8EA0DDAB379C}"/>
    <cellStyle name="Normal 3" xfId="4" xr:uid="{00000000-0005-0000-0000-000007000000}"/>
    <cellStyle name="Normal 3 2" xfId="6" xr:uid="{00000000-0005-0000-0000-000008000000}"/>
    <cellStyle name="Percent" xfId="10" builtinId="5"/>
    <cellStyle name="Percent 3 2" xfId="7" xr:uid="{00000000-0005-0000-0000-000009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
  <sheetViews>
    <sheetView tabSelected="1" topLeftCell="A8" zoomScaleNormal="100" workbookViewId="0">
      <pane xSplit="1" ySplit="2" topLeftCell="B10" activePane="bottomRight" state="frozen"/>
      <selection activeCell="A8" sqref="A8"/>
      <selection pane="topRight" activeCell="B8" sqref="B8"/>
      <selection pane="bottomLeft" activeCell="A10" sqref="A10"/>
      <selection pane="bottomRight" activeCell="B8" sqref="B8:G8"/>
    </sheetView>
  </sheetViews>
  <sheetFormatPr defaultColWidth="8.85546875" defaultRowHeight="15" x14ac:dyDescent="0.25"/>
  <cols>
    <col min="1" max="1" width="19.28515625" style="1" customWidth="1"/>
    <col min="2" max="7" width="14.85546875" style="4" customWidth="1"/>
    <col min="8" max="11" width="8.85546875" hidden="1" customWidth="1"/>
    <col min="12" max="12" width="13.28515625" hidden="1" customWidth="1"/>
    <col min="13" max="13" width="12.7109375" hidden="1" customWidth="1"/>
    <col min="14" max="18" width="8.85546875" hidden="1" customWidth="1"/>
    <col min="19" max="19" width="13.7109375" hidden="1" customWidth="1"/>
    <col min="20" max="27" width="0" hidden="1" customWidth="1"/>
  </cols>
  <sheetData>
    <row r="1" spans="1:19" ht="15" hidden="1" customHeight="1" x14ac:dyDescent="0.25"/>
    <row r="2" spans="1:19" ht="15" hidden="1" customHeight="1" x14ac:dyDescent="0.25"/>
    <row r="3" spans="1:19" ht="15" hidden="1" customHeight="1" x14ac:dyDescent="0.25"/>
    <row r="4" spans="1:19" ht="15" hidden="1" customHeight="1" x14ac:dyDescent="0.25"/>
    <row r="5" spans="1:19" ht="15" hidden="1" customHeight="1" x14ac:dyDescent="0.25"/>
    <row r="6" spans="1:19" ht="15" hidden="1" customHeight="1" x14ac:dyDescent="0.25"/>
    <row r="7" spans="1:19" ht="15" hidden="1" customHeight="1" x14ac:dyDescent="0.25"/>
    <row r="8" spans="1:19" ht="47.25" customHeight="1" x14ac:dyDescent="0.25">
      <c r="A8" s="708"/>
      <c r="B8" s="723" t="s">
        <v>335</v>
      </c>
      <c r="C8" s="724"/>
      <c r="D8" s="724"/>
      <c r="E8" s="724"/>
      <c r="F8" s="724"/>
      <c r="G8" s="725"/>
      <c r="H8" s="723" t="s">
        <v>329</v>
      </c>
      <c r="I8" s="724"/>
      <c r="J8" s="724"/>
      <c r="K8" s="724"/>
      <c r="L8" s="724"/>
      <c r="M8" s="725"/>
      <c r="N8" s="723" t="s">
        <v>333</v>
      </c>
      <c r="O8" s="724"/>
      <c r="P8" s="724"/>
      <c r="Q8" s="724"/>
      <c r="R8" s="724"/>
      <c r="S8" s="725"/>
    </row>
    <row r="9" spans="1:19" s="2" customFormat="1" ht="48" customHeight="1" thickBot="1" x14ac:dyDescent="0.3">
      <c r="A9" s="710"/>
      <c r="B9" s="711" t="s">
        <v>6</v>
      </c>
      <c r="C9" s="711" t="s">
        <v>331</v>
      </c>
      <c r="D9" s="711" t="s">
        <v>332</v>
      </c>
      <c r="E9" s="711" t="s">
        <v>99</v>
      </c>
      <c r="F9" s="711" t="s">
        <v>95</v>
      </c>
      <c r="G9" s="713" t="s">
        <v>330</v>
      </c>
      <c r="H9" s="711" t="s">
        <v>6</v>
      </c>
      <c r="I9" s="711" t="s">
        <v>331</v>
      </c>
      <c r="J9" s="711" t="s">
        <v>332</v>
      </c>
      <c r="K9" s="711" t="s">
        <v>99</v>
      </c>
      <c r="L9" s="711" t="s">
        <v>95</v>
      </c>
      <c r="M9" s="713" t="s">
        <v>330</v>
      </c>
      <c r="N9" s="712" t="s">
        <v>6</v>
      </c>
      <c r="O9" s="711" t="s">
        <v>97</v>
      </c>
      <c r="P9" s="711" t="s">
        <v>98</v>
      </c>
      <c r="Q9" s="711" t="s">
        <v>99</v>
      </c>
      <c r="R9" s="711" t="s">
        <v>95</v>
      </c>
      <c r="S9" s="713" t="s">
        <v>96</v>
      </c>
    </row>
    <row r="10" spans="1:19" s="719" customFormat="1" ht="16.5" x14ac:dyDescent="0.3">
      <c r="A10" s="714" t="s">
        <v>334</v>
      </c>
      <c r="B10" s="715">
        <f t="shared" ref="B10:S10" si="0">SUM(B11:B16)</f>
        <v>1788</v>
      </c>
      <c r="C10" s="716">
        <f t="shared" si="0"/>
        <v>319</v>
      </c>
      <c r="D10" s="716">
        <f t="shared" si="0"/>
        <v>1737</v>
      </c>
      <c r="E10" s="717">
        <f t="shared" si="0"/>
        <v>2056</v>
      </c>
      <c r="F10" s="717">
        <f t="shared" si="0"/>
        <v>0</v>
      </c>
      <c r="G10" s="718">
        <f t="shared" si="0"/>
        <v>20278876</v>
      </c>
      <c r="H10" s="715">
        <f t="shared" si="0"/>
        <v>0</v>
      </c>
      <c r="I10" s="716">
        <f t="shared" si="0"/>
        <v>0</v>
      </c>
      <c r="J10" s="716">
        <f t="shared" si="0"/>
        <v>0</v>
      </c>
      <c r="K10" s="717">
        <f t="shared" si="0"/>
        <v>0</v>
      </c>
      <c r="L10" s="717">
        <f t="shared" si="0"/>
        <v>0</v>
      </c>
      <c r="M10" s="718">
        <f t="shared" si="0"/>
        <v>0</v>
      </c>
      <c r="N10" s="715">
        <f t="shared" si="0"/>
        <v>0</v>
      </c>
      <c r="O10" s="716">
        <f t="shared" si="0"/>
        <v>0</v>
      </c>
      <c r="P10" s="716">
        <f t="shared" si="0"/>
        <v>0</v>
      </c>
      <c r="Q10" s="717">
        <f t="shared" si="0"/>
        <v>0</v>
      </c>
      <c r="R10" s="717">
        <f t="shared" si="0"/>
        <v>0</v>
      </c>
      <c r="S10" s="718">
        <f t="shared" si="0"/>
        <v>0</v>
      </c>
    </row>
    <row r="11" spans="1:19" ht="16.5" x14ac:dyDescent="0.3">
      <c r="A11" s="709" t="s">
        <v>336</v>
      </c>
      <c r="B11" s="6">
        <v>177</v>
      </c>
      <c r="C11" s="5">
        <v>130</v>
      </c>
      <c r="D11" s="5">
        <v>88</v>
      </c>
      <c r="E11" s="4">
        <v>218</v>
      </c>
      <c r="G11" s="7">
        <v>3007648</v>
      </c>
      <c r="H11" s="6"/>
      <c r="I11" s="5"/>
      <c r="J11" s="5"/>
      <c r="K11" s="4"/>
      <c r="L11" s="4"/>
      <c r="M11" s="7"/>
      <c r="N11" s="6"/>
      <c r="O11" s="5"/>
      <c r="P11" s="5"/>
      <c r="Q11" s="4"/>
      <c r="R11" s="4"/>
      <c r="S11" s="7"/>
    </row>
    <row r="12" spans="1:19" ht="16.5" x14ac:dyDescent="0.3">
      <c r="A12" s="709" t="s">
        <v>337</v>
      </c>
      <c r="B12" s="8">
        <v>985</v>
      </c>
      <c r="C12" s="3"/>
      <c r="D12" s="3">
        <v>1120</v>
      </c>
      <c r="E12" s="4">
        <v>1120</v>
      </c>
      <c r="G12" s="7">
        <v>9458176</v>
      </c>
      <c r="H12" s="8"/>
      <c r="I12" s="3"/>
      <c r="J12" s="3"/>
      <c r="K12" s="4">
        <f t="shared" ref="K12:K22" si="1">SUM(I12:J12)</f>
        <v>0</v>
      </c>
      <c r="L12" s="4"/>
      <c r="M12" s="7"/>
      <c r="N12" s="8"/>
      <c r="O12" s="3"/>
      <c r="P12" s="3"/>
      <c r="Q12" s="4">
        <f t="shared" ref="Q12:Q22" si="2">SUM(O12:P12)</f>
        <v>0</v>
      </c>
      <c r="R12" s="4"/>
      <c r="S12" s="7"/>
    </row>
    <row r="13" spans="1:19" ht="16.5" x14ac:dyDescent="0.3">
      <c r="A13" s="709" t="s">
        <v>338</v>
      </c>
      <c r="B13" s="8">
        <v>50</v>
      </c>
      <c r="C13" s="3">
        <v>44</v>
      </c>
      <c r="D13" s="3">
        <v>16</v>
      </c>
      <c r="E13" s="4">
        <v>60</v>
      </c>
      <c r="G13" s="7">
        <v>561808</v>
      </c>
      <c r="H13" s="8"/>
      <c r="I13" s="3"/>
      <c r="J13" s="3"/>
      <c r="K13" s="4">
        <f t="shared" si="1"/>
        <v>0</v>
      </c>
      <c r="L13" s="4"/>
      <c r="M13" s="7"/>
      <c r="N13" s="8"/>
      <c r="O13" s="3"/>
      <c r="P13" s="3"/>
      <c r="Q13" s="4">
        <f t="shared" si="2"/>
        <v>0</v>
      </c>
      <c r="R13" s="4"/>
      <c r="S13" s="7"/>
    </row>
    <row r="14" spans="1:19" ht="16.5" x14ac:dyDescent="0.3">
      <c r="A14" s="709" t="s">
        <v>339</v>
      </c>
      <c r="B14" s="8">
        <v>28</v>
      </c>
      <c r="C14" s="3"/>
      <c r="D14" s="3">
        <v>35</v>
      </c>
      <c r="E14" s="4">
        <v>35</v>
      </c>
      <c r="G14" s="7">
        <v>284200</v>
      </c>
      <c r="H14" s="8"/>
      <c r="I14" s="3"/>
      <c r="J14" s="3"/>
      <c r="K14" s="4">
        <f t="shared" si="1"/>
        <v>0</v>
      </c>
      <c r="L14" s="4"/>
      <c r="M14" s="7"/>
      <c r="N14" s="8"/>
      <c r="O14" s="3"/>
      <c r="P14" s="3"/>
      <c r="Q14" s="4">
        <f t="shared" si="2"/>
        <v>0</v>
      </c>
      <c r="R14" s="4"/>
      <c r="S14" s="7"/>
    </row>
    <row r="15" spans="1:19" ht="16.5" x14ac:dyDescent="0.3">
      <c r="A15" s="709" t="s">
        <v>341</v>
      </c>
      <c r="B15" s="8">
        <v>10</v>
      </c>
      <c r="C15" s="3">
        <v>10</v>
      </c>
      <c r="D15" s="3"/>
      <c r="E15" s="4">
        <v>10</v>
      </c>
      <c r="G15" s="7">
        <v>162400</v>
      </c>
      <c r="H15" s="8"/>
      <c r="I15" s="3"/>
      <c r="J15" s="3"/>
      <c r="K15" s="4"/>
      <c r="L15" s="4"/>
      <c r="M15" s="7"/>
      <c r="N15" s="8"/>
      <c r="O15" s="3"/>
      <c r="P15" s="3"/>
      <c r="Q15" s="4"/>
      <c r="R15" s="4"/>
      <c r="S15" s="7"/>
    </row>
    <row r="16" spans="1:19" ht="16.5" x14ac:dyDescent="0.3">
      <c r="A16" s="709" t="s">
        <v>340</v>
      </c>
      <c r="B16" s="8">
        <v>538</v>
      </c>
      <c r="C16" s="3">
        <v>135</v>
      </c>
      <c r="D16" s="3">
        <v>478</v>
      </c>
      <c r="E16" s="4">
        <v>613</v>
      </c>
      <c r="G16" s="7">
        <v>6804644</v>
      </c>
      <c r="H16" s="8"/>
      <c r="I16" s="3"/>
      <c r="J16" s="3"/>
      <c r="K16" s="4"/>
      <c r="L16" s="4"/>
      <c r="M16" s="7"/>
      <c r="N16" s="8"/>
      <c r="O16" s="3"/>
      <c r="P16" s="3"/>
      <c r="Q16" s="4"/>
      <c r="R16" s="4"/>
      <c r="S16" s="7"/>
    </row>
    <row r="17" spans="1:19" s="719" customFormat="1" ht="16.5" x14ac:dyDescent="0.3">
      <c r="A17" s="720" t="s">
        <v>342</v>
      </c>
      <c r="B17" s="721">
        <f t="shared" ref="B17:S17" si="3">SUM(B18:B22)</f>
        <v>600</v>
      </c>
      <c r="C17" s="722">
        <f t="shared" si="3"/>
        <v>711.76</v>
      </c>
      <c r="D17" s="722">
        <f t="shared" si="3"/>
        <v>20</v>
      </c>
      <c r="E17" s="717">
        <f t="shared" si="3"/>
        <v>731.76</v>
      </c>
      <c r="F17" s="717">
        <f t="shared" si="3"/>
        <v>0</v>
      </c>
      <c r="G17" s="718">
        <f t="shared" si="3"/>
        <v>11880660</v>
      </c>
      <c r="H17" s="721">
        <f t="shared" si="3"/>
        <v>0</v>
      </c>
      <c r="I17" s="722">
        <f t="shared" si="3"/>
        <v>0</v>
      </c>
      <c r="J17" s="722">
        <f t="shared" si="3"/>
        <v>0</v>
      </c>
      <c r="K17" s="717">
        <f t="shared" si="3"/>
        <v>0</v>
      </c>
      <c r="L17" s="717">
        <f t="shared" si="3"/>
        <v>0</v>
      </c>
      <c r="M17" s="718">
        <f t="shared" si="3"/>
        <v>0</v>
      </c>
      <c r="N17" s="721">
        <f t="shared" si="3"/>
        <v>0</v>
      </c>
      <c r="O17" s="722">
        <f t="shared" si="3"/>
        <v>0</v>
      </c>
      <c r="P17" s="722">
        <f t="shared" si="3"/>
        <v>0</v>
      </c>
      <c r="Q17" s="717">
        <f t="shared" si="3"/>
        <v>0</v>
      </c>
      <c r="R17" s="717">
        <f t="shared" si="3"/>
        <v>0</v>
      </c>
      <c r="S17" s="718">
        <f t="shared" si="3"/>
        <v>0</v>
      </c>
    </row>
    <row r="18" spans="1:19" ht="16.5" x14ac:dyDescent="0.3">
      <c r="A18" s="709" t="s">
        <v>343</v>
      </c>
      <c r="B18" s="8">
        <v>590</v>
      </c>
      <c r="C18" s="3">
        <v>696</v>
      </c>
      <c r="D18" s="3">
        <v>20</v>
      </c>
      <c r="E18" s="4">
        <v>716</v>
      </c>
      <c r="G18" s="7">
        <v>11825500</v>
      </c>
      <c r="H18" s="8"/>
      <c r="I18" s="3"/>
      <c r="J18" s="3"/>
      <c r="K18" s="4">
        <f t="shared" si="1"/>
        <v>0</v>
      </c>
      <c r="L18" s="4"/>
      <c r="M18" s="7"/>
      <c r="N18" s="8"/>
      <c r="O18" s="3"/>
      <c r="P18" s="3"/>
      <c r="Q18" s="4">
        <f t="shared" si="2"/>
        <v>0</v>
      </c>
      <c r="R18" s="4"/>
      <c r="S18" s="7"/>
    </row>
    <row r="19" spans="1:19" ht="16.5" x14ac:dyDescent="0.3">
      <c r="A19" s="709" t="s">
        <v>344</v>
      </c>
      <c r="B19" s="8">
        <v>10</v>
      </c>
      <c r="C19" s="3">
        <v>15.76</v>
      </c>
      <c r="D19" s="3"/>
      <c r="E19" s="4">
        <v>15.76</v>
      </c>
      <c r="G19" s="7">
        <v>55160</v>
      </c>
      <c r="H19" s="8"/>
      <c r="I19" s="3"/>
      <c r="J19" s="3"/>
      <c r="K19" s="4">
        <f t="shared" si="1"/>
        <v>0</v>
      </c>
      <c r="L19" s="4"/>
      <c r="M19" s="7"/>
      <c r="N19" s="8"/>
      <c r="O19" s="3"/>
      <c r="P19" s="3"/>
      <c r="Q19" s="4">
        <f t="shared" si="2"/>
        <v>0</v>
      </c>
      <c r="R19" s="4"/>
      <c r="S19" s="7"/>
    </row>
    <row r="20" spans="1:19" ht="16.5" x14ac:dyDescent="0.3">
      <c r="A20" s="709" t="s">
        <v>326</v>
      </c>
      <c r="B20" s="8"/>
      <c r="C20" s="3"/>
      <c r="D20" s="3"/>
      <c r="G20" s="7"/>
      <c r="H20" s="8"/>
      <c r="I20" s="3"/>
      <c r="J20" s="3"/>
      <c r="K20" s="4">
        <f t="shared" si="1"/>
        <v>0</v>
      </c>
      <c r="L20" s="4"/>
      <c r="M20" s="7"/>
      <c r="N20" s="8"/>
      <c r="O20" s="3"/>
      <c r="P20" s="3"/>
      <c r="Q20" s="4">
        <f t="shared" si="2"/>
        <v>0</v>
      </c>
      <c r="R20" s="4"/>
      <c r="S20" s="7"/>
    </row>
    <row r="21" spans="1:19" ht="16.5" x14ac:dyDescent="0.3">
      <c r="A21" s="709" t="s">
        <v>327</v>
      </c>
      <c r="B21" s="8"/>
      <c r="C21" s="3"/>
      <c r="D21" s="3"/>
      <c r="G21" s="7"/>
      <c r="H21" s="8"/>
      <c r="I21" s="3"/>
      <c r="J21" s="3"/>
      <c r="K21" s="4">
        <f t="shared" si="1"/>
        <v>0</v>
      </c>
      <c r="L21" s="4"/>
      <c r="M21" s="7"/>
      <c r="N21" s="8"/>
      <c r="O21" s="3"/>
      <c r="P21" s="3"/>
      <c r="Q21" s="4">
        <f t="shared" si="2"/>
        <v>0</v>
      </c>
      <c r="R21" s="4"/>
      <c r="S21" s="7"/>
    </row>
    <row r="22" spans="1:19" ht="16.5" x14ac:dyDescent="0.3">
      <c r="A22" s="709" t="s">
        <v>328</v>
      </c>
      <c r="B22" s="8"/>
      <c r="C22" s="3"/>
      <c r="D22" s="3"/>
      <c r="G22" s="7"/>
      <c r="H22" s="8"/>
      <c r="I22" s="3"/>
      <c r="J22" s="3"/>
      <c r="K22" s="4">
        <f t="shared" si="1"/>
        <v>0</v>
      </c>
      <c r="L22" s="4"/>
      <c r="M22" s="7"/>
      <c r="N22" s="8"/>
      <c r="O22" s="3"/>
      <c r="P22" s="3"/>
      <c r="Q22" s="4">
        <f t="shared" si="2"/>
        <v>0</v>
      </c>
      <c r="R22" s="4"/>
      <c r="S22" s="7"/>
    </row>
  </sheetData>
  <mergeCells count="3">
    <mergeCell ref="B8:G8"/>
    <mergeCell ref="H8:M8"/>
    <mergeCell ref="N8:S8"/>
  </mergeCells>
  <phoneticPr fontId="56"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1575-302D-A441-9A99-CE2AA8B70705}">
  <dimension ref="A1:U81"/>
  <sheetViews>
    <sheetView showGridLines="0" zoomScaleNormal="100" zoomScaleSheetLayoutView="70" zoomScalePageLayoutView="115" workbookViewId="0">
      <selection activeCell="A63" sqref="A63"/>
    </sheetView>
  </sheetViews>
  <sheetFormatPr defaultColWidth="11.42578125" defaultRowHeight="18.75" customHeight="1" x14ac:dyDescent="0.25"/>
  <cols>
    <col min="1" max="1" width="24.42578125" style="14" customWidth="1"/>
    <col min="2" max="2" width="16.42578125" style="14" customWidth="1"/>
    <col min="3" max="3" width="15.28515625" style="22" customWidth="1"/>
    <col min="4" max="4" width="14.85546875" style="22" customWidth="1"/>
    <col min="5" max="5" width="20.85546875" style="15" customWidth="1"/>
    <col min="6" max="6" width="11.85546875" style="18" customWidth="1"/>
    <col min="7" max="7" width="12" style="18" customWidth="1"/>
    <col min="8" max="8" width="11" style="18" customWidth="1"/>
    <col min="9" max="9" width="11" style="14" bestFit="1" customWidth="1"/>
    <col min="10" max="10" width="12" style="21" customWidth="1"/>
    <col min="11" max="11" width="9.28515625" style="20" customWidth="1"/>
    <col min="12" max="12" width="14.85546875" style="19" customWidth="1"/>
    <col min="13" max="13" width="19.28515625" style="16" customWidth="1"/>
    <col min="14" max="14" width="11.42578125" style="18" customWidth="1"/>
    <col min="15" max="15" width="7.7109375" style="17" customWidth="1"/>
    <col min="16" max="16" width="18.140625" style="16" customWidth="1"/>
    <col min="17" max="17" width="15.42578125" style="16" customWidth="1"/>
    <col min="18" max="18" width="34.42578125" style="14" customWidth="1"/>
    <col min="19" max="19" width="18" style="14" customWidth="1"/>
    <col min="20" max="20" width="22.7109375" style="15" customWidth="1"/>
    <col min="21" max="21" width="29.28515625" style="14" customWidth="1"/>
    <col min="22" max="16384" width="11.42578125" style="14"/>
  </cols>
  <sheetData>
    <row r="1" spans="1:21" ht="36" customHeight="1" x14ac:dyDescent="0.25">
      <c r="A1" s="691" t="s">
        <v>187</v>
      </c>
      <c r="B1" s="691"/>
      <c r="C1" s="691"/>
      <c r="D1" s="691"/>
      <c r="E1" s="691"/>
      <c r="F1" s="691"/>
      <c r="G1" s="691"/>
      <c r="H1" s="691"/>
      <c r="I1" s="691"/>
      <c r="J1" s="691"/>
      <c r="K1" s="221"/>
      <c r="L1" s="691"/>
      <c r="M1" s="691"/>
      <c r="N1" s="692"/>
      <c r="O1" s="691"/>
      <c r="P1" s="691"/>
      <c r="Q1" s="691"/>
      <c r="R1" s="691"/>
    </row>
    <row r="2" spans="1:21" ht="18.75" customHeight="1" x14ac:dyDescent="0.25">
      <c r="A2" s="690" t="s">
        <v>323</v>
      </c>
      <c r="B2" s="221"/>
      <c r="C2" s="221"/>
      <c r="D2" s="221"/>
      <c r="E2" s="221"/>
      <c r="F2" s="221"/>
      <c r="G2" s="221"/>
      <c r="H2" s="221"/>
      <c r="I2" s="221"/>
      <c r="J2" s="221"/>
      <c r="K2" s="221"/>
      <c r="L2" s="221"/>
      <c r="M2" s="221"/>
      <c r="N2" s="279"/>
      <c r="O2" s="221"/>
      <c r="P2" s="221"/>
      <c r="Q2" s="221"/>
      <c r="R2" s="221"/>
    </row>
    <row r="3" spans="1:21" ht="18.75" customHeight="1" x14ac:dyDescent="0.25">
      <c r="A3" s="690" t="s">
        <v>322</v>
      </c>
      <c r="B3" s="221"/>
      <c r="C3" s="221"/>
      <c r="D3" s="221"/>
      <c r="E3" s="221"/>
      <c r="F3" s="221"/>
      <c r="G3" s="221"/>
      <c r="H3" s="221"/>
      <c r="I3" s="221"/>
      <c r="J3" s="221"/>
      <c r="K3" s="221"/>
      <c r="L3" s="221"/>
      <c r="M3" s="221"/>
      <c r="N3" s="279"/>
      <c r="O3" s="221"/>
      <c r="P3" s="221"/>
      <c r="Q3" s="221"/>
      <c r="R3" s="221"/>
    </row>
    <row r="4" spans="1:21" ht="18.75" customHeight="1" thickBot="1" x14ac:dyDescent="0.3">
      <c r="A4" s="186"/>
      <c r="B4" s="186"/>
      <c r="C4" s="222"/>
      <c r="D4" s="222"/>
      <c r="E4" s="194"/>
      <c r="F4" s="219"/>
      <c r="G4" s="219"/>
      <c r="H4" s="219"/>
      <c r="I4" s="221"/>
      <c r="J4" s="220"/>
      <c r="K4" s="186"/>
      <c r="L4" s="186"/>
      <c r="M4" s="219"/>
      <c r="N4" s="689"/>
      <c r="O4" s="186"/>
      <c r="P4" s="218"/>
      <c r="Q4" s="218"/>
      <c r="R4" s="186"/>
    </row>
    <row r="5" spans="1:21" ht="21" customHeight="1" x14ac:dyDescent="0.25">
      <c r="A5" s="217" t="s">
        <v>184</v>
      </c>
      <c r="B5" s="216"/>
      <c r="C5" s="215"/>
      <c r="D5" s="215"/>
      <c r="E5" s="214"/>
      <c r="F5" s="208"/>
      <c r="G5" s="208"/>
      <c r="H5" s="213" t="s">
        <v>183</v>
      </c>
      <c r="I5" s="212"/>
      <c r="J5" s="211"/>
      <c r="K5" s="207"/>
      <c r="L5" s="210"/>
      <c r="M5" s="209"/>
      <c r="N5" s="688"/>
      <c r="O5" s="207"/>
      <c r="P5" s="206"/>
      <c r="Q5" s="206"/>
      <c r="R5" s="205"/>
      <c r="T5" s="204"/>
    </row>
    <row r="6" spans="1:21" ht="18.75" customHeight="1" x14ac:dyDescent="0.25">
      <c r="A6" s="197"/>
      <c r="B6" s="196"/>
      <c r="C6" s="195"/>
      <c r="D6" s="195"/>
      <c r="E6" s="194"/>
      <c r="F6" s="193"/>
      <c r="G6" s="193"/>
      <c r="H6" s="203" t="s">
        <v>182</v>
      </c>
      <c r="I6" s="202"/>
      <c r="J6" s="201" t="s">
        <v>181</v>
      </c>
      <c r="K6" s="186"/>
      <c r="L6" s="186"/>
      <c r="M6" s="200"/>
      <c r="N6" s="687"/>
      <c r="O6" s="198"/>
      <c r="P6" s="185"/>
      <c r="Q6" s="185"/>
      <c r="R6" s="184"/>
    </row>
    <row r="7" spans="1:21" ht="18.75" customHeight="1" x14ac:dyDescent="0.25">
      <c r="A7" s="197"/>
      <c r="B7" s="196"/>
      <c r="C7" s="195"/>
      <c r="D7" s="195"/>
      <c r="E7" s="194"/>
      <c r="F7" s="193"/>
      <c r="G7" s="193"/>
      <c r="H7" s="191" t="s">
        <v>180</v>
      </c>
      <c r="I7" s="190"/>
      <c r="J7" s="189"/>
      <c r="K7" s="186" t="s">
        <v>179</v>
      </c>
      <c r="L7" s="186"/>
      <c r="M7" s="188"/>
      <c r="N7" s="187"/>
      <c r="O7" s="186"/>
      <c r="P7" s="185"/>
      <c r="Q7" s="185"/>
      <c r="R7" s="184"/>
    </row>
    <row r="8" spans="1:21" ht="18.75" customHeight="1" x14ac:dyDescent="0.25">
      <c r="A8" s="197"/>
      <c r="B8" s="196"/>
      <c r="C8" s="195"/>
      <c r="D8" s="195"/>
      <c r="E8" s="194"/>
      <c r="F8" s="193"/>
      <c r="G8" s="192"/>
      <c r="H8" s="191" t="s">
        <v>178</v>
      </c>
      <c r="I8" s="190"/>
      <c r="J8" s="189"/>
      <c r="K8" s="186" t="s">
        <v>177</v>
      </c>
      <c r="L8" s="186"/>
      <c r="M8" s="188"/>
      <c r="N8" s="187"/>
      <c r="O8" s="186"/>
      <c r="P8" s="185"/>
      <c r="Q8" s="185"/>
      <c r="R8" s="184"/>
    </row>
    <row r="9" spans="1:21" ht="18.75" customHeight="1" thickBot="1" x14ac:dyDescent="0.3">
      <c r="A9" s="183"/>
      <c r="B9" s="182"/>
      <c r="C9" s="181"/>
      <c r="D9" s="181"/>
      <c r="E9" s="180"/>
      <c r="F9" s="179"/>
      <c r="G9" s="179"/>
      <c r="H9" s="178" t="s">
        <v>176</v>
      </c>
      <c r="I9" s="177"/>
      <c r="J9" s="176"/>
      <c r="K9" s="173" t="s">
        <v>175</v>
      </c>
      <c r="L9" s="173"/>
      <c r="M9" s="175"/>
      <c r="N9" s="174"/>
      <c r="O9" s="173"/>
      <c r="P9" s="172"/>
      <c r="Q9" s="172"/>
      <c r="R9" s="171"/>
    </row>
    <row r="10" spans="1:21" ht="18.600000000000001" customHeight="1" thickBot="1" x14ac:dyDescent="0.3">
      <c r="A10" s="726" t="s">
        <v>174</v>
      </c>
      <c r="B10" s="727"/>
      <c r="C10" s="727"/>
      <c r="D10" s="727"/>
      <c r="E10" s="727"/>
      <c r="F10" s="727"/>
      <c r="G10" s="727"/>
      <c r="H10" s="727"/>
      <c r="I10" s="727"/>
      <c r="J10" s="727"/>
      <c r="K10" s="727"/>
      <c r="L10" s="727"/>
      <c r="M10" s="727"/>
      <c r="N10" s="727"/>
      <c r="O10" s="727"/>
      <c r="P10" s="727"/>
      <c r="Q10" s="727"/>
      <c r="R10" s="728"/>
      <c r="T10" s="170"/>
    </row>
    <row r="11" spans="1:21" ht="18.75" customHeight="1" x14ac:dyDescent="0.25">
      <c r="A11" s="729" t="s">
        <v>173</v>
      </c>
      <c r="B11" s="735" t="s">
        <v>172</v>
      </c>
      <c r="C11" s="732" t="s">
        <v>171</v>
      </c>
      <c r="D11" s="733" t="s">
        <v>170</v>
      </c>
      <c r="E11" s="741" t="s">
        <v>169</v>
      </c>
      <c r="F11" s="743" t="s">
        <v>168</v>
      </c>
      <c r="G11" s="744"/>
      <c r="H11" s="745"/>
      <c r="I11" s="749" t="s">
        <v>167</v>
      </c>
      <c r="J11" s="750"/>
      <c r="K11" s="753" t="s">
        <v>166</v>
      </c>
      <c r="L11" s="736" t="s">
        <v>165</v>
      </c>
      <c r="M11" s="737"/>
      <c r="N11" s="737"/>
      <c r="O11" s="737"/>
      <c r="P11" s="737"/>
      <c r="Q11" s="169"/>
      <c r="R11" s="738" t="s">
        <v>164</v>
      </c>
      <c r="T11" s="168"/>
    </row>
    <row r="12" spans="1:21" ht="15.75" customHeight="1" x14ac:dyDescent="0.25">
      <c r="A12" s="730"/>
      <c r="B12" s="735"/>
      <c r="C12" s="733"/>
      <c r="D12" s="733"/>
      <c r="E12" s="735"/>
      <c r="F12" s="746"/>
      <c r="G12" s="747"/>
      <c r="H12" s="748"/>
      <c r="I12" s="751"/>
      <c r="J12" s="752"/>
      <c r="K12" s="754"/>
      <c r="L12" s="756" t="s">
        <v>163</v>
      </c>
      <c r="M12" s="757"/>
      <c r="N12" s="756" t="s">
        <v>162</v>
      </c>
      <c r="O12" s="757"/>
      <c r="P12" s="758"/>
      <c r="Q12" s="759" t="s">
        <v>152</v>
      </c>
      <c r="R12" s="739"/>
    </row>
    <row r="13" spans="1:21" s="20" customFormat="1" ht="78.599999999999994" customHeight="1" thickBot="1" x14ac:dyDescent="0.3">
      <c r="A13" s="731"/>
      <c r="B13" s="735"/>
      <c r="C13" s="734"/>
      <c r="D13" s="733"/>
      <c r="E13" s="742"/>
      <c r="F13" s="167" t="s">
        <v>161</v>
      </c>
      <c r="G13" s="167" t="s">
        <v>160</v>
      </c>
      <c r="H13" s="167" t="s">
        <v>159</v>
      </c>
      <c r="I13" s="166" t="s">
        <v>158</v>
      </c>
      <c r="J13" s="165" t="s">
        <v>157</v>
      </c>
      <c r="K13" s="755"/>
      <c r="L13" s="164" t="s">
        <v>156</v>
      </c>
      <c r="M13" s="163" t="s">
        <v>155</v>
      </c>
      <c r="N13" s="686" t="s">
        <v>154</v>
      </c>
      <c r="O13" s="164" t="s">
        <v>153</v>
      </c>
      <c r="P13" s="163" t="s">
        <v>152</v>
      </c>
      <c r="Q13" s="760"/>
      <c r="R13" s="740"/>
    </row>
    <row r="14" spans="1:21" s="64" customFormat="1" ht="19.350000000000001" customHeight="1" x14ac:dyDescent="0.25">
      <c r="A14" s="162" t="s">
        <v>151</v>
      </c>
      <c r="B14" s="161"/>
      <c r="C14" s="160" t="s">
        <v>150</v>
      </c>
      <c r="D14" s="160"/>
      <c r="E14" s="159" t="s">
        <v>149</v>
      </c>
      <c r="F14" s="156" t="s">
        <v>148</v>
      </c>
      <c r="G14" s="156" t="s">
        <v>147</v>
      </c>
      <c r="H14" s="156" t="s">
        <v>146</v>
      </c>
      <c r="I14" s="157" t="s">
        <v>145</v>
      </c>
      <c r="J14" s="158" t="s">
        <v>144</v>
      </c>
      <c r="K14" s="157" t="s">
        <v>143</v>
      </c>
      <c r="L14" s="157" t="s">
        <v>142</v>
      </c>
      <c r="M14" s="156" t="s">
        <v>141</v>
      </c>
      <c r="N14" s="156" t="s">
        <v>140</v>
      </c>
      <c r="O14" s="157" t="s">
        <v>139</v>
      </c>
      <c r="P14" s="156" t="s">
        <v>138</v>
      </c>
      <c r="Q14" s="156" t="s">
        <v>137</v>
      </c>
      <c r="R14" s="155" t="s">
        <v>136</v>
      </c>
      <c r="S14" s="20"/>
      <c r="U14" s="65"/>
    </row>
    <row r="15" spans="1:21" s="64" customFormat="1" ht="19.350000000000001" customHeight="1" x14ac:dyDescent="0.25">
      <c r="A15" s="707" t="s">
        <v>304</v>
      </c>
      <c r="B15" s="707" t="s">
        <v>305</v>
      </c>
      <c r="C15" s="707" t="s">
        <v>306</v>
      </c>
      <c r="D15" s="707" t="s">
        <v>307</v>
      </c>
      <c r="E15" s="707" t="s">
        <v>308</v>
      </c>
      <c r="F15" s="707" t="s">
        <v>309</v>
      </c>
      <c r="G15" s="707" t="s">
        <v>310</v>
      </c>
      <c r="H15" s="707" t="s">
        <v>311</v>
      </c>
      <c r="I15" s="707" t="s">
        <v>312</v>
      </c>
      <c r="J15" s="707" t="s">
        <v>313</v>
      </c>
      <c r="K15" s="707" t="s">
        <v>314</v>
      </c>
      <c r="L15" s="707" t="s">
        <v>315</v>
      </c>
      <c r="M15" s="707" t="s">
        <v>316</v>
      </c>
      <c r="N15" s="707" t="s">
        <v>317</v>
      </c>
      <c r="O15" s="707" t="s">
        <v>318</v>
      </c>
      <c r="P15" s="707" t="s">
        <v>319</v>
      </c>
      <c r="Q15" s="707" t="s">
        <v>320</v>
      </c>
      <c r="R15" s="707" t="s">
        <v>324</v>
      </c>
      <c r="S15" s="20"/>
      <c r="U15" s="65"/>
    </row>
    <row r="16" spans="1:21" s="144" customFormat="1" ht="20.45" customHeight="1" x14ac:dyDescent="0.25">
      <c r="A16" s="152" t="s">
        <v>135</v>
      </c>
      <c r="B16" s="154"/>
      <c r="C16" s="153">
        <f>C51+C58+C64+C42+C17</f>
        <v>11589</v>
      </c>
      <c r="D16" s="153">
        <f>D51+D58+D64+D42+D17</f>
        <v>10710.58</v>
      </c>
      <c r="E16" s="152"/>
      <c r="F16" s="149">
        <f>F51+F58+F64+F42+F17</f>
        <v>3261.873</v>
      </c>
      <c r="G16" s="149">
        <f>G51+G58+G64+G42+G17</f>
        <v>5987.0969999999998</v>
      </c>
      <c r="H16" s="149">
        <f>H51+H58+H64+H42+H17</f>
        <v>9248.9700000000012</v>
      </c>
      <c r="I16" s="151"/>
      <c r="J16" s="149"/>
      <c r="K16" s="149"/>
      <c r="L16" s="150"/>
      <c r="M16" s="149">
        <f>M51+M58+M64+M42+M17</f>
        <v>145112569.89200136</v>
      </c>
      <c r="N16" s="227">
        <f>N51+N58+N64+N42+N17</f>
        <v>11.25</v>
      </c>
      <c r="O16" s="149"/>
      <c r="P16" s="149">
        <f>P51+P58+P64+P42+P17</f>
        <v>0</v>
      </c>
      <c r="Q16" s="148"/>
      <c r="R16" s="147"/>
      <c r="S16" s="146"/>
      <c r="U16" s="145"/>
    </row>
    <row r="17" spans="1:21" s="64" customFormat="1" ht="20.45" customHeight="1" x14ac:dyDescent="0.25">
      <c r="A17" s="133" t="s">
        <v>134</v>
      </c>
      <c r="B17" s="135"/>
      <c r="C17" s="134">
        <f>SUM(C18:C40)</f>
        <v>9920</v>
      </c>
      <c r="D17" s="134">
        <f>SUM(D18:D40)</f>
        <v>9140</v>
      </c>
      <c r="E17" s="133"/>
      <c r="F17" s="130">
        <f>SUM(F18:F40)</f>
        <v>2731.723</v>
      </c>
      <c r="G17" s="130">
        <f>SUM(G18:G40)</f>
        <v>5369.9070000000002</v>
      </c>
      <c r="H17" s="130">
        <f>SUM(H18:H40)</f>
        <v>8101.63</v>
      </c>
      <c r="I17" s="132"/>
      <c r="J17" s="130"/>
      <c r="K17" s="130"/>
      <c r="L17" s="131"/>
      <c r="M17" s="130">
        <f>SUM(M18:M40)</f>
        <v>135063496.29142159</v>
      </c>
      <c r="N17" s="233">
        <f>SUM(N18:N40)</f>
        <v>0</v>
      </c>
      <c r="O17" s="130"/>
      <c r="P17" s="130">
        <f>SUM(P18:P40)</f>
        <v>0</v>
      </c>
      <c r="Q17" s="129"/>
      <c r="R17" s="128"/>
      <c r="S17" s="20"/>
      <c r="U17" s="65"/>
    </row>
    <row r="18" spans="1:21" s="136" customFormat="1" ht="39.6" customHeight="1" x14ac:dyDescent="0.25">
      <c r="A18" s="33" t="s">
        <v>294</v>
      </c>
      <c r="B18" s="127"/>
      <c r="C18" s="126"/>
      <c r="D18" s="126"/>
      <c r="E18" s="682" t="s">
        <v>123</v>
      </c>
      <c r="F18" s="13">
        <f>230/10000</f>
        <v>2.3E-2</v>
      </c>
      <c r="G18" s="13">
        <f>9770/10000</f>
        <v>0.97699999999999998</v>
      </c>
      <c r="H18" s="13">
        <f>F18+G18</f>
        <v>1</v>
      </c>
      <c r="I18" s="94">
        <v>4.08</v>
      </c>
      <c r="J18" s="36">
        <v>1.3</v>
      </c>
      <c r="K18" s="27">
        <f>(I18-J18)/I18</f>
        <v>0.68137254901960786</v>
      </c>
      <c r="L18" s="26">
        <v>7470</v>
      </c>
      <c r="M18" s="25">
        <f>(F18*L18)+(G18*L18*K18)</f>
        <v>5144.5963235294121</v>
      </c>
      <c r="N18" s="237"/>
      <c r="O18" s="24"/>
      <c r="P18" s="9"/>
      <c r="Q18" s="9">
        <f>O18*1000*17</f>
        <v>0</v>
      </c>
      <c r="R18" s="23"/>
      <c r="S18" s="138"/>
      <c r="U18" s="137"/>
    </row>
    <row r="19" spans="1:21" s="136" customFormat="1" ht="25.35" customHeight="1" x14ac:dyDescent="0.25">
      <c r="A19" s="33" t="s">
        <v>7</v>
      </c>
      <c r="B19" s="127"/>
      <c r="C19" s="96">
        <v>64</v>
      </c>
      <c r="D19" s="96">
        <v>100</v>
      </c>
      <c r="E19" s="88" t="s">
        <v>120</v>
      </c>
      <c r="F19" s="38">
        <v>45.6</v>
      </c>
      <c r="G19" s="38">
        <v>8</v>
      </c>
      <c r="H19" s="37">
        <f>F19+G19</f>
        <v>53.6</v>
      </c>
      <c r="I19" s="29">
        <v>4.08</v>
      </c>
      <c r="J19" s="36">
        <v>1.3</v>
      </c>
      <c r="K19" s="79">
        <f>(I19-J19)/I19</f>
        <v>0.68137254901960786</v>
      </c>
      <c r="L19" s="92">
        <v>33464</v>
      </c>
      <c r="M19" s="91">
        <f>(F19*L19)+(G19*L19*K19)</f>
        <v>1708370.0078431375</v>
      </c>
      <c r="N19" s="249"/>
      <c r="O19" s="90"/>
      <c r="P19" s="89"/>
      <c r="Q19" s="9">
        <f>O19*1000*17</f>
        <v>0</v>
      </c>
      <c r="R19" s="23" t="s">
        <v>321</v>
      </c>
      <c r="S19" s="138"/>
      <c r="U19" s="137"/>
    </row>
    <row r="20" spans="1:21" s="701" customFormat="1" ht="25.35" customHeight="1" x14ac:dyDescent="0.25">
      <c r="A20" s="33" t="s">
        <v>26</v>
      </c>
      <c r="B20" s="694"/>
      <c r="C20" s="695">
        <v>482</v>
      </c>
      <c r="D20" s="695">
        <v>448</v>
      </c>
      <c r="E20" s="695">
        <v>0</v>
      </c>
      <c r="F20" s="695">
        <v>390.45</v>
      </c>
      <c r="G20" s="695">
        <v>13.3</v>
      </c>
      <c r="H20" s="695">
        <v>403.75</v>
      </c>
      <c r="I20" s="695">
        <v>8.16</v>
      </c>
      <c r="J20" s="695">
        <v>1.3</v>
      </c>
      <c r="K20" s="695">
        <v>1.6813725490196079</v>
      </c>
      <c r="L20" s="695">
        <v>33464</v>
      </c>
      <c r="M20" s="695">
        <v>13441070.098039215</v>
      </c>
      <c r="N20" s="704"/>
      <c r="O20" s="705"/>
      <c r="P20" s="706"/>
      <c r="Q20" s="698"/>
      <c r="R20" s="699"/>
      <c r="S20" s="700"/>
      <c r="U20" s="702"/>
    </row>
    <row r="21" spans="1:21" s="136" customFormat="1" ht="25.35" customHeight="1" x14ac:dyDescent="0.25">
      <c r="A21" s="33" t="s">
        <v>24</v>
      </c>
      <c r="B21" s="127"/>
      <c r="C21" s="96">
        <v>380</v>
      </c>
      <c r="D21" s="96">
        <v>471</v>
      </c>
      <c r="E21" s="682" t="s">
        <v>123</v>
      </c>
      <c r="F21" s="13">
        <v>320.18</v>
      </c>
      <c r="G21" s="13"/>
      <c r="H21" s="13">
        <f>F21+G21</f>
        <v>320.18</v>
      </c>
      <c r="I21" s="94">
        <v>4.08</v>
      </c>
      <c r="J21" s="36"/>
      <c r="K21" s="27">
        <f>(I21-J21)/I21</f>
        <v>1</v>
      </c>
      <c r="L21" s="26">
        <v>7470</v>
      </c>
      <c r="M21" s="25">
        <f>(F21*L21)+(G21*L21*K21)</f>
        <v>2391744.6</v>
      </c>
      <c r="N21" s="237"/>
      <c r="O21" s="24"/>
      <c r="P21" s="9"/>
      <c r="Q21" s="9">
        <f>O21*1000*17</f>
        <v>0</v>
      </c>
      <c r="R21" s="23" t="s">
        <v>321</v>
      </c>
      <c r="S21" s="138"/>
      <c r="U21" s="137"/>
    </row>
    <row r="22" spans="1:21" s="136" customFormat="1" ht="25.35" customHeight="1" x14ac:dyDescent="0.25">
      <c r="A22" s="33" t="s">
        <v>4</v>
      </c>
      <c r="B22" s="127"/>
      <c r="C22" s="96">
        <v>460</v>
      </c>
      <c r="D22" s="96">
        <v>429</v>
      </c>
      <c r="E22" s="682" t="s">
        <v>123</v>
      </c>
      <c r="F22" s="13">
        <v>429</v>
      </c>
      <c r="G22" s="13"/>
      <c r="H22" s="13">
        <f>F22+G22</f>
        <v>429</v>
      </c>
      <c r="I22" s="94">
        <v>4.08</v>
      </c>
      <c r="J22" s="36"/>
      <c r="K22" s="27">
        <f>(I22-J22)/I22</f>
        <v>1</v>
      </c>
      <c r="L22" s="26">
        <v>7470</v>
      </c>
      <c r="M22" s="25">
        <f>(F22*L22)+(G22*L22*K22)</f>
        <v>3204630</v>
      </c>
      <c r="N22" s="237"/>
      <c r="O22" s="24"/>
      <c r="P22" s="9"/>
      <c r="Q22" s="9">
        <f>O22*1000*17</f>
        <v>0</v>
      </c>
      <c r="R22" s="23" t="s">
        <v>321</v>
      </c>
      <c r="S22" s="138"/>
      <c r="U22" s="137"/>
    </row>
    <row r="23" spans="1:21" s="701" customFormat="1" ht="25.35" customHeight="1" x14ac:dyDescent="0.25">
      <c r="A23" s="33" t="s">
        <v>30</v>
      </c>
      <c r="B23" s="694"/>
      <c r="C23" s="695">
        <v>1280</v>
      </c>
      <c r="D23" s="695">
        <v>1162.5</v>
      </c>
      <c r="E23" s="695">
        <v>0</v>
      </c>
      <c r="F23" s="695">
        <v>245</v>
      </c>
      <c r="G23" s="695">
        <v>866.1</v>
      </c>
      <c r="H23" s="695">
        <v>1111.0999999999999</v>
      </c>
      <c r="I23" s="695">
        <v>8.16</v>
      </c>
      <c r="J23" s="695">
        <v>2.6</v>
      </c>
      <c r="K23" s="695">
        <v>1.3627450980392157</v>
      </c>
      <c r="L23" s="695">
        <v>40934</v>
      </c>
      <c r="M23" s="695">
        <v>14304180.473529413</v>
      </c>
      <c r="N23" s="696"/>
      <c r="O23" s="697"/>
      <c r="P23" s="698"/>
      <c r="Q23" s="698"/>
      <c r="R23" s="699"/>
      <c r="S23" s="700"/>
      <c r="U23" s="702"/>
    </row>
    <row r="24" spans="1:21" s="701" customFormat="1" ht="25.35" customHeight="1" x14ac:dyDescent="0.25">
      <c r="A24" s="33" t="s">
        <v>296</v>
      </c>
      <c r="B24" s="694"/>
      <c r="C24" s="695">
        <v>595</v>
      </c>
      <c r="D24" s="695">
        <v>511</v>
      </c>
      <c r="E24" s="695">
        <v>0</v>
      </c>
      <c r="F24" s="695">
        <v>65</v>
      </c>
      <c r="G24" s="695">
        <v>446</v>
      </c>
      <c r="H24" s="695">
        <v>511</v>
      </c>
      <c r="I24" s="695">
        <v>8.16</v>
      </c>
      <c r="J24" s="695">
        <v>2.6</v>
      </c>
      <c r="K24" s="695">
        <v>1.3627450980392157</v>
      </c>
      <c r="L24" s="695">
        <v>40934</v>
      </c>
      <c r="M24" s="695">
        <v>8841533.3725490198</v>
      </c>
      <c r="N24" s="704"/>
      <c r="O24" s="705"/>
      <c r="P24" s="706"/>
      <c r="Q24" s="698"/>
      <c r="R24" s="699"/>
      <c r="S24" s="700"/>
      <c r="U24" s="702"/>
    </row>
    <row r="25" spans="1:21" s="701" customFormat="1" ht="25.35" customHeight="1" x14ac:dyDescent="0.25">
      <c r="A25" s="33" t="s">
        <v>21</v>
      </c>
      <c r="B25" s="694"/>
      <c r="C25" s="695">
        <v>600</v>
      </c>
      <c r="D25" s="695">
        <v>500</v>
      </c>
      <c r="E25" s="695">
        <v>0</v>
      </c>
      <c r="F25" s="695">
        <v>0</v>
      </c>
      <c r="G25" s="695">
        <v>500</v>
      </c>
      <c r="H25" s="695">
        <v>500</v>
      </c>
      <c r="I25" s="695">
        <v>8.16</v>
      </c>
      <c r="J25" s="695">
        <v>2.6</v>
      </c>
      <c r="K25" s="695">
        <v>1.3627450980392157</v>
      </c>
      <c r="L25" s="695">
        <v>40934</v>
      </c>
      <c r="M25" s="695">
        <v>9098217.7450980395</v>
      </c>
      <c r="N25" s="704"/>
      <c r="O25" s="705"/>
      <c r="P25" s="706"/>
      <c r="Q25" s="698"/>
      <c r="R25" s="699"/>
      <c r="S25" s="700"/>
      <c r="U25" s="702"/>
    </row>
    <row r="26" spans="1:21" s="136" customFormat="1" ht="25.35" customHeight="1" x14ac:dyDescent="0.25">
      <c r="A26" s="33" t="s">
        <v>269</v>
      </c>
      <c r="B26" s="127"/>
      <c r="C26" s="96">
        <v>588</v>
      </c>
      <c r="D26" s="96">
        <v>490</v>
      </c>
      <c r="E26" s="682" t="s">
        <v>123</v>
      </c>
      <c r="F26" s="13"/>
      <c r="G26" s="13">
        <v>490</v>
      </c>
      <c r="H26" s="13">
        <f>F26+G26</f>
        <v>490</v>
      </c>
      <c r="I26" s="94">
        <v>4.08</v>
      </c>
      <c r="J26" s="36">
        <v>1.3</v>
      </c>
      <c r="K26" s="27">
        <f>(I26-J26)/I26</f>
        <v>0.68137254901960786</v>
      </c>
      <c r="L26" s="26">
        <v>7470</v>
      </c>
      <c r="M26" s="25">
        <f>(F26*L26)+(G26*L26*K26)</f>
        <v>2494027.9411764708</v>
      </c>
      <c r="N26" s="237"/>
      <c r="O26" s="24"/>
      <c r="P26" s="9"/>
      <c r="Q26" s="9">
        <f>O26*1000*17</f>
        <v>0</v>
      </c>
      <c r="R26" s="23" t="s">
        <v>321</v>
      </c>
      <c r="S26" s="138"/>
      <c r="U26" s="137"/>
    </row>
    <row r="27" spans="1:21" s="136" customFormat="1" ht="25.35" customHeight="1" x14ac:dyDescent="0.25">
      <c r="A27" s="33" t="s">
        <v>9</v>
      </c>
      <c r="B27" s="127"/>
      <c r="C27" s="96">
        <v>61</v>
      </c>
      <c r="D27" s="96">
        <v>51</v>
      </c>
      <c r="E27" s="682" t="s">
        <v>123</v>
      </c>
      <c r="F27" s="13"/>
      <c r="G27" s="13">
        <v>51</v>
      </c>
      <c r="H27" s="13">
        <f>F27+G27</f>
        <v>51</v>
      </c>
      <c r="I27" s="94">
        <v>4.08</v>
      </c>
      <c r="J27" s="36">
        <v>1.3</v>
      </c>
      <c r="K27" s="27">
        <f>(I27-J27)/I27</f>
        <v>0.68137254901960786</v>
      </c>
      <c r="L27" s="26">
        <v>7470</v>
      </c>
      <c r="M27" s="25">
        <f>(F27*L27)+(G27*L27*K27)</f>
        <v>259582.5</v>
      </c>
      <c r="N27" s="237"/>
      <c r="O27" s="24"/>
      <c r="P27" s="9"/>
      <c r="Q27" s="9">
        <f>O27*1000*17</f>
        <v>0</v>
      </c>
      <c r="R27" s="23" t="s">
        <v>321</v>
      </c>
      <c r="S27" s="138"/>
      <c r="U27" s="137"/>
    </row>
    <row r="28" spans="1:21" s="701" customFormat="1" ht="25.35" customHeight="1" x14ac:dyDescent="0.25">
      <c r="A28" s="693" t="s">
        <v>11</v>
      </c>
      <c r="B28" s="694"/>
      <c r="C28" s="695">
        <v>11</v>
      </c>
      <c r="D28" s="695">
        <v>12</v>
      </c>
      <c r="E28" s="695">
        <v>0</v>
      </c>
      <c r="F28" s="695">
        <v>5</v>
      </c>
      <c r="G28" s="695">
        <v>7</v>
      </c>
      <c r="H28" s="695">
        <v>12</v>
      </c>
      <c r="I28" s="695">
        <v>8.16</v>
      </c>
      <c r="J28" s="695">
        <v>1.3</v>
      </c>
      <c r="K28" s="695">
        <v>1.6813725490196079</v>
      </c>
      <c r="L28" s="695">
        <v>40934</v>
      </c>
      <c r="M28" s="695">
        <v>196960.15686274509</v>
      </c>
      <c r="N28" s="696"/>
      <c r="O28" s="697"/>
      <c r="P28" s="698"/>
      <c r="Q28" s="698"/>
      <c r="R28" s="699"/>
      <c r="S28" s="700"/>
      <c r="U28" s="702"/>
    </row>
    <row r="29" spans="1:21" s="701" customFormat="1" ht="25.35" customHeight="1" x14ac:dyDescent="0.25">
      <c r="A29" s="33" t="s">
        <v>14</v>
      </c>
      <c r="B29" s="694"/>
      <c r="C29" s="695">
        <v>65</v>
      </c>
      <c r="D29" s="695">
        <v>60</v>
      </c>
      <c r="E29" s="695">
        <v>0</v>
      </c>
      <c r="F29" s="695">
        <v>1.72</v>
      </c>
      <c r="G29" s="695">
        <v>58.28</v>
      </c>
      <c r="H29" s="695">
        <v>60</v>
      </c>
      <c r="I29" s="695">
        <v>8.16</v>
      </c>
      <c r="J29" s="695">
        <v>2.6</v>
      </c>
      <c r="K29" s="695">
        <v>1.3627450980392157</v>
      </c>
      <c r="L29" s="695">
        <v>40934</v>
      </c>
      <c r="M29" s="695">
        <v>642539.52549019619</v>
      </c>
      <c r="N29" s="704"/>
      <c r="O29" s="705"/>
      <c r="P29" s="706"/>
      <c r="Q29" s="698"/>
      <c r="R29" s="699"/>
      <c r="S29" s="700"/>
      <c r="U29" s="702"/>
    </row>
    <row r="30" spans="1:21" s="136" customFormat="1" ht="28.35" customHeight="1" x14ac:dyDescent="0.25">
      <c r="A30" s="33" t="s">
        <v>12</v>
      </c>
      <c r="B30" s="127"/>
      <c r="C30" s="96">
        <v>1300</v>
      </c>
      <c r="D30" s="96">
        <v>1200</v>
      </c>
      <c r="E30" s="88" t="s">
        <v>120</v>
      </c>
      <c r="F30" s="38"/>
      <c r="G30" s="685">
        <v>1200</v>
      </c>
      <c r="H30" s="37">
        <f>F30+G30</f>
        <v>1200</v>
      </c>
      <c r="I30" s="29">
        <v>4.08</v>
      </c>
      <c r="J30" s="36">
        <v>1.3</v>
      </c>
      <c r="K30" s="79">
        <f>(I30-J30)/I30</f>
        <v>0.68137254901960786</v>
      </c>
      <c r="L30" s="92">
        <v>33464</v>
      </c>
      <c r="M30" s="91">
        <f>(F30*L30)+(G30*L30*K30)</f>
        <v>27361741.176470589</v>
      </c>
      <c r="N30" s="249"/>
      <c r="O30" s="90"/>
      <c r="P30" s="89"/>
      <c r="Q30" s="9">
        <f>O30*1000*17</f>
        <v>0</v>
      </c>
      <c r="R30" s="23" t="s">
        <v>321</v>
      </c>
      <c r="S30" s="138"/>
      <c r="U30" s="137"/>
    </row>
    <row r="31" spans="1:21" s="136" customFormat="1" ht="25.35" customHeight="1" x14ac:dyDescent="0.25">
      <c r="A31" s="33" t="s">
        <v>13</v>
      </c>
      <c r="B31" s="127"/>
      <c r="C31" s="96">
        <v>1241</v>
      </c>
      <c r="D31" s="96">
        <v>497</v>
      </c>
      <c r="E31" s="682" t="s">
        <v>123</v>
      </c>
      <c r="F31" s="122"/>
      <c r="G31" s="13">
        <v>497</v>
      </c>
      <c r="H31" s="13">
        <f>F31+G31</f>
        <v>497</v>
      </c>
      <c r="I31" s="94">
        <v>4.08</v>
      </c>
      <c r="J31" s="36">
        <v>2.04</v>
      </c>
      <c r="K31" s="27">
        <f>(I31-J31)/I31</f>
        <v>0.5</v>
      </c>
      <c r="L31" s="26">
        <v>7470</v>
      </c>
      <c r="M31" s="25">
        <f>(F31*L31)+(G31*L31*K31)</f>
        <v>1856295</v>
      </c>
      <c r="N31" s="237"/>
      <c r="O31" s="24"/>
      <c r="P31" s="9"/>
      <c r="Q31" s="9">
        <f>O31*1000*17</f>
        <v>0</v>
      </c>
      <c r="R31" s="23" t="s">
        <v>321</v>
      </c>
      <c r="S31" s="138"/>
      <c r="U31" s="137"/>
    </row>
    <row r="32" spans="1:21" s="136" customFormat="1" ht="25.35" customHeight="1" x14ac:dyDescent="0.25">
      <c r="A32" s="33" t="s">
        <v>15</v>
      </c>
      <c r="B32" s="127"/>
      <c r="C32" s="96">
        <v>275</v>
      </c>
      <c r="D32" s="96">
        <v>247</v>
      </c>
      <c r="E32" s="682" t="s">
        <v>123</v>
      </c>
      <c r="F32" s="13"/>
      <c r="G32" s="13">
        <v>247</v>
      </c>
      <c r="H32" s="13">
        <f>F32+G32</f>
        <v>247</v>
      </c>
      <c r="I32" s="94">
        <v>4.08</v>
      </c>
      <c r="J32" s="36">
        <v>1.3</v>
      </c>
      <c r="K32" s="27">
        <f>(I32-J32)/I32</f>
        <v>0.68137254901960786</v>
      </c>
      <c r="L32" s="26">
        <v>7470</v>
      </c>
      <c r="M32" s="25">
        <f>(F32*L32)+(G32*L32*K32)</f>
        <v>1257193.6764705882</v>
      </c>
      <c r="N32" s="237"/>
      <c r="O32" s="24"/>
      <c r="P32" s="9"/>
      <c r="Q32" s="9">
        <f>O32*1000*17</f>
        <v>0</v>
      </c>
      <c r="R32" s="23" t="s">
        <v>321</v>
      </c>
      <c r="S32" s="138"/>
      <c r="U32" s="137"/>
    </row>
    <row r="33" spans="1:21" s="701" customFormat="1" ht="25.35" customHeight="1" x14ac:dyDescent="0.25">
      <c r="A33" s="33" t="s">
        <v>19</v>
      </c>
      <c r="B33" s="694"/>
      <c r="C33" s="695">
        <v>35</v>
      </c>
      <c r="D33" s="695">
        <v>28</v>
      </c>
      <c r="E33" s="695">
        <v>0</v>
      </c>
      <c r="F33" s="695">
        <v>28</v>
      </c>
      <c r="G33" s="695">
        <v>0</v>
      </c>
      <c r="H33" s="695">
        <v>28</v>
      </c>
      <c r="I33" s="695">
        <v>12.24</v>
      </c>
      <c r="J33" s="695">
        <v>0</v>
      </c>
      <c r="K33" s="695">
        <v>3</v>
      </c>
      <c r="L33" s="695">
        <v>40934</v>
      </c>
      <c r="M33" s="695">
        <v>644868</v>
      </c>
      <c r="N33" s="696"/>
      <c r="O33" s="697"/>
      <c r="P33" s="698"/>
      <c r="Q33" s="698"/>
      <c r="R33" s="699"/>
      <c r="S33" s="700"/>
      <c r="U33" s="702"/>
    </row>
    <row r="34" spans="1:21" s="701" customFormat="1" ht="25.35" customHeight="1" x14ac:dyDescent="0.25">
      <c r="A34" s="693" t="s">
        <v>25</v>
      </c>
      <c r="B34" s="694"/>
      <c r="C34" s="695">
        <v>270</v>
      </c>
      <c r="D34" s="695">
        <v>220</v>
      </c>
      <c r="E34" s="695">
        <v>0</v>
      </c>
      <c r="F34" s="695">
        <v>0</v>
      </c>
      <c r="G34" s="695">
        <v>220</v>
      </c>
      <c r="H34" s="695">
        <v>220</v>
      </c>
      <c r="I34" s="695">
        <v>8.16</v>
      </c>
      <c r="J34" s="695">
        <v>3.34</v>
      </c>
      <c r="K34" s="695">
        <v>1.1813725490196079</v>
      </c>
      <c r="L34" s="695">
        <v>40934</v>
      </c>
      <c r="M34" s="695">
        <v>1012364.5098039216</v>
      </c>
      <c r="N34" s="696"/>
      <c r="O34" s="697"/>
      <c r="P34" s="698"/>
      <c r="Q34" s="698"/>
      <c r="R34" s="699"/>
      <c r="S34" s="700"/>
      <c r="U34" s="702"/>
    </row>
    <row r="35" spans="1:21" s="136" customFormat="1" ht="25.35" customHeight="1" x14ac:dyDescent="0.25">
      <c r="A35" s="33" t="s">
        <v>18</v>
      </c>
      <c r="B35" s="127"/>
      <c r="C35" s="96">
        <v>2</v>
      </c>
      <c r="D35" s="96">
        <v>94</v>
      </c>
      <c r="E35" s="682" t="s">
        <v>123</v>
      </c>
      <c r="F35" s="13"/>
      <c r="G35" s="13">
        <v>4</v>
      </c>
      <c r="H35" s="13">
        <f>F35+G35</f>
        <v>4</v>
      </c>
      <c r="I35" s="94">
        <v>4.08</v>
      </c>
      <c r="J35" s="36">
        <v>2.04</v>
      </c>
      <c r="K35" s="27">
        <f>(I35-J35)/I35</f>
        <v>0.5</v>
      </c>
      <c r="L35" s="26">
        <v>7470</v>
      </c>
      <c r="M35" s="25">
        <f>(F35*L35)+(G35*L35*K35)</f>
        <v>14940</v>
      </c>
      <c r="N35" s="237"/>
      <c r="O35" s="24"/>
      <c r="P35" s="9"/>
      <c r="Q35" s="9">
        <f>O35*1000*17</f>
        <v>0</v>
      </c>
      <c r="R35" s="23" t="s">
        <v>321</v>
      </c>
      <c r="S35" s="138"/>
      <c r="U35" s="137"/>
    </row>
    <row r="36" spans="1:21" s="701" customFormat="1" ht="25.35" customHeight="1" x14ac:dyDescent="0.25">
      <c r="A36" s="693" t="s">
        <v>293</v>
      </c>
      <c r="B36" s="694"/>
      <c r="C36" s="695">
        <v>514</v>
      </c>
      <c r="D36" s="695">
        <v>1135</v>
      </c>
      <c r="E36" s="695">
        <v>0</v>
      </c>
      <c r="F36" s="695">
        <v>495.75</v>
      </c>
      <c r="G36" s="695">
        <v>1.25</v>
      </c>
      <c r="H36" s="695">
        <v>497</v>
      </c>
      <c r="I36" s="695">
        <v>8.16</v>
      </c>
      <c r="J36" s="695">
        <v>2.6</v>
      </c>
      <c r="K36" s="695">
        <v>1.3627450980392157</v>
      </c>
      <c r="L36" s="695">
        <v>33464</v>
      </c>
      <c r="M36" s="695">
        <v>16675775</v>
      </c>
      <c r="N36" s="696"/>
      <c r="O36" s="697"/>
      <c r="P36" s="698"/>
      <c r="Q36" s="698"/>
      <c r="R36" s="699"/>
      <c r="S36" s="700"/>
      <c r="U36" s="702"/>
    </row>
    <row r="37" spans="1:21" s="701" customFormat="1" ht="25.35" customHeight="1" x14ac:dyDescent="0.25">
      <c r="A37" s="33" t="s">
        <v>259</v>
      </c>
      <c r="B37" s="694"/>
      <c r="C37" s="695">
        <v>54</v>
      </c>
      <c r="D37" s="695">
        <v>50.5</v>
      </c>
      <c r="E37" s="695">
        <v>0</v>
      </c>
      <c r="F37" s="695">
        <v>34</v>
      </c>
      <c r="G37" s="695">
        <v>0</v>
      </c>
      <c r="H37" s="695">
        <v>34</v>
      </c>
      <c r="I37" s="695">
        <v>12.24</v>
      </c>
      <c r="J37" s="695">
        <v>0</v>
      </c>
      <c r="K37" s="695">
        <v>3</v>
      </c>
      <c r="L37" s="695">
        <v>40934</v>
      </c>
      <c r="M37" s="695">
        <v>1516540</v>
      </c>
      <c r="N37" s="696"/>
      <c r="O37" s="697"/>
      <c r="P37" s="698"/>
      <c r="Q37" s="698"/>
      <c r="R37" s="699"/>
      <c r="S37" s="700"/>
      <c r="U37" s="702"/>
    </row>
    <row r="38" spans="1:21" s="701" customFormat="1" ht="25.35" customHeight="1" x14ac:dyDescent="0.25">
      <c r="A38" s="33" t="s">
        <v>23</v>
      </c>
      <c r="B38" s="694"/>
      <c r="C38" s="695">
        <v>1165</v>
      </c>
      <c r="D38" s="695">
        <v>987</v>
      </c>
      <c r="E38" s="695">
        <v>0</v>
      </c>
      <c r="F38" s="695">
        <v>671</v>
      </c>
      <c r="G38" s="695">
        <v>314</v>
      </c>
      <c r="H38" s="695">
        <v>985</v>
      </c>
      <c r="I38" s="695">
        <v>8.16</v>
      </c>
      <c r="J38" s="695">
        <v>2.6</v>
      </c>
      <c r="K38" s="695">
        <v>1.3627450980392157</v>
      </c>
      <c r="L38" s="695">
        <v>40934</v>
      </c>
      <c r="M38" s="695">
        <v>20641864.696078431</v>
      </c>
      <c r="N38" s="696"/>
      <c r="O38" s="697"/>
      <c r="P38" s="698"/>
      <c r="Q38" s="698"/>
      <c r="R38" s="699"/>
      <c r="S38" s="700"/>
      <c r="U38" s="703"/>
    </row>
    <row r="39" spans="1:21" s="701" customFormat="1" ht="25.35" customHeight="1" x14ac:dyDescent="0.25">
      <c r="A39" s="693" t="s">
        <v>17</v>
      </c>
      <c r="B39" s="694"/>
      <c r="C39" s="695">
        <v>450</v>
      </c>
      <c r="D39" s="695">
        <v>434</v>
      </c>
      <c r="E39" s="695">
        <v>0</v>
      </c>
      <c r="F39" s="695">
        <v>0</v>
      </c>
      <c r="G39" s="695">
        <v>434</v>
      </c>
      <c r="H39" s="695">
        <v>434</v>
      </c>
      <c r="I39" s="695">
        <v>8.16</v>
      </c>
      <c r="J39" s="695">
        <v>1.3</v>
      </c>
      <c r="K39" s="695">
        <v>1.6813725490196079</v>
      </c>
      <c r="L39" s="695">
        <v>40934</v>
      </c>
      <c r="M39" s="695">
        <v>7212825.8039215691</v>
      </c>
      <c r="N39" s="696"/>
      <c r="O39" s="697"/>
      <c r="P39" s="698"/>
      <c r="Q39" s="698"/>
      <c r="R39" s="699"/>
      <c r="S39" s="700"/>
      <c r="U39" s="702"/>
    </row>
    <row r="40" spans="1:21" s="701" customFormat="1" ht="25.35" customHeight="1" x14ac:dyDescent="0.25">
      <c r="A40" s="693" t="s">
        <v>8</v>
      </c>
      <c r="B40" s="694"/>
      <c r="C40" s="695">
        <v>28</v>
      </c>
      <c r="D40" s="695">
        <v>13</v>
      </c>
      <c r="E40" s="695">
        <v>0</v>
      </c>
      <c r="F40" s="695">
        <v>1</v>
      </c>
      <c r="G40" s="695">
        <v>12</v>
      </c>
      <c r="H40" s="695">
        <v>13</v>
      </c>
      <c r="I40" s="695">
        <v>8.16</v>
      </c>
      <c r="J40" s="695">
        <v>1.3</v>
      </c>
      <c r="K40" s="695">
        <v>1.6813725490196079</v>
      </c>
      <c r="L40" s="695">
        <v>40934</v>
      </c>
      <c r="M40" s="695">
        <v>281087.4117647059</v>
      </c>
      <c r="N40" s="704"/>
      <c r="O40" s="705"/>
      <c r="P40" s="706"/>
      <c r="Q40" s="698"/>
      <c r="R40" s="699"/>
      <c r="S40" s="700"/>
      <c r="U40" s="702"/>
    </row>
    <row r="41" spans="1:21" s="136" customFormat="1" ht="15.75" x14ac:dyDescent="0.25">
      <c r="A41" s="125"/>
      <c r="B41" s="127"/>
      <c r="C41" s="683"/>
      <c r="D41" s="683"/>
      <c r="E41" s="683"/>
      <c r="F41" s="683"/>
      <c r="G41" s="683"/>
      <c r="H41" s="683"/>
      <c r="I41" s="683"/>
      <c r="J41" s="683"/>
      <c r="K41" s="683"/>
      <c r="L41" s="683"/>
      <c r="M41" s="683"/>
      <c r="N41" s="684"/>
      <c r="O41" s="683"/>
      <c r="P41" s="683"/>
      <c r="Q41" s="683"/>
      <c r="R41" s="683"/>
      <c r="S41" s="138"/>
      <c r="U41" s="137"/>
    </row>
    <row r="42" spans="1:21" s="64" customFormat="1" ht="20.45" customHeight="1" x14ac:dyDescent="0.25">
      <c r="A42" s="133" t="s">
        <v>48</v>
      </c>
      <c r="B42" s="135"/>
      <c r="C42" s="134">
        <f>SUM(C43:C49)</f>
        <v>1114</v>
      </c>
      <c r="D42" s="134">
        <f>SUM(D43:D49)</f>
        <v>745.75</v>
      </c>
      <c r="E42" s="133"/>
      <c r="F42" s="130">
        <f>SUM(F43:F49)</f>
        <v>523.15000000000009</v>
      </c>
      <c r="G42" s="130">
        <f>SUM(G43:G49)</f>
        <v>231.35000000000002</v>
      </c>
      <c r="H42" s="130">
        <f>SUM(H43:H49)</f>
        <v>754.5</v>
      </c>
      <c r="I42" s="132"/>
      <c r="J42" s="130"/>
      <c r="K42" s="130"/>
      <c r="L42" s="131"/>
      <c r="M42" s="130">
        <f>SUM(M43:M49)</f>
        <v>7877378.5417777775</v>
      </c>
      <c r="N42" s="233">
        <f>SUM(N43:N49)</f>
        <v>11.25</v>
      </c>
      <c r="O42" s="130"/>
      <c r="P42" s="130">
        <f>SUM(P43:P49)</f>
        <v>0</v>
      </c>
      <c r="Q42" s="129"/>
      <c r="R42" s="128"/>
      <c r="S42" s="20"/>
      <c r="U42" s="65"/>
    </row>
    <row r="43" spans="1:21" s="136" customFormat="1" ht="20.45" customHeight="1" x14ac:dyDescent="0.25">
      <c r="A43" s="87" t="s">
        <v>47</v>
      </c>
      <c r="B43" s="86"/>
      <c r="C43" s="85">
        <v>16</v>
      </c>
      <c r="D43" s="85">
        <v>14</v>
      </c>
      <c r="E43" s="682" t="s">
        <v>123</v>
      </c>
      <c r="F43" s="13">
        <v>14</v>
      </c>
      <c r="G43" s="13"/>
      <c r="H43" s="13">
        <f>F43+G43</f>
        <v>14</v>
      </c>
      <c r="I43" s="94">
        <v>4.5</v>
      </c>
      <c r="J43" s="36"/>
      <c r="K43" s="27">
        <f>(I43-J43)/I43</f>
        <v>1</v>
      </c>
      <c r="L43" s="26">
        <v>7470</v>
      </c>
      <c r="M43" s="25">
        <f>(F43*L43)+(G43*L43*K43)</f>
        <v>104580</v>
      </c>
      <c r="N43" s="237"/>
      <c r="O43" s="24"/>
      <c r="P43" s="9"/>
      <c r="Q43" s="9">
        <f>O43*1000*17</f>
        <v>0</v>
      </c>
      <c r="R43" s="23" t="s">
        <v>321</v>
      </c>
      <c r="S43" s="138"/>
      <c r="U43" s="137"/>
    </row>
    <row r="44" spans="1:21" s="136" customFormat="1" ht="20.45" customHeight="1" x14ac:dyDescent="0.25">
      <c r="A44" s="87" t="s">
        <v>48</v>
      </c>
      <c r="B44" s="86"/>
      <c r="C44" s="85">
        <v>1</v>
      </c>
      <c r="D44" s="85">
        <v>1</v>
      </c>
      <c r="E44" s="682" t="s">
        <v>123</v>
      </c>
      <c r="F44" s="13">
        <v>0.75</v>
      </c>
      <c r="G44" s="13"/>
      <c r="H44" s="13">
        <f>F44+G44</f>
        <v>0.75</v>
      </c>
      <c r="I44" s="94">
        <v>4.5</v>
      </c>
      <c r="J44" s="36"/>
      <c r="K44" s="27">
        <f>(I44-J44)/I44</f>
        <v>1</v>
      </c>
      <c r="L44" s="26">
        <v>7470</v>
      </c>
      <c r="M44" s="25">
        <f>(F44*L44)+(G44*L44*K44)</f>
        <v>5602.5</v>
      </c>
      <c r="N44" s="237"/>
      <c r="O44" s="24"/>
      <c r="P44" s="9"/>
      <c r="Q44" s="9">
        <f>O44*1000*17</f>
        <v>0</v>
      </c>
      <c r="R44" s="23" t="s">
        <v>321</v>
      </c>
      <c r="S44" s="138"/>
      <c r="U44" s="137"/>
    </row>
    <row r="45" spans="1:21" s="136" customFormat="1" ht="20.45" customHeight="1" x14ac:dyDescent="0.25">
      <c r="A45" s="87" t="s">
        <v>49</v>
      </c>
      <c r="B45" s="86"/>
      <c r="C45" s="85">
        <v>3</v>
      </c>
      <c r="D45" s="85">
        <v>5</v>
      </c>
      <c r="E45" s="682" t="s">
        <v>123</v>
      </c>
      <c r="F45" s="13">
        <v>5</v>
      </c>
      <c r="G45" s="13"/>
      <c r="H45" s="13">
        <f>F45+G45</f>
        <v>5</v>
      </c>
      <c r="I45" s="94">
        <v>4.5</v>
      </c>
      <c r="J45" s="36"/>
      <c r="K45" s="27">
        <f>(I45-J45)/I45</f>
        <v>1</v>
      </c>
      <c r="L45" s="26">
        <v>7470</v>
      </c>
      <c r="M45" s="25">
        <f>(F45*L45)+(G45*L45*K45)</f>
        <v>37350</v>
      </c>
      <c r="N45" s="237"/>
      <c r="O45" s="24"/>
      <c r="P45" s="9"/>
      <c r="Q45" s="9">
        <f>O45*1000*17</f>
        <v>0</v>
      </c>
      <c r="R45" s="23" t="s">
        <v>321</v>
      </c>
      <c r="S45" s="138"/>
      <c r="U45" s="137"/>
    </row>
    <row r="46" spans="1:21" s="701" customFormat="1" ht="20.45" customHeight="1" x14ac:dyDescent="0.25">
      <c r="A46" s="659" t="s">
        <v>51</v>
      </c>
      <c r="B46" s="651"/>
      <c r="C46" s="695">
        <v>75</v>
      </c>
      <c r="D46" s="695">
        <v>56</v>
      </c>
      <c r="E46" s="695">
        <v>0</v>
      </c>
      <c r="F46" s="695">
        <v>56</v>
      </c>
      <c r="G46" s="695">
        <v>17</v>
      </c>
      <c r="H46" s="695">
        <v>73</v>
      </c>
      <c r="I46" s="695">
        <v>9</v>
      </c>
      <c r="J46" s="695">
        <v>1.3</v>
      </c>
      <c r="K46" s="695">
        <v>1.7111111111111112</v>
      </c>
      <c r="L46" s="695">
        <v>7470</v>
      </c>
      <c r="M46" s="695">
        <v>1060864</v>
      </c>
      <c r="N46" s="696"/>
      <c r="O46" s="697"/>
      <c r="P46" s="698"/>
      <c r="Q46" s="698"/>
      <c r="R46" s="699"/>
      <c r="S46" s="700"/>
      <c r="U46" s="702"/>
    </row>
    <row r="47" spans="1:21" s="136" customFormat="1" ht="23.45" customHeight="1" x14ac:dyDescent="0.25">
      <c r="A47" s="87" t="s">
        <v>52</v>
      </c>
      <c r="B47" s="127"/>
      <c r="C47" s="96">
        <v>1</v>
      </c>
      <c r="D47" s="96">
        <v>2.5</v>
      </c>
      <c r="E47" s="31" t="s">
        <v>107</v>
      </c>
      <c r="F47" s="13">
        <v>2.5</v>
      </c>
      <c r="G47" s="13"/>
      <c r="H47" s="30">
        <f>F47+G47</f>
        <v>2.5</v>
      </c>
      <c r="I47" s="94">
        <v>4.5</v>
      </c>
      <c r="J47" s="28"/>
      <c r="K47" s="27">
        <f>(I47-J47)/I47</f>
        <v>1</v>
      </c>
      <c r="L47" s="26"/>
      <c r="M47" s="9">
        <f>N47*1000*O47</f>
        <v>191250</v>
      </c>
      <c r="N47" s="237">
        <f>(F47*I47)+(G47*K47*I47)</f>
        <v>11.25</v>
      </c>
      <c r="O47" s="24">
        <v>17</v>
      </c>
      <c r="Q47" s="9">
        <f>O47*1000*17</f>
        <v>289000</v>
      </c>
      <c r="R47" s="23" t="s">
        <v>321</v>
      </c>
      <c r="S47" s="138"/>
      <c r="U47" s="137"/>
    </row>
    <row r="48" spans="1:21" s="136" customFormat="1" ht="20.45" customHeight="1" x14ac:dyDescent="0.25">
      <c r="A48" s="87" t="s">
        <v>53</v>
      </c>
      <c r="B48" s="86"/>
      <c r="C48" s="85">
        <v>368</v>
      </c>
      <c r="D48" s="85">
        <v>123.25</v>
      </c>
      <c r="E48" s="682" t="s">
        <v>123</v>
      </c>
      <c r="F48" s="13">
        <v>97.86</v>
      </c>
      <c r="G48" s="13">
        <v>25.39</v>
      </c>
      <c r="H48" s="13">
        <f>F48+G48</f>
        <v>123.25</v>
      </c>
      <c r="I48" s="94">
        <v>4.5</v>
      </c>
      <c r="J48" s="36">
        <v>1.3</v>
      </c>
      <c r="K48" s="27">
        <f>(I48-J48)/I48</f>
        <v>0.71111111111111114</v>
      </c>
      <c r="L48" s="26">
        <v>7470</v>
      </c>
      <c r="M48" s="25">
        <f>(F48*L48)+(G48*L48*K48)</f>
        <v>865885.88</v>
      </c>
      <c r="N48" s="237"/>
      <c r="O48" s="24"/>
      <c r="P48" s="9"/>
      <c r="Q48" s="9">
        <f>O48*1000*17</f>
        <v>0</v>
      </c>
      <c r="R48" s="23" t="s">
        <v>321</v>
      </c>
      <c r="S48" s="138"/>
      <c r="U48" s="137"/>
    </row>
    <row r="49" spans="1:21" s="701" customFormat="1" ht="20.45" customHeight="1" x14ac:dyDescent="0.25">
      <c r="A49" s="659" t="s">
        <v>50</v>
      </c>
      <c r="B49" s="651"/>
      <c r="C49" s="695">
        <v>650</v>
      </c>
      <c r="D49" s="695">
        <v>544</v>
      </c>
      <c r="E49" s="695">
        <v>0</v>
      </c>
      <c r="F49" s="695">
        <v>347.04</v>
      </c>
      <c r="G49" s="695">
        <v>188.96</v>
      </c>
      <c r="H49" s="695">
        <v>536</v>
      </c>
      <c r="I49" s="695">
        <v>9</v>
      </c>
      <c r="J49" s="695">
        <v>2.6</v>
      </c>
      <c r="K49" s="695">
        <v>1.4222222222222223</v>
      </c>
      <c r="L49" s="695">
        <v>40934</v>
      </c>
      <c r="M49" s="695">
        <v>5611846.1617777776</v>
      </c>
      <c r="N49" s="695">
        <v>0</v>
      </c>
      <c r="O49" s="695">
        <v>0</v>
      </c>
      <c r="P49" s="695">
        <v>0</v>
      </c>
      <c r="Q49" s="698"/>
      <c r="R49" s="699"/>
      <c r="S49" s="700"/>
      <c r="U49" s="702"/>
    </row>
    <row r="50" spans="1:21" s="136" customFormat="1" ht="20.45" customHeight="1" x14ac:dyDescent="0.25">
      <c r="A50" s="125"/>
      <c r="B50" s="127"/>
      <c r="C50" s="126"/>
      <c r="D50" s="126"/>
      <c r="E50" s="125"/>
      <c r="F50" s="122"/>
      <c r="G50" s="122"/>
      <c r="H50" s="122"/>
      <c r="I50" s="124"/>
      <c r="J50" s="122"/>
      <c r="K50" s="122"/>
      <c r="L50" s="123"/>
      <c r="M50" s="122"/>
      <c r="N50" s="13"/>
      <c r="O50" s="122"/>
      <c r="P50" s="122"/>
      <c r="Q50" s="121"/>
      <c r="R50" s="120"/>
      <c r="S50" s="138"/>
      <c r="U50" s="137"/>
    </row>
    <row r="51" spans="1:21" s="64" customFormat="1" ht="20.45" customHeight="1" x14ac:dyDescent="0.25">
      <c r="A51" s="133" t="s">
        <v>131</v>
      </c>
      <c r="B51" s="135"/>
      <c r="C51" s="134">
        <f>SUM(C52:C56)</f>
        <v>244</v>
      </c>
      <c r="D51" s="134">
        <f>SUM(D52:D56)</f>
        <v>563</v>
      </c>
      <c r="E51" s="133"/>
      <c r="F51" s="130">
        <f>SUM(F52:F56)</f>
        <v>0</v>
      </c>
      <c r="G51" s="130">
        <f>SUM(G52:G56)</f>
        <v>163.01</v>
      </c>
      <c r="H51" s="130">
        <f>SUM(H52:H56)</f>
        <v>163.01</v>
      </c>
      <c r="I51" s="132"/>
      <c r="J51" s="130"/>
      <c r="K51" s="130"/>
      <c r="L51" s="131"/>
      <c r="M51" s="130">
        <f>SUM(M52:M56)</f>
        <v>1276792.4493680298</v>
      </c>
      <c r="N51" s="233">
        <f>SUM(N52:N52)</f>
        <v>0</v>
      </c>
      <c r="O51" s="130"/>
      <c r="P51" s="130">
        <f>SUM(P52:P52)</f>
        <v>0</v>
      </c>
      <c r="Q51" s="129"/>
      <c r="R51" s="128"/>
      <c r="S51" s="20"/>
      <c r="U51" s="65"/>
    </row>
    <row r="52" spans="1:21" s="64" customFormat="1" ht="19.5" customHeight="1" x14ac:dyDescent="0.25">
      <c r="A52" s="33" t="s">
        <v>126</v>
      </c>
      <c r="B52" s="127"/>
      <c r="C52" s="96">
        <v>40</v>
      </c>
      <c r="D52" s="96">
        <v>290</v>
      </c>
      <c r="E52" s="682" t="s">
        <v>123</v>
      </c>
      <c r="F52" s="122"/>
      <c r="G52" s="13">
        <v>10</v>
      </c>
      <c r="H52" s="37">
        <f>F52+G52</f>
        <v>10</v>
      </c>
      <c r="I52" s="94">
        <v>2.69</v>
      </c>
      <c r="J52" s="36">
        <v>1.88</v>
      </c>
      <c r="K52" s="27">
        <f>(I52-J52)/I52</f>
        <v>0.30111524163568776</v>
      </c>
      <c r="L52" s="26">
        <v>7470</v>
      </c>
      <c r="M52" s="25">
        <f>(F52*L52)+(G52*L52*K52)</f>
        <v>22493.308550185877</v>
      </c>
      <c r="N52" s="237"/>
      <c r="O52" s="24"/>
      <c r="P52" s="9"/>
      <c r="Q52" s="9">
        <f>O52*1000*17</f>
        <v>0</v>
      </c>
      <c r="R52" s="23" t="s">
        <v>321</v>
      </c>
      <c r="S52" s="20"/>
      <c r="U52" s="65"/>
    </row>
    <row r="53" spans="1:21" s="64" customFormat="1" ht="19.5" customHeight="1" x14ac:dyDescent="0.25">
      <c r="A53" s="33" t="s">
        <v>62</v>
      </c>
      <c r="B53" s="127"/>
      <c r="C53" s="96">
        <v>30</v>
      </c>
      <c r="D53" s="96">
        <v>150</v>
      </c>
      <c r="E53" s="88" t="s">
        <v>120</v>
      </c>
      <c r="F53" s="38"/>
      <c r="G53" s="38">
        <v>29.01</v>
      </c>
      <c r="H53" s="37">
        <f>F53+G53</f>
        <v>29.01</v>
      </c>
      <c r="I53" s="94">
        <v>2.69</v>
      </c>
      <c r="J53" s="36">
        <v>2.02</v>
      </c>
      <c r="K53" s="79">
        <f>(I53-J53)/I53</f>
        <v>0.24907063197026019</v>
      </c>
      <c r="L53" s="92">
        <v>33464</v>
      </c>
      <c r="M53" s="91">
        <f>(F53*L53)+(G53*L53*K53)</f>
        <v>241795.43821561337</v>
      </c>
      <c r="N53" s="249"/>
      <c r="O53" s="90"/>
      <c r="P53" s="89"/>
      <c r="Q53" s="9">
        <f>O53*1000*17</f>
        <v>0</v>
      </c>
      <c r="R53" s="23" t="s">
        <v>321</v>
      </c>
      <c r="S53" s="20"/>
      <c r="U53" s="65"/>
    </row>
    <row r="54" spans="1:21" s="64" customFormat="1" ht="19.5" customHeight="1" x14ac:dyDescent="0.25">
      <c r="A54" s="33" t="s">
        <v>275</v>
      </c>
      <c r="B54" s="127"/>
      <c r="C54" s="96">
        <v>12</v>
      </c>
      <c r="D54" s="96">
        <v>68</v>
      </c>
      <c r="E54" s="88" t="s">
        <v>120</v>
      </c>
      <c r="F54" s="38"/>
      <c r="G54" s="38">
        <v>15</v>
      </c>
      <c r="H54" s="37">
        <f>F54+G54</f>
        <v>15</v>
      </c>
      <c r="I54" s="94">
        <v>2.69</v>
      </c>
      <c r="J54" s="36">
        <v>1.35</v>
      </c>
      <c r="K54" s="79">
        <f>(I54-J54)/I54</f>
        <v>0.49814126394052038</v>
      </c>
      <c r="L54" s="92">
        <v>33464</v>
      </c>
      <c r="M54" s="91">
        <f>(F54*L54)+(G54*L54*K54)</f>
        <v>250046.98884758362</v>
      </c>
      <c r="N54" s="249"/>
      <c r="O54" s="90"/>
      <c r="P54" s="89"/>
      <c r="Q54" s="9">
        <f>O54*1000*17</f>
        <v>0</v>
      </c>
      <c r="R54" s="23" t="s">
        <v>321</v>
      </c>
      <c r="S54" s="20"/>
      <c r="U54" s="65"/>
    </row>
    <row r="55" spans="1:21" s="64" customFormat="1" ht="19.5" customHeight="1" x14ac:dyDescent="0.25">
      <c r="A55" s="33" t="s">
        <v>69</v>
      </c>
      <c r="B55" s="127"/>
      <c r="C55" s="96">
        <v>150</v>
      </c>
      <c r="D55" s="96">
        <v>25</v>
      </c>
      <c r="E55" s="88" t="s">
        <v>120</v>
      </c>
      <c r="F55" s="38"/>
      <c r="G55" s="38">
        <v>100</v>
      </c>
      <c r="H55" s="37">
        <f>F55+G55</f>
        <v>100</v>
      </c>
      <c r="I55" s="94">
        <v>2.69</v>
      </c>
      <c r="J55" s="36">
        <v>2.15</v>
      </c>
      <c r="K55" s="79">
        <f>(I55-J55)/I55</f>
        <v>0.20074349442379183</v>
      </c>
      <c r="L55" s="92">
        <v>33464</v>
      </c>
      <c r="M55" s="91">
        <f>(F55*L55)+(G55*L55*K55)</f>
        <v>671768.02973977698</v>
      </c>
      <c r="N55" s="249"/>
      <c r="O55" s="90"/>
      <c r="P55" s="89"/>
      <c r="Q55" s="9">
        <f>O55*1000*17</f>
        <v>0</v>
      </c>
      <c r="R55" s="23" t="s">
        <v>321</v>
      </c>
      <c r="S55" s="20"/>
      <c r="U55" s="65"/>
    </row>
    <row r="56" spans="1:21" s="64" customFormat="1" ht="19.5" customHeight="1" x14ac:dyDescent="0.25">
      <c r="A56" s="33" t="s">
        <v>70</v>
      </c>
      <c r="B56" s="127"/>
      <c r="C56" s="96">
        <v>12</v>
      </c>
      <c r="D56" s="96">
        <v>30</v>
      </c>
      <c r="E56" s="88" t="s">
        <v>120</v>
      </c>
      <c r="F56" s="38"/>
      <c r="G56" s="38">
        <v>9</v>
      </c>
      <c r="H56" s="37">
        <f>F56+G56</f>
        <v>9</v>
      </c>
      <c r="I56" s="94">
        <v>2.69</v>
      </c>
      <c r="J56" s="36">
        <v>1.88</v>
      </c>
      <c r="K56" s="79">
        <f>(I56-J56)/I56</f>
        <v>0.30111524163568776</v>
      </c>
      <c r="L56" s="92">
        <v>33464</v>
      </c>
      <c r="M56" s="91">
        <f>(F56*L56)+(G56*L56*K56)</f>
        <v>90688.684014869898</v>
      </c>
      <c r="N56" s="249"/>
      <c r="O56" s="90"/>
      <c r="P56" s="89"/>
      <c r="Q56" s="9">
        <f>O56*1000*17</f>
        <v>0</v>
      </c>
      <c r="R56" s="23" t="s">
        <v>321</v>
      </c>
      <c r="S56" s="20"/>
      <c r="U56" s="65"/>
    </row>
    <row r="57" spans="1:21" s="61" customFormat="1" ht="19.5" customHeight="1" x14ac:dyDescent="0.25">
      <c r="A57" s="87"/>
      <c r="B57" s="86"/>
      <c r="C57" s="85"/>
      <c r="D57" s="85"/>
      <c r="E57" s="84"/>
      <c r="F57" s="83"/>
      <c r="G57" s="83"/>
      <c r="H57" s="82"/>
      <c r="I57" s="81"/>
      <c r="J57" s="80"/>
      <c r="K57" s="79"/>
      <c r="L57" s="78"/>
      <c r="M57" s="77"/>
      <c r="N57" s="240"/>
      <c r="O57" s="76"/>
      <c r="P57" s="75"/>
      <c r="Q57" s="75"/>
      <c r="R57" s="74"/>
      <c r="S57" s="63"/>
      <c r="U57" s="62"/>
    </row>
    <row r="58" spans="1:21" s="64" customFormat="1" ht="20.45" customHeight="1" x14ac:dyDescent="0.25">
      <c r="A58" s="71" t="s">
        <v>121</v>
      </c>
      <c r="B58" s="73"/>
      <c r="C58" s="72">
        <f>SUM(C59:C63)</f>
        <v>311</v>
      </c>
      <c r="D58" s="72">
        <f>SUM(D59:D63)</f>
        <v>261.83000000000004</v>
      </c>
      <c r="E58" s="71"/>
      <c r="F58" s="68">
        <f>SUM(F59:F63)</f>
        <v>7</v>
      </c>
      <c r="G58" s="68">
        <f>SUM(G59:G63)</f>
        <v>222.83</v>
      </c>
      <c r="H58" s="68">
        <f>SUM(H59:H63)</f>
        <v>229.83</v>
      </c>
      <c r="I58" s="70"/>
      <c r="J58" s="68"/>
      <c r="K58" s="68"/>
      <c r="L58" s="69"/>
      <c r="M58" s="68">
        <f>SUM(M59:M63)</f>
        <v>894902.60943396227</v>
      </c>
      <c r="N58" s="247"/>
      <c r="O58" s="68"/>
      <c r="P58" s="67">
        <f>SUM(P59:P63)</f>
        <v>0</v>
      </c>
      <c r="Q58" s="67"/>
      <c r="R58" s="66"/>
      <c r="S58" s="20"/>
      <c r="U58" s="65"/>
    </row>
    <row r="59" spans="1:21" s="61" customFormat="1" ht="19.5" customHeight="1" x14ac:dyDescent="0.25">
      <c r="A59" s="33" t="s">
        <v>76</v>
      </c>
      <c r="B59" s="127"/>
      <c r="C59" s="96">
        <v>30</v>
      </c>
      <c r="D59" s="96">
        <v>10</v>
      </c>
      <c r="E59" s="682" t="s">
        <v>123</v>
      </c>
      <c r="F59" s="122"/>
      <c r="G59" s="13">
        <v>10</v>
      </c>
      <c r="H59" s="13">
        <f>F59+G59</f>
        <v>10</v>
      </c>
      <c r="I59" s="94">
        <v>2.65</v>
      </c>
      <c r="J59" s="36"/>
      <c r="K59" s="27">
        <f>(I59-J59)/I59</f>
        <v>1</v>
      </c>
      <c r="L59" s="26">
        <v>7470</v>
      </c>
      <c r="M59" s="25">
        <f>(F59*L59)+(G59*L59*K59)</f>
        <v>74700</v>
      </c>
      <c r="N59" s="237"/>
      <c r="O59" s="24"/>
      <c r="P59" s="9"/>
      <c r="Q59" s="9">
        <f>O59*1000*17</f>
        <v>0</v>
      </c>
      <c r="R59" s="23" t="s">
        <v>321</v>
      </c>
      <c r="S59" s="63"/>
      <c r="U59" s="62"/>
    </row>
    <row r="60" spans="1:21" s="136" customFormat="1" ht="21.6" customHeight="1" x14ac:dyDescent="0.25">
      <c r="A60" s="87" t="s">
        <v>251</v>
      </c>
      <c r="B60" s="127"/>
      <c r="C60" s="96">
        <v>3</v>
      </c>
      <c r="D60" s="96">
        <v>3</v>
      </c>
      <c r="E60" s="88" t="s">
        <v>120</v>
      </c>
      <c r="F60" s="38">
        <v>3</v>
      </c>
      <c r="G60" s="38"/>
      <c r="H60" s="37">
        <f>F60+G60</f>
        <v>3</v>
      </c>
      <c r="I60" s="94">
        <v>2.65</v>
      </c>
      <c r="J60" s="36"/>
      <c r="K60" s="79">
        <f>(I60-J60)/I60</f>
        <v>1</v>
      </c>
      <c r="L60" s="92">
        <v>33464</v>
      </c>
      <c r="M60" s="91">
        <f>(F60*L60)+(G60*L60*K60)</f>
        <v>100392</v>
      </c>
      <c r="N60" s="249"/>
      <c r="O60" s="90"/>
      <c r="P60" s="89"/>
      <c r="Q60" s="9">
        <f>O60*1000*17</f>
        <v>0</v>
      </c>
      <c r="R60" s="23" t="s">
        <v>321</v>
      </c>
      <c r="S60" s="138"/>
      <c r="U60" s="137"/>
    </row>
    <row r="61" spans="1:21" s="61" customFormat="1" ht="19.5" customHeight="1" x14ac:dyDescent="0.25">
      <c r="A61" s="33" t="s">
        <v>81</v>
      </c>
      <c r="B61" s="127"/>
      <c r="C61" s="96">
        <v>254</v>
      </c>
      <c r="D61" s="96">
        <v>193.83</v>
      </c>
      <c r="E61" s="682" t="s">
        <v>123</v>
      </c>
      <c r="F61" s="122"/>
      <c r="G61" s="13">
        <v>193.83</v>
      </c>
      <c r="H61" s="13">
        <f>F61+G61</f>
        <v>193.83</v>
      </c>
      <c r="I61" s="94">
        <v>2.65</v>
      </c>
      <c r="J61" s="36">
        <v>1.5</v>
      </c>
      <c r="K61" s="27">
        <f>(I61-J61)/I61</f>
        <v>0.43396226415094336</v>
      </c>
      <c r="L61" s="26">
        <v>7470</v>
      </c>
      <c r="M61" s="25">
        <f>(F61*L61)+(G61*L61*K61)</f>
        <v>628338.34528301889</v>
      </c>
      <c r="N61" s="237"/>
      <c r="O61" s="24"/>
      <c r="P61" s="9"/>
      <c r="Q61" s="9">
        <f>O61*1000*17</f>
        <v>0</v>
      </c>
      <c r="R61" s="23" t="s">
        <v>321</v>
      </c>
      <c r="S61" s="63"/>
      <c r="U61" s="62"/>
    </row>
    <row r="62" spans="1:21" s="61" customFormat="1" ht="19.5" customHeight="1" x14ac:dyDescent="0.25">
      <c r="A62" s="33" t="s">
        <v>325</v>
      </c>
      <c r="B62" s="127"/>
      <c r="C62" s="96">
        <v>24</v>
      </c>
      <c r="D62" s="96">
        <v>55</v>
      </c>
      <c r="E62" s="682" t="s">
        <v>123</v>
      </c>
      <c r="F62" s="13">
        <v>4</v>
      </c>
      <c r="G62" s="13">
        <v>19</v>
      </c>
      <c r="H62" s="13">
        <f>F62+G62</f>
        <v>23</v>
      </c>
      <c r="I62" s="94">
        <v>2.65</v>
      </c>
      <c r="J62" s="36">
        <v>1.5</v>
      </c>
      <c r="K62" s="27">
        <f>(I62-J62)/I62</f>
        <v>0.43396226415094336</v>
      </c>
      <c r="L62" s="26">
        <v>7470</v>
      </c>
      <c r="M62" s="25">
        <f>(F62*L62)+(G62*L62*K62)</f>
        <v>91472.264150943389</v>
      </c>
      <c r="N62" s="237"/>
      <c r="O62" s="24"/>
      <c r="P62" s="9"/>
      <c r="Q62" s="9">
        <f>O62*1000*17</f>
        <v>0</v>
      </c>
      <c r="R62" s="23" t="s">
        <v>321</v>
      </c>
      <c r="S62" s="63"/>
      <c r="U62" s="62"/>
    </row>
    <row r="63" spans="1:21" s="61" customFormat="1" ht="19.350000000000001" customHeight="1" x14ac:dyDescent="0.25">
      <c r="A63" s="87"/>
      <c r="B63" s="86"/>
      <c r="C63" s="85"/>
      <c r="D63" s="85"/>
      <c r="E63" s="84"/>
      <c r="F63" s="83"/>
      <c r="G63" s="83"/>
      <c r="H63" s="82"/>
      <c r="I63" s="81"/>
      <c r="J63" s="80"/>
      <c r="K63" s="79"/>
      <c r="L63" s="78"/>
      <c r="M63" s="77"/>
      <c r="N63" s="240"/>
      <c r="O63" s="76"/>
      <c r="P63" s="75"/>
      <c r="Q63" s="75"/>
      <c r="R63" s="74"/>
      <c r="S63" s="63"/>
      <c r="U63" s="62"/>
    </row>
    <row r="64" spans="1:21" s="64" customFormat="1" ht="20.45" hidden="1" customHeight="1" x14ac:dyDescent="0.25">
      <c r="A64" s="71" t="s">
        <v>115</v>
      </c>
      <c r="B64" s="73"/>
      <c r="C64" s="72">
        <f>SUM(C65:C65)</f>
        <v>0</v>
      </c>
      <c r="D64" s="72">
        <f>SUM(D65:D65)</f>
        <v>0</v>
      </c>
      <c r="E64" s="71"/>
      <c r="F64" s="68">
        <f>SUM(F65:F65)</f>
        <v>0</v>
      </c>
      <c r="G64" s="68">
        <f>SUM(G65:G65)</f>
        <v>0</v>
      </c>
      <c r="H64" s="68">
        <f>SUM(H65:H65)</f>
        <v>0</v>
      </c>
      <c r="I64" s="70"/>
      <c r="J64" s="68"/>
      <c r="K64" s="68"/>
      <c r="L64" s="69"/>
      <c r="M64" s="68">
        <f>SUM(M65:M65)</f>
        <v>0</v>
      </c>
      <c r="N64" s="244">
        <f>SUM(N65:N65)</f>
        <v>0</v>
      </c>
      <c r="O64" s="68"/>
      <c r="P64" s="68">
        <f>SUM(P65:P65)</f>
        <v>0</v>
      </c>
      <c r="Q64" s="67"/>
      <c r="R64" s="66"/>
      <c r="S64" s="20"/>
      <c r="U64" s="65"/>
    </row>
    <row r="65" spans="1:21" s="61" customFormat="1" ht="19.350000000000001" hidden="1" customHeight="1" x14ac:dyDescent="0.25">
      <c r="A65" s="33"/>
      <c r="B65" s="32" t="s">
        <v>5</v>
      </c>
      <c r="C65" s="11"/>
      <c r="D65" s="10"/>
      <c r="E65" s="31" t="s">
        <v>107</v>
      </c>
      <c r="F65" s="13"/>
      <c r="G65" s="13"/>
      <c r="H65" s="30">
        <f>F65+G65</f>
        <v>0</v>
      </c>
      <c r="I65" s="29">
        <v>2.73</v>
      </c>
      <c r="J65" s="28"/>
      <c r="K65" s="27">
        <f>(I65-J65)/I65</f>
        <v>1</v>
      </c>
      <c r="L65" s="26"/>
      <c r="M65" s="25"/>
      <c r="N65" s="237">
        <f>(F65*I65)+(G65*K65*I65)</f>
        <v>0</v>
      </c>
      <c r="O65" s="24">
        <v>17</v>
      </c>
      <c r="P65" s="9">
        <f>N65*1000*O65</f>
        <v>0</v>
      </c>
      <c r="Q65" s="9">
        <f>O65*1000*17</f>
        <v>289000</v>
      </c>
      <c r="R65" s="23"/>
      <c r="S65" s="63"/>
      <c r="U65" s="62"/>
    </row>
    <row r="66" spans="1:21" s="61" customFormat="1" ht="19.350000000000001" hidden="1" customHeight="1" x14ac:dyDescent="0.25">
      <c r="A66" s="33"/>
      <c r="B66" s="32"/>
      <c r="C66" s="11"/>
      <c r="D66" s="10"/>
      <c r="E66" s="31"/>
      <c r="F66" s="13"/>
      <c r="G66" s="13"/>
      <c r="H66" s="30"/>
      <c r="I66" s="29"/>
      <c r="J66" s="28"/>
      <c r="K66" s="27"/>
      <c r="L66" s="26"/>
      <c r="M66" s="25"/>
      <c r="N66" s="237"/>
      <c r="O66" s="24"/>
      <c r="P66" s="9"/>
      <c r="Q66" s="9"/>
      <c r="R66" s="23"/>
      <c r="S66" s="63"/>
      <c r="U66" s="62"/>
    </row>
    <row r="67" spans="1:21" s="61" customFormat="1" ht="19.350000000000001" hidden="1" customHeight="1" x14ac:dyDescent="0.25">
      <c r="A67" s="33"/>
      <c r="B67" s="32"/>
      <c r="C67" s="11"/>
      <c r="D67" s="10"/>
      <c r="E67" s="31"/>
      <c r="F67" s="13"/>
      <c r="G67" s="13"/>
      <c r="H67" s="30"/>
      <c r="I67" s="29"/>
      <c r="J67" s="28"/>
      <c r="K67" s="27"/>
      <c r="L67" s="26"/>
      <c r="M67" s="25"/>
      <c r="N67" s="237"/>
      <c r="O67" s="24"/>
      <c r="P67" s="9"/>
      <c r="Q67" s="9"/>
      <c r="R67" s="23"/>
      <c r="S67" s="63"/>
      <c r="U67" s="62"/>
    </row>
    <row r="68" spans="1:21" s="61" customFormat="1" ht="19.350000000000001" hidden="1" customHeight="1" x14ac:dyDescent="0.25">
      <c r="A68" s="33"/>
      <c r="B68" s="32"/>
      <c r="C68" s="11"/>
      <c r="D68" s="10"/>
      <c r="E68" s="31"/>
      <c r="F68" s="13"/>
      <c r="G68" s="13"/>
      <c r="H68" s="30"/>
      <c r="I68" s="29"/>
      <c r="J68" s="28"/>
      <c r="K68" s="27"/>
      <c r="L68" s="26"/>
      <c r="M68" s="25"/>
      <c r="N68" s="237"/>
      <c r="O68" s="24"/>
      <c r="P68" s="9"/>
      <c r="Q68" s="9"/>
      <c r="R68" s="23"/>
      <c r="S68" s="63"/>
      <c r="U68" s="62"/>
    </row>
    <row r="69" spans="1:21" s="61" customFormat="1" ht="19.350000000000001" hidden="1" customHeight="1" x14ac:dyDescent="0.25">
      <c r="A69" s="33"/>
      <c r="B69" s="32"/>
      <c r="C69" s="11"/>
      <c r="D69" s="10"/>
      <c r="E69" s="31"/>
      <c r="F69" s="13"/>
      <c r="G69" s="13"/>
      <c r="H69" s="30"/>
      <c r="I69" s="29"/>
      <c r="J69" s="28"/>
      <c r="K69" s="27"/>
      <c r="L69" s="26"/>
      <c r="M69" s="25"/>
      <c r="N69" s="237"/>
      <c r="O69" s="24"/>
      <c r="P69" s="9"/>
      <c r="Q69" s="9"/>
      <c r="R69" s="23"/>
      <c r="S69" s="63"/>
      <c r="U69" s="62"/>
    </row>
    <row r="70" spans="1:21" s="61" customFormat="1" ht="19.350000000000001" hidden="1" customHeight="1" x14ac:dyDescent="0.25">
      <c r="A70" s="33"/>
      <c r="B70" s="32"/>
      <c r="C70" s="11"/>
      <c r="D70" s="10"/>
      <c r="E70" s="31"/>
      <c r="F70" s="13"/>
      <c r="G70" s="13"/>
      <c r="H70" s="30"/>
      <c r="I70" s="29"/>
      <c r="J70" s="28"/>
      <c r="K70" s="27"/>
      <c r="L70" s="26"/>
      <c r="M70" s="25"/>
      <c r="N70" s="237"/>
      <c r="O70" s="24"/>
      <c r="P70" s="9"/>
      <c r="Q70" s="9"/>
      <c r="R70" s="23"/>
      <c r="S70" s="63"/>
      <c r="U70" s="62"/>
    </row>
    <row r="71" spans="1:21" s="44" customFormat="1" ht="19.5" hidden="1" customHeight="1" x14ac:dyDescent="0.25">
      <c r="A71" s="60"/>
      <c r="B71" s="60"/>
      <c r="C71" s="59"/>
      <c r="D71" s="58"/>
      <c r="E71" s="57"/>
      <c r="F71" s="56"/>
      <c r="G71" s="56"/>
      <c r="H71" s="55"/>
      <c r="I71" s="54"/>
      <c r="J71" s="53"/>
      <c r="K71" s="681"/>
      <c r="L71" s="51"/>
      <c r="M71" s="50"/>
      <c r="N71" s="250"/>
      <c r="O71" s="49"/>
      <c r="P71" s="48"/>
      <c r="Q71" s="48"/>
      <c r="R71" s="47"/>
      <c r="S71" s="46"/>
      <c r="U71" s="45"/>
    </row>
    <row r="72" spans="1:21" s="34" customFormat="1" ht="18.75" customHeight="1" x14ac:dyDescent="0.25">
      <c r="C72" s="680"/>
      <c r="D72" s="680"/>
      <c r="E72" s="35"/>
      <c r="F72" s="677"/>
      <c r="G72" s="677"/>
      <c r="H72" s="677"/>
      <c r="J72" s="679"/>
      <c r="K72" s="20"/>
      <c r="L72" s="678"/>
      <c r="M72" s="675"/>
      <c r="N72" s="677"/>
      <c r="O72" s="676"/>
      <c r="P72" s="675"/>
      <c r="Q72" s="675"/>
      <c r="T72" s="35"/>
    </row>
    <row r="73" spans="1:21" s="34" customFormat="1" ht="18.75" customHeight="1" x14ac:dyDescent="0.25">
      <c r="C73" s="680"/>
      <c r="D73" s="680"/>
      <c r="E73" s="35"/>
      <c r="F73" s="677"/>
      <c r="G73" s="677"/>
      <c r="H73" s="677"/>
      <c r="J73" s="679"/>
      <c r="K73" s="20"/>
      <c r="L73" s="678"/>
      <c r="M73" s="675"/>
      <c r="N73" s="677"/>
      <c r="O73" s="676"/>
      <c r="P73" s="675"/>
      <c r="Q73" s="675"/>
      <c r="T73" s="35"/>
    </row>
    <row r="74" spans="1:21" s="34" customFormat="1" ht="18.75" customHeight="1" x14ac:dyDescent="0.25">
      <c r="C74" s="680"/>
      <c r="D74" s="680"/>
      <c r="E74" s="35"/>
      <c r="F74" s="677"/>
      <c r="G74" s="677"/>
      <c r="H74" s="677"/>
      <c r="J74" s="679"/>
      <c r="K74" s="20"/>
      <c r="L74" s="678"/>
      <c r="M74" s="675"/>
      <c r="N74" s="677"/>
      <c r="O74" s="676"/>
      <c r="P74" s="675"/>
      <c r="Q74" s="675"/>
      <c r="T74" s="35"/>
    </row>
    <row r="75" spans="1:21" s="34" customFormat="1" ht="18.75" customHeight="1" x14ac:dyDescent="0.25">
      <c r="C75" s="680"/>
      <c r="D75" s="680"/>
      <c r="E75" s="35"/>
      <c r="F75" s="677"/>
      <c r="G75" s="677"/>
      <c r="H75" s="677"/>
      <c r="J75" s="679"/>
      <c r="K75" s="20"/>
      <c r="L75" s="678"/>
      <c r="M75" s="675"/>
      <c r="N75" s="677"/>
      <c r="O75" s="676"/>
      <c r="P75" s="675"/>
      <c r="Q75" s="675"/>
      <c r="T75" s="35"/>
    </row>
    <row r="76" spans="1:21" s="34" customFormat="1" ht="18.75" customHeight="1" x14ac:dyDescent="0.25">
      <c r="C76" s="680"/>
      <c r="D76" s="680"/>
      <c r="E76" s="35"/>
      <c r="F76" s="677"/>
      <c r="G76" s="677"/>
      <c r="H76" s="677"/>
      <c r="J76" s="679"/>
      <c r="K76" s="20"/>
      <c r="L76" s="678"/>
      <c r="M76" s="675"/>
      <c r="N76" s="677"/>
      <c r="O76" s="676"/>
      <c r="P76" s="675"/>
      <c r="Q76" s="675"/>
      <c r="T76" s="35"/>
    </row>
    <row r="77" spans="1:21" s="34" customFormat="1" ht="18.75" customHeight="1" x14ac:dyDescent="0.25">
      <c r="C77" s="680"/>
      <c r="D77" s="680"/>
      <c r="E77" s="35"/>
      <c r="F77" s="677"/>
      <c r="G77" s="677"/>
      <c r="H77" s="677"/>
      <c r="J77" s="679"/>
      <c r="K77" s="20"/>
      <c r="L77" s="678"/>
      <c r="M77" s="675"/>
      <c r="N77" s="677"/>
      <c r="O77" s="676"/>
      <c r="P77" s="675"/>
      <c r="Q77" s="675"/>
      <c r="T77" s="35"/>
    </row>
    <row r="78" spans="1:21" s="34" customFormat="1" ht="18.75" customHeight="1" x14ac:dyDescent="0.25">
      <c r="C78" s="680"/>
      <c r="D78" s="680"/>
      <c r="E78" s="35"/>
      <c r="F78" s="677"/>
      <c r="G78" s="677"/>
      <c r="H78" s="677"/>
      <c r="J78" s="679"/>
      <c r="K78" s="20"/>
      <c r="L78" s="678"/>
      <c r="M78" s="675"/>
      <c r="N78" s="677"/>
      <c r="O78" s="676"/>
      <c r="P78" s="675"/>
      <c r="Q78" s="675"/>
      <c r="T78" s="35"/>
    </row>
    <row r="79" spans="1:21" s="34" customFormat="1" ht="18.75" customHeight="1" x14ac:dyDescent="0.25">
      <c r="C79" s="680"/>
      <c r="D79" s="680"/>
      <c r="E79" s="35"/>
      <c r="F79" s="677"/>
      <c r="G79" s="677"/>
      <c r="H79" s="677"/>
      <c r="J79" s="679"/>
      <c r="K79" s="20"/>
      <c r="L79" s="678"/>
      <c r="M79" s="675"/>
      <c r="N79" s="677"/>
      <c r="O79" s="676"/>
      <c r="P79" s="675"/>
      <c r="Q79" s="675"/>
      <c r="T79" s="35"/>
    </row>
    <row r="80" spans="1:21" s="34" customFormat="1" ht="18.75" customHeight="1" x14ac:dyDescent="0.25">
      <c r="C80" s="680"/>
      <c r="D80" s="680"/>
      <c r="E80" s="35"/>
      <c r="F80" s="677"/>
      <c r="G80" s="677"/>
      <c r="H80" s="677"/>
      <c r="J80" s="679"/>
      <c r="K80" s="20"/>
      <c r="L80" s="678"/>
      <c r="M80" s="675"/>
      <c r="N80" s="677"/>
      <c r="O80" s="676"/>
      <c r="P80" s="675"/>
      <c r="Q80" s="675"/>
      <c r="T80" s="35"/>
    </row>
    <row r="81" spans="3:20" s="34" customFormat="1" ht="18.75" customHeight="1" x14ac:dyDescent="0.25">
      <c r="C81" s="680"/>
      <c r="D81" s="680"/>
      <c r="E81" s="35"/>
      <c r="F81" s="677"/>
      <c r="G81" s="677"/>
      <c r="H81" s="677"/>
      <c r="J81" s="679"/>
      <c r="K81" s="20"/>
      <c r="L81" s="678"/>
      <c r="M81" s="675"/>
      <c r="N81" s="677"/>
      <c r="O81" s="676"/>
      <c r="P81" s="675"/>
      <c r="Q81" s="675"/>
      <c r="T81" s="35"/>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6"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2E2A-98C2-DF49-A40A-A3AF3FFF1909}">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14" customWidth="1"/>
    <col min="2" max="2" width="16.42578125" style="14" customWidth="1"/>
    <col min="3" max="3" width="15" style="253" customWidth="1"/>
    <col min="4" max="4" width="15.85546875" style="550" customWidth="1"/>
    <col min="5" max="5" width="18.42578125" style="20" customWidth="1"/>
    <col min="6" max="6" width="15.42578125" style="16" bestFit="1" customWidth="1"/>
    <col min="7" max="7" width="13.85546875" style="16" bestFit="1" customWidth="1"/>
    <col min="8" max="8" width="15.85546875" style="16" customWidth="1"/>
    <col min="9" max="9" width="15" style="14" customWidth="1"/>
    <col min="10" max="10" width="13.42578125" style="14" customWidth="1"/>
    <col min="11" max="11" width="11.140625" style="14" customWidth="1"/>
    <col min="12" max="12" width="20" style="19" customWidth="1"/>
    <col min="13" max="13" width="22.28515625" style="16" customWidth="1"/>
    <col min="14" max="14" width="15.42578125" style="19" customWidth="1"/>
    <col min="15" max="15" width="12.140625" style="19" customWidth="1"/>
    <col min="16" max="16" width="19.7109375" style="16" customWidth="1"/>
    <col min="17" max="17" width="22.85546875" style="16" bestFit="1" customWidth="1"/>
    <col min="18" max="18" width="41.28515625" style="14" customWidth="1"/>
    <col min="19" max="19" width="18" style="14" customWidth="1"/>
    <col min="20" max="20" width="22.7109375" style="15" customWidth="1"/>
    <col min="21" max="21" width="29.28515625" style="14" customWidth="1"/>
    <col min="22" max="16384" width="11.42578125" style="14"/>
  </cols>
  <sheetData>
    <row r="1" spans="1:21" ht="17.25" customHeight="1" x14ac:dyDescent="0.25">
      <c r="A1" s="770" t="s">
        <v>303</v>
      </c>
      <c r="B1" s="770"/>
      <c r="C1" s="770"/>
      <c r="D1" s="770"/>
      <c r="E1" s="770"/>
      <c r="F1" s="770"/>
      <c r="G1" s="770"/>
      <c r="H1" s="770"/>
      <c r="I1" s="770"/>
      <c r="J1" s="770"/>
      <c r="K1" s="770"/>
      <c r="L1" s="770"/>
      <c r="M1" s="770"/>
      <c r="N1" s="770"/>
      <c r="O1" s="770"/>
      <c r="P1" s="770"/>
      <c r="Q1" s="770"/>
      <c r="R1" s="770"/>
    </row>
    <row r="2" spans="1:21" ht="18.75" hidden="1" customHeight="1" x14ac:dyDescent="0.25">
      <c r="A2" s="770" t="s">
        <v>302</v>
      </c>
      <c r="B2" s="770"/>
      <c r="C2" s="770"/>
      <c r="D2" s="770"/>
      <c r="E2" s="770"/>
      <c r="F2" s="770"/>
      <c r="G2" s="770"/>
      <c r="H2" s="770"/>
      <c r="I2" s="770"/>
      <c r="J2" s="770"/>
      <c r="K2" s="770"/>
      <c r="L2" s="770"/>
      <c r="M2" s="770"/>
      <c r="N2" s="770"/>
      <c r="O2" s="770"/>
      <c r="P2" s="770"/>
      <c r="Q2" s="770"/>
      <c r="R2" s="770"/>
    </row>
    <row r="3" spans="1:21" ht="18.75" hidden="1" customHeight="1" x14ac:dyDescent="0.25">
      <c r="A3" s="770" t="s">
        <v>301</v>
      </c>
      <c r="B3" s="770"/>
      <c r="C3" s="770"/>
      <c r="D3" s="770"/>
      <c r="E3" s="770"/>
      <c r="F3" s="770"/>
      <c r="G3" s="770"/>
      <c r="H3" s="770"/>
      <c r="I3" s="770"/>
      <c r="J3" s="770"/>
      <c r="K3" s="770"/>
      <c r="L3" s="770"/>
      <c r="M3" s="770"/>
      <c r="N3" s="770"/>
      <c r="O3" s="770"/>
      <c r="P3" s="770"/>
      <c r="Q3" s="770"/>
      <c r="R3" s="770"/>
    </row>
    <row r="4" spans="1:21" ht="18.75" hidden="1" customHeight="1" x14ac:dyDescent="0.25">
      <c r="A4" s="770" t="s">
        <v>300</v>
      </c>
      <c r="B4" s="770"/>
      <c r="C4" s="770"/>
      <c r="D4" s="770"/>
      <c r="E4" s="770"/>
      <c r="F4" s="770"/>
      <c r="G4" s="770"/>
      <c r="H4" s="770"/>
      <c r="I4" s="770"/>
      <c r="J4" s="770"/>
      <c r="K4" s="770"/>
      <c r="L4" s="770"/>
      <c r="M4" s="770"/>
      <c r="N4" s="770"/>
      <c r="O4" s="770"/>
      <c r="P4" s="770"/>
      <c r="Q4" s="770"/>
      <c r="R4" s="770"/>
    </row>
    <row r="5" spans="1:21" ht="18.75" hidden="1" customHeight="1" thickBot="1" x14ac:dyDescent="0.3">
      <c r="A5" s="186"/>
      <c r="B5" s="186"/>
      <c r="C5" s="643"/>
      <c r="D5" s="288"/>
      <c r="E5" s="186"/>
      <c r="F5" s="218"/>
      <c r="G5" s="218"/>
      <c r="H5" s="218"/>
      <c r="I5" s="221"/>
      <c r="J5" s="221"/>
      <c r="K5" s="221"/>
      <c r="L5" s="186"/>
      <c r="M5" s="219"/>
      <c r="N5" s="186"/>
      <c r="O5" s="186"/>
      <c r="P5" s="218"/>
      <c r="Q5" s="218"/>
      <c r="R5" s="186"/>
    </row>
    <row r="6" spans="1:21" ht="18.75" hidden="1" customHeight="1" x14ac:dyDescent="0.25">
      <c r="A6" s="217" t="s">
        <v>232</v>
      </c>
      <c r="B6" s="216"/>
      <c r="C6" s="648"/>
      <c r="D6" s="445"/>
      <c r="E6" s="207"/>
      <c r="F6" s="206"/>
      <c r="G6" s="206"/>
      <c r="H6" s="647" t="s">
        <v>183</v>
      </c>
      <c r="I6" s="212"/>
      <c r="J6" s="212"/>
      <c r="K6" s="212"/>
      <c r="L6" s="210"/>
      <c r="M6" s="209"/>
      <c r="N6" s="207"/>
      <c r="O6" s="207"/>
      <c r="P6" s="206"/>
      <c r="Q6" s="206"/>
      <c r="R6" s="205"/>
    </row>
    <row r="7" spans="1:21" ht="18.75" hidden="1" customHeight="1" x14ac:dyDescent="0.25">
      <c r="A7" s="197"/>
      <c r="B7" s="196"/>
      <c r="C7" s="643"/>
      <c r="D7" s="288"/>
      <c r="E7" s="186"/>
      <c r="F7" s="185"/>
      <c r="G7" s="185"/>
      <c r="H7" s="646" t="s">
        <v>182</v>
      </c>
      <c r="I7" s="202"/>
      <c r="J7" s="202" t="s">
        <v>181</v>
      </c>
      <c r="K7" s="221"/>
      <c r="L7" s="186"/>
      <c r="M7" s="200"/>
      <c r="N7" s="645"/>
      <c r="O7" s="644"/>
      <c r="P7" s="185"/>
      <c r="Q7" s="185"/>
      <c r="R7" s="184"/>
    </row>
    <row r="8" spans="1:21" ht="18.75" hidden="1" customHeight="1" x14ac:dyDescent="0.25">
      <c r="A8" s="197"/>
      <c r="B8" s="196"/>
      <c r="C8" s="643"/>
      <c r="D8" s="288"/>
      <c r="E8" s="186"/>
      <c r="F8" s="185"/>
      <c r="G8" s="185"/>
      <c r="H8" s="642"/>
      <c r="I8" s="190"/>
      <c r="J8" s="221"/>
      <c r="K8" s="221" t="s">
        <v>179</v>
      </c>
      <c r="L8" s="186"/>
      <c r="M8" s="188"/>
      <c r="N8" s="190"/>
      <c r="O8" s="186"/>
      <c r="P8" s="185"/>
      <c r="Q8" s="185"/>
      <c r="R8" s="184"/>
    </row>
    <row r="9" spans="1:21" ht="18.75" hidden="1" customHeight="1" x14ac:dyDescent="0.25">
      <c r="A9" s="197"/>
      <c r="B9" s="196"/>
      <c r="C9" s="643"/>
      <c r="D9" s="288"/>
      <c r="E9" s="186"/>
      <c r="F9" s="185"/>
      <c r="G9" s="185"/>
      <c r="H9" s="642" t="s">
        <v>299</v>
      </c>
      <c r="I9" s="190"/>
      <c r="J9" s="221"/>
      <c r="K9" s="221" t="s">
        <v>177</v>
      </c>
      <c r="L9" s="186"/>
      <c r="M9" s="188"/>
      <c r="N9" s="190"/>
      <c r="O9" s="186"/>
      <c r="P9" s="185"/>
      <c r="Q9" s="185"/>
      <c r="R9" s="184"/>
    </row>
    <row r="10" spans="1:21" ht="18.75" hidden="1" customHeight="1" thickBot="1" x14ac:dyDescent="0.3">
      <c r="A10" s="183"/>
      <c r="B10" s="182"/>
      <c r="C10" s="641"/>
      <c r="D10" s="640"/>
      <c r="E10" s="173"/>
      <c r="F10" s="172"/>
      <c r="G10" s="172"/>
      <c r="H10" s="639" t="s">
        <v>298</v>
      </c>
      <c r="I10" s="177"/>
      <c r="J10" s="638"/>
      <c r="K10" s="638" t="s">
        <v>175</v>
      </c>
      <c r="L10" s="173"/>
      <c r="M10" s="175"/>
      <c r="N10" s="177"/>
      <c r="O10" s="173"/>
      <c r="P10" s="172"/>
      <c r="Q10" s="172"/>
      <c r="R10" s="171"/>
    </row>
    <row r="11" spans="1:21" ht="18.75" customHeight="1" thickBot="1" x14ac:dyDescent="0.3">
      <c r="A11" s="726" t="s">
        <v>174</v>
      </c>
      <c r="B11" s="727"/>
      <c r="C11" s="727"/>
      <c r="D11" s="727"/>
      <c r="E11" s="727"/>
      <c r="F11" s="727"/>
      <c r="G11" s="727"/>
      <c r="H11" s="727"/>
      <c r="I11" s="727"/>
      <c r="J11" s="727"/>
      <c r="K11" s="727"/>
      <c r="L11" s="727"/>
      <c r="M11" s="727"/>
      <c r="N11" s="727"/>
      <c r="O11" s="727"/>
      <c r="P11" s="727"/>
      <c r="Q11" s="727"/>
      <c r="R11" s="728"/>
      <c r="T11" s="170"/>
    </row>
    <row r="12" spans="1:21" ht="18.75" customHeight="1" x14ac:dyDescent="0.25">
      <c r="A12" s="729" t="s">
        <v>173</v>
      </c>
      <c r="B12" s="735" t="s">
        <v>172</v>
      </c>
      <c r="C12" s="764" t="s">
        <v>171</v>
      </c>
      <c r="D12" s="763" t="s">
        <v>170</v>
      </c>
      <c r="E12" s="741" t="s">
        <v>169</v>
      </c>
      <c r="F12" s="743" t="s">
        <v>168</v>
      </c>
      <c r="G12" s="744"/>
      <c r="H12" s="745"/>
      <c r="I12" s="749" t="s">
        <v>167</v>
      </c>
      <c r="J12" s="750"/>
      <c r="K12" s="753" t="s">
        <v>166</v>
      </c>
      <c r="L12" s="736" t="s">
        <v>165</v>
      </c>
      <c r="M12" s="737"/>
      <c r="N12" s="737"/>
      <c r="O12" s="737"/>
      <c r="P12" s="737"/>
      <c r="Q12" s="767"/>
      <c r="R12" s="738" t="s">
        <v>164</v>
      </c>
      <c r="T12" s="168"/>
    </row>
    <row r="13" spans="1:21" ht="15.75" x14ac:dyDescent="0.25">
      <c r="A13" s="730"/>
      <c r="B13" s="735"/>
      <c r="C13" s="765"/>
      <c r="D13" s="763"/>
      <c r="E13" s="735"/>
      <c r="F13" s="746"/>
      <c r="G13" s="747"/>
      <c r="H13" s="748"/>
      <c r="I13" s="751"/>
      <c r="J13" s="752"/>
      <c r="K13" s="754"/>
      <c r="L13" s="762" t="s">
        <v>163</v>
      </c>
      <c r="M13" s="762"/>
      <c r="N13" s="762" t="s">
        <v>231</v>
      </c>
      <c r="O13" s="762"/>
      <c r="P13" s="762"/>
      <c r="Q13" s="768" t="s">
        <v>297</v>
      </c>
      <c r="R13" s="739"/>
    </row>
    <row r="14" spans="1:21" s="20" customFormat="1" ht="48" thickBot="1" x14ac:dyDescent="0.3">
      <c r="A14" s="731"/>
      <c r="B14" s="735"/>
      <c r="C14" s="766"/>
      <c r="D14" s="763"/>
      <c r="E14" s="742"/>
      <c r="F14" s="167" t="s">
        <v>161</v>
      </c>
      <c r="G14" s="167" t="s">
        <v>160</v>
      </c>
      <c r="H14" s="167" t="s">
        <v>159</v>
      </c>
      <c r="I14" s="166" t="s">
        <v>158</v>
      </c>
      <c r="J14" s="166" t="s">
        <v>157</v>
      </c>
      <c r="K14" s="755"/>
      <c r="L14" s="164" t="s">
        <v>156</v>
      </c>
      <c r="M14" s="163" t="s">
        <v>155</v>
      </c>
      <c r="N14" s="637" t="s">
        <v>154</v>
      </c>
      <c r="O14" s="637" t="s">
        <v>153</v>
      </c>
      <c r="P14" s="163" t="s">
        <v>152</v>
      </c>
      <c r="Q14" s="769"/>
      <c r="R14" s="740"/>
    </row>
    <row r="15" spans="1:21" s="64" customFormat="1" ht="19.5" customHeight="1" x14ac:dyDescent="0.25">
      <c r="A15" s="636" t="s">
        <v>151</v>
      </c>
      <c r="B15" s="635"/>
      <c r="C15" s="634" t="s">
        <v>150</v>
      </c>
      <c r="D15" s="429"/>
      <c r="E15" s="427" t="s">
        <v>149</v>
      </c>
      <c r="F15" s="633" t="s">
        <v>148</v>
      </c>
      <c r="G15" s="633" t="s">
        <v>147</v>
      </c>
      <c r="H15" s="633" t="s">
        <v>146</v>
      </c>
      <c r="I15" s="427" t="s">
        <v>145</v>
      </c>
      <c r="J15" s="427" t="s">
        <v>144</v>
      </c>
      <c r="K15" s="427" t="s">
        <v>143</v>
      </c>
      <c r="L15" s="427" t="s">
        <v>142</v>
      </c>
      <c r="M15" s="633" t="s">
        <v>141</v>
      </c>
      <c r="N15" s="427" t="s">
        <v>140</v>
      </c>
      <c r="O15" s="427" t="s">
        <v>139</v>
      </c>
      <c r="P15" s="633" t="s">
        <v>138</v>
      </c>
      <c r="Q15" s="632" t="s">
        <v>229</v>
      </c>
      <c r="R15" s="631" t="s">
        <v>136</v>
      </c>
      <c r="S15" s="20"/>
      <c r="U15" s="65"/>
    </row>
    <row r="16" spans="1:21" s="64" customFormat="1" ht="19.5" customHeight="1" x14ac:dyDescent="0.25">
      <c r="A16" s="673" t="s">
        <v>304</v>
      </c>
      <c r="B16" s="673" t="s">
        <v>305</v>
      </c>
      <c r="C16" s="673" t="s">
        <v>306</v>
      </c>
      <c r="D16" s="673" t="s">
        <v>307</v>
      </c>
      <c r="E16" s="673" t="s">
        <v>308</v>
      </c>
      <c r="F16" s="673" t="s">
        <v>309</v>
      </c>
      <c r="G16" s="673" t="s">
        <v>310</v>
      </c>
      <c r="H16" s="673" t="s">
        <v>311</v>
      </c>
      <c r="I16" s="673" t="s">
        <v>312</v>
      </c>
      <c r="J16" s="673" t="s">
        <v>313</v>
      </c>
      <c r="K16" s="673" t="s">
        <v>314</v>
      </c>
      <c r="L16" s="673" t="s">
        <v>315</v>
      </c>
      <c r="M16" s="673" t="s">
        <v>316</v>
      </c>
      <c r="N16" s="673" t="s">
        <v>317</v>
      </c>
      <c r="O16" s="673" t="s">
        <v>318</v>
      </c>
      <c r="P16" s="673" t="s">
        <v>319</v>
      </c>
      <c r="Q16" s="673" t="s">
        <v>320</v>
      </c>
      <c r="R16" s="674"/>
      <c r="S16" s="20"/>
      <c r="U16" s="65"/>
    </row>
    <row r="17" spans="1:21" s="551" customFormat="1" ht="26.25" customHeight="1" x14ac:dyDescent="0.25">
      <c r="A17" s="630" t="s">
        <v>135</v>
      </c>
      <c r="B17" s="630"/>
      <c r="C17" s="629" t="e">
        <f>SUM(C18,C63,C73,C94,C122,C147)</f>
        <v>#REF!</v>
      </c>
      <c r="D17" s="626"/>
      <c r="E17" s="626"/>
      <c r="F17" s="628" t="e">
        <f>SUM(F18,F63,F73,F94,F122,F147)</f>
        <v>#REF!</v>
      </c>
      <c r="G17" s="628" t="e">
        <f>SUM(G18,G63,G73,G94,G122,G147)</f>
        <v>#REF!</v>
      </c>
      <c r="H17" s="628" t="e">
        <f>SUM(H18,H63,H73,H94,H122,H147)</f>
        <v>#REF!</v>
      </c>
      <c r="I17" s="628"/>
      <c r="J17" s="628"/>
      <c r="K17" s="627"/>
      <c r="L17" s="626" t="e">
        <f>SUM(L18,L63,L73,L94,L122,L147)</f>
        <v>#REF!</v>
      </c>
      <c r="M17" s="626" t="e">
        <f>SUM(M18,M63,M73,M94,M122,M147)</f>
        <v>#REF!</v>
      </c>
      <c r="N17" s="626" t="e">
        <f>SUM(N18,N63,N73,N94,N122,N147)</f>
        <v>#REF!</v>
      </c>
      <c r="O17" s="626" t="e">
        <f>AVERAGE(O18,O63,O73,O94,O122,O147)</f>
        <v>#REF!</v>
      </c>
      <c r="P17" s="626" t="e">
        <f>SUM(P18,P63,P73,P94,P122,P147)</f>
        <v>#REF!</v>
      </c>
      <c r="Q17" s="625" t="e">
        <f>P17+M17</f>
        <v>#REF!</v>
      </c>
      <c r="R17" s="624"/>
    </row>
    <row r="18" spans="1:21" s="572" customFormat="1" ht="16.5" x14ac:dyDescent="0.25">
      <c r="A18" s="578" t="s">
        <v>227</v>
      </c>
      <c r="B18" s="578"/>
      <c r="C18" s="596" t="e">
        <f>SUM(#REF!,#REF!,#REF!,#REF!,#REF!)</f>
        <v>#REF!</v>
      </c>
      <c r="D18" s="575"/>
      <c r="E18" s="575"/>
      <c r="F18" s="577" t="e">
        <f>SUM(#REF!,#REF!,#REF!,#REF!,#REF!)</f>
        <v>#REF!</v>
      </c>
      <c r="G18" s="577" t="e">
        <f>SUM(#REF!,#REF!,#REF!,#REF!,#REF!)</f>
        <v>#REF!</v>
      </c>
      <c r="H18" s="577" t="e">
        <f>SUM(#REF!,#REF!,#REF!,#REF!,#REF!)</f>
        <v>#REF!</v>
      </c>
      <c r="I18" s="577"/>
      <c r="J18" s="577"/>
      <c r="K18" s="576"/>
      <c r="L18" s="575" t="e">
        <f>SUM(#REF!,#REF!,#REF!,#REF!,#REF!)</f>
        <v>#REF!</v>
      </c>
      <c r="M18" s="575" t="e">
        <f>SUM(#REF!,#REF!,#REF!,#REF!,#REF!)</f>
        <v>#REF!</v>
      </c>
      <c r="N18" s="575" t="e">
        <f>SUM(#REF!,#REF!,#REF!,#REF!,#REF!)</f>
        <v>#REF!</v>
      </c>
      <c r="O18" s="575" t="e">
        <f>AVERAGE(#REF!,#REF!,#REF!,#REF!,#REF!)</f>
        <v>#REF!</v>
      </c>
      <c r="P18" s="575" t="e">
        <f>SUM(#REF!,#REF!,#REF!,#REF!,#REF!)</f>
        <v>#REF!</v>
      </c>
      <c r="Q18" s="574" t="e">
        <f>P18+M18</f>
        <v>#REF!</v>
      </c>
      <c r="R18" s="573"/>
    </row>
    <row r="19" spans="1:21" s="551" customFormat="1" ht="15.75" customHeight="1" x14ac:dyDescent="0.25">
      <c r="A19" s="87" t="s">
        <v>7</v>
      </c>
      <c r="B19" s="87"/>
      <c r="C19" s="591">
        <v>614</v>
      </c>
      <c r="D19" s="83"/>
      <c r="E19" s="83" t="s">
        <v>225</v>
      </c>
      <c r="F19" s="555">
        <v>586</v>
      </c>
      <c r="G19" s="555"/>
      <c r="H19" s="553">
        <f>F19+G19</f>
        <v>586</v>
      </c>
      <c r="I19" s="555">
        <v>4.08</v>
      </c>
      <c r="J19" s="559">
        <v>0</v>
      </c>
      <c r="K19" s="558">
        <f>(I19-J19)/I19</f>
        <v>1</v>
      </c>
      <c r="L19" s="557">
        <v>7470</v>
      </c>
      <c r="M19" s="557">
        <f>(H19*L19)*K19</f>
        <v>4377420</v>
      </c>
      <c r="N19" s="554"/>
      <c r="O19" s="553"/>
      <c r="P19" s="553">
        <f>N19*1000*17</f>
        <v>0</v>
      </c>
      <c r="Q19" s="553">
        <f>M19+P19</f>
        <v>4377420</v>
      </c>
      <c r="R19" s="552"/>
    </row>
    <row r="20" spans="1:21" s="561" customFormat="1" ht="15" x14ac:dyDescent="0.25">
      <c r="A20" s="567" t="s">
        <v>264</v>
      </c>
      <c r="B20" s="567"/>
      <c r="C20" s="619">
        <v>120</v>
      </c>
      <c r="D20" s="565"/>
      <c r="E20" s="86" t="s">
        <v>225</v>
      </c>
      <c r="F20" s="555">
        <v>150</v>
      </c>
      <c r="G20" s="555"/>
      <c r="H20" s="553">
        <f>F20+G20</f>
        <v>150</v>
      </c>
      <c r="I20" s="560">
        <v>4.08</v>
      </c>
      <c r="J20" s="559">
        <v>0</v>
      </c>
      <c r="K20" s="558">
        <f>(I20-J20)/I20</f>
        <v>1</v>
      </c>
      <c r="L20" s="557">
        <v>7470</v>
      </c>
      <c r="M20" s="557">
        <f>(H20*L20)*K20</f>
        <v>1120500</v>
      </c>
      <c r="N20" s="564"/>
      <c r="O20" s="564"/>
      <c r="P20" s="553">
        <f>N20*1000*17</f>
        <v>0</v>
      </c>
      <c r="Q20" s="553">
        <f>M20+P20</f>
        <v>1120500</v>
      </c>
      <c r="R20" s="563"/>
      <c r="S20" s="620"/>
      <c r="T20" s="476"/>
      <c r="U20" s="476"/>
    </row>
    <row r="21" spans="1:21" s="561" customFormat="1" ht="15" x14ac:dyDescent="0.25">
      <c r="A21" s="567" t="s">
        <v>24</v>
      </c>
      <c r="B21" s="567"/>
      <c r="C21" s="619">
        <v>112</v>
      </c>
      <c r="D21" s="565"/>
      <c r="E21" s="86" t="s">
        <v>225</v>
      </c>
      <c r="F21" s="623">
        <v>140</v>
      </c>
      <c r="G21" s="555"/>
      <c r="H21" s="553">
        <f>F21+G21</f>
        <v>140</v>
      </c>
      <c r="I21" s="560">
        <v>4.08</v>
      </c>
      <c r="J21" s="559">
        <v>0</v>
      </c>
      <c r="K21" s="558">
        <f>(I21-J21)/I21</f>
        <v>1</v>
      </c>
      <c r="L21" s="557">
        <v>7470</v>
      </c>
      <c r="M21" s="557">
        <f>(H21*L21)*K21</f>
        <v>1045800</v>
      </c>
      <c r="N21" s="564"/>
      <c r="O21" s="564"/>
      <c r="P21" s="553">
        <f>N21*1000*17</f>
        <v>0</v>
      </c>
      <c r="Q21" s="553">
        <f>M21+P21</f>
        <v>1045800</v>
      </c>
      <c r="R21" s="563"/>
      <c r="S21" s="562"/>
      <c r="T21" s="476"/>
      <c r="U21" s="476"/>
    </row>
    <row r="22" spans="1:21" s="561" customFormat="1" ht="15" x14ac:dyDescent="0.25">
      <c r="A22" s="567" t="s">
        <v>26</v>
      </c>
      <c r="B22" s="567"/>
      <c r="C22" s="619">
        <v>600</v>
      </c>
      <c r="D22" s="565"/>
      <c r="E22" s="86" t="s">
        <v>225</v>
      </c>
      <c r="F22" s="555">
        <v>750</v>
      </c>
      <c r="G22" s="555"/>
      <c r="H22" s="553">
        <f>F22+G22</f>
        <v>750</v>
      </c>
      <c r="I22" s="560">
        <v>4.08</v>
      </c>
      <c r="J22" s="559">
        <v>0</v>
      </c>
      <c r="K22" s="558">
        <f>(I22-J22)/I22</f>
        <v>1</v>
      </c>
      <c r="L22" s="557">
        <v>7470</v>
      </c>
      <c r="M22" s="557">
        <f>(H22*L22)*K22</f>
        <v>5602500</v>
      </c>
      <c r="N22" s="564"/>
      <c r="O22" s="564"/>
      <c r="P22" s="553">
        <f>N22*1000*17</f>
        <v>0</v>
      </c>
      <c r="Q22" s="553">
        <f>M22+P22</f>
        <v>5602500</v>
      </c>
      <c r="R22" s="563"/>
      <c r="S22" s="562"/>
      <c r="T22" s="476"/>
      <c r="U22" s="476"/>
    </row>
    <row r="23" spans="1:21" s="658" customFormat="1" ht="15" x14ac:dyDescent="0.25">
      <c r="A23" s="649" t="s">
        <v>4</v>
      </c>
      <c r="B23" s="649"/>
      <c r="C23" s="650">
        <v>1217</v>
      </c>
      <c r="D23" s="650">
        <v>0</v>
      </c>
      <c r="E23" s="650">
        <v>0</v>
      </c>
      <c r="F23" s="650">
        <v>1636</v>
      </c>
      <c r="G23" s="650">
        <v>0</v>
      </c>
      <c r="H23" s="650">
        <v>1636</v>
      </c>
      <c r="I23" s="650">
        <v>8.16</v>
      </c>
      <c r="J23" s="650">
        <v>0</v>
      </c>
      <c r="K23" s="650">
        <v>2</v>
      </c>
      <c r="L23" s="650">
        <v>7470</v>
      </c>
      <c r="M23" s="650">
        <v>12041640</v>
      </c>
      <c r="N23" s="650">
        <v>97.92</v>
      </c>
      <c r="O23" s="650">
        <v>17</v>
      </c>
      <c r="P23" s="650">
        <v>1664640</v>
      </c>
      <c r="Q23" s="650">
        <v>13706280</v>
      </c>
      <c r="R23" s="656"/>
      <c r="S23" s="657"/>
      <c r="T23" s="524"/>
      <c r="U23" s="524"/>
    </row>
    <row r="24" spans="1:21" s="551" customFormat="1" ht="15.75" customHeight="1" x14ac:dyDescent="0.25">
      <c r="A24" s="87" t="s">
        <v>29</v>
      </c>
      <c r="B24" s="87"/>
      <c r="C24" s="591">
        <v>241</v>
      </c>
      <c r="D24" s="83"/>
      <c r="E24" s="86" t="s">
        <v>225</v>
      </c>
      <c r="F24" s="555">
        <v>347</v>
      </c>
      <c r="G24" s="555"/>
      <c r="H24" s="553">
        <f>F24+G24</f>
        <v>347</v>
      </c>
      <c r="I24" s="560">
        <v>4.08</v>
      </c>
      <c r="J24" s="559">
        <v>0</v>
      </c>
      <c r="K24" s="558">
        <f>(I24-J24)/I24</f>
        <v>1</v>
      </c>
      <c r="L24" s="557">
        <v>7470</v>
      </c>
      <c r="M24" s="557">
        <f>(H24*L24)*K24</f>
        <v>2592090</v>
      </c>
      <c r="N24" s="554"/>
      <c r="O24" s="553"/>
      <c r="P24" s="553">
        <f>N24*1000*17</f>
        <v>0</v>
      </c>
      <c r="Q24" s="553">
        <f>M24+P24</f>
        <v>2592090</v>
      </c>
      <c r="R24" s="552"/>
    </row>
    <row r="25" spans="1:21" s="561" customFormat="1" ht="15" x14ac:dyDescent="0.25">
      <c r="A25" s="567" t="s">
        <v>30</v>
      </c>
      <c r="B25" s="584"/>
      <c r="C25" s="619">
        <v>500</v>
      </c>
      <c r="D25" s="565"/>
      <c r="E25" s="86" t="s">
        <v>225</v>
      </c>
      <c r="F25" s="555">
        <v>342</v>
      </c>
      <c r="G25" s="555"/>
      <c r="H25" s="553">
        <f>F25+G25</f>
        <v>342</v>
      </c>
      <c r="I25" s="560">
        <v>4.08</v>
      </c>
      <c r="J25" s="559">
        <v>0</v>
      </c>
      <c r="K25" s="558">
        <f>(I25-J25)/I25</f>
        <v>1</v>
      </c>
      <c r="L25" s="557">
        <v>7470</v>
      </c>
      <c r="M25" s="557">
        <f>(H25*L25)*K25</f>
        <v>2554740</v>
      </c>
      <c r="N25" s="564"/>
      <c r="O25" s="564"/>
      <c r="P25" s="553">
        <f>N25*1000*17</f>
        <v>0</v>
      </c>
      <c r="Q25" s="553">
        <f>M25+P25</f>
        <v>2554740</v>
      </c>
      <c r="R25" s="563"/>
      <c r="S25" s="562"/>
      <c r="T25" s="476"/>
      <c r="U25" s="476"/>
    </row>
    <row r="26" spans="1:21" s="551" customFormat="1" ht="15.75" customHeight="1" x14ac:dyDescent="0.25">
      <c r="A26" s="87" t="s">
        <v>296</v>
      </c>
      <c r="B26" s="87"/>
      <c r="C26" s="591">
        <v>438</v>
      </c>
      <c r="D26" s="83"/>
      <c r="E26" s="83" t="s">
        <v>225</v>
      </c>
      <c r="F26" s="555">
        <v>391</v>
      </c>
      <c r="G26" s="555"/>
      <c r="H26" s="553">
        <f>F26+G26</f>
        <v>391</v>
      </c>
      <c r="I26" s="560">
        <v>4.08</v>
      </c>
      <c r="J26" s="559">
        <v>0</v>
      </c>
      <c r="K26" s="558">
        <f>(I26-J26)/I26</f>
        <v>1</v>
      </c>
      <c r="L26" s="557">
        <v>7470</v>
      </c>
      <c r="M26" s="557">
        <f>(H26*L26)*K26</f>
        <v>2920770</v>
      </c>
      <c r="N26" s="554"/>
      <c r="O26" s="553"/>
      <c r="P26" s="553">
        <f>N26*1000*17</f>
        <v>0</v>
      </c>
      <c r="Q26" s="553">
        <f>M26+P26</f>
        <v>2920770</v>
      </c>
      <c r="R26" s="552"/>
    </row>
    <row r="27" spans="1:21" s="551" customFormat="1" ht="15.75" hidden="1" customHeight="1" x14ac:dyDescent="0.25">
      <c r="A27" s="87" t="s">
        <v>9</v>
      </c>
      <c r="B27" s="87"/>
      <c r="C27" s="591"/>
      <c r="D27" s="83"/>
      <c r="E27" s="83"/>
      <c r="F27" s="555"/>
      <c r="G27" s="555"/>
      <c r="H27" s="553">
        <f>F27+G27</f>
        <v>0</v>
      </c>
      <c r="I27" s="555"/>
      <c r="J27" s="555"/>
      <c r="K27" s="558"/>
      <c r="L27" s="83"/>
      <c r="M27" s="557">
        <f>(H27*L27)*K27</f>
        <v>0</v>
      </c>
      <c r="N27" s="554"/>
      <c r="O27" s="553"/>
      <c r="P27" s="553">
        <f>N27*1000*17</f>
        <v>0</v>
      </c>
      <c r="Q27" s="553">
        <f>M27+P27</f>
        <v>0</v>
      </c>
      <c r="R27" s="552"/>
    </row>
    <row r="28" spans="1:21" s="664" customFormat="1" ht="15.75" customHeight="1" x14ac:dyDescent="0.25">
      <c r="A28" s="659" t="s">
        <v>11</v>
      </c>
      <c r="B28" s="659"/>
      <c r="C28" s="660">
        <v>60</v>
      </c>
      <c r="D28" s="661"/>
      <c r="E28" s="661">
        <v>60</v>
      </c>
      <c r="F28" s="652">
        <v>60</v>
      </c>
      <c r="G28" s="652">
        <v>60</v>
      </c>
      <c r="H28" s="653">
        <v>60</v>
      </c>
      <c r="I28" s="652">
        <v>60</v>
      </c>
      <c r="J28" s="652">
        <v>60</v>
      </c>
      <c r="K28" s="654">
        <v>60</v>
      </c>
      <c r="L28" s="661">
        <v>60</v>
      </c>
      <c r="M28" s="655">
        <v>60</v>
      </c>
      <c r="N28" s="662">
        <v>60</v>
      </c>
      <c r="O28" s="653">
        <v>60</v>
      </c>
      <c r="P28" s="653">
        <v>60</v>
      </c>
      <c r="Q28" s="653">
        <v>60</v>
      </c>
      <c r="R28" s="663"/>
    </row>
    <row r="29" spans="1:21" s="561" customFormat="1" ht="15" x14ac:dyDescent="0.25">
      <c r="A29" s="567" t="s">
        <v>269</v>
      </c>
      <c r="B29" s="567"/>
      <c r="C29" s="619">
        <v>470.40000000000003</v>
      </c>
      <c r="D29" s="565"/>
      <c r="E29" s="86" t="s">
        <v>225</v>
      </c>
      <c r="F29" s="555">
        <v>588</v>
      </c>
      <c r="G29" s="555"/>
      <c r="H29" s="553">
        <f>F29+G29</f>
        <v>588</v>
      </c>
      <c r="I29" s="560">
        <v>4.08</v>
      </c>
      <c r="J29" s="559">
        <v>0</v>
      </c>
      <c r="K29" s="558">
        <f>(I29-J29)/I29</f>
        <v>1</v>
      </c>
      <c r="L29" s="557">
        <v>7470</v>
      </c>
      <c r="M29" s="557">
        <f>(H29*L29)*K29</f>
        <v>4392360</v>
      </c>
      <c r="N29" s="564"/>
      <c r="O29" s="564"/>
      <c r="P29" s="553">
        <f>N29*1000*17</f>
        <v>0</v>
      </c>
      <c r="Q29" s="553">
        <f>M29+P29</f>
        <v>4392360</v>
      </c>
      <c r="R29" s="563"/>
      <c r="S29" s="562"/>
      <c r="T29" s="476"/>
      <c r="U29" s="476"/>
    </row>
    <row r="30" spans="1:21" s="561" customFormat="1" ht="15" x14ac:dyDescent="0.25">
      <c r="A30" s="567" t="s">
        <v>12</v>
      </c>
      <c r="B30" s="567"/>
      <c r="C30" s="619">
        <v>1978</v>
      </c>
      <c r="D30" s="565"/>
      <c r="E30" s="86" t="s">
        <v>225</v>
      </c>
      <c r="F30" s="555">
        <v>1742</v>
      </c>
      <c r="G30" s="555"/>
      <c r="H30" s="553">
        <f>F30+G30</f>
        <v>1742</v>
      </c>
      <c r="I30" s="560">
        <v>4.08</v>
      </c>
      <c r="J30" s="559">
        <v>0</v>
      </c>
      <c r="K30" s="558">
        <f>(I30-J30)/I30</f>
        <v>1</v>
      </c>
      <c r="L30" s="557">
        <v>7470</v>
      </c>
      <c r="M30" s="557">
        <f>(H30*L30)*K30</f>
        <v>13012740</v>
      </c>
      <c r="N30" s="564"/>
      <c r="O30" s="564"/>
      <c r="P30" s="553">
        <f>N30*1000*17</f>
        <v>0</v>
      </c>
      <c r="Q30" s="553">
        <f>M30+P30</f>
        <v>13012740</v>
      </c>
      <c r="R30" s="563"/>
      <c r="S30" s="562"/>
      <c r="T30" s="476"/>
      <c r="U30" s="476"/>
    </row>
    <row r="31" spans="1:21" s="561" customFormat="1" ht="15" x14ac:dyDescent="0.25">
      <c r="A31" s="567" t="s">
        <v>13</v>
      </c>
      <c r="B31" s="567"/>
      <c r="C31" s="619">
        <v>286.40000000000003</v>
      </c>
      <c r="D31" s="565"/>
      <c r="E31" s="86" t="s">
        <v>225</v>
      </c>
      <c r="F31" s="555">
        <v>358</v>
      </c>
      <c r="G31" s="555"/>
      <c r="H31" s="553">
        <f>F31+G31</f>
        <v>358</v>
      </c>
      <c r="I31" s="560">
        <v>4.08</v>
      </c>
      <c r="J31" s="559">
        <v>0</v>
      </c>
      <c r="K31" s="558">
        <f>(I31-J31)/I31</f>
        <v>1</v>
      </c>
      <c r="L31" s="557">
        <v>7470</v>
      </c>
      <c r="M31" s="557">
        <f>(H31*L31)*K31</f>
        <v>2674260</v>
      </c>
      <c r="N31" s="564"/>
      <c r="O31" s="564"/>
      <c r="P31" s="553">
        <f>N31*1000*17</f>
        <v>0</v>
      </c>
      <c r="Q31" s="553">
        <f>M31+P31</f>
        <v>2674260</v>
      </c>
      <c r="R31" s="563"/>
      <c r="S31" s="562"/>
      <c r="T31" s="476"/>
      <c r="U31" s="476"/>
    </row>
    <row r="32" spans="1:21" s="658" customFormat="1" ht="15" x14ac:dyDescent="0.25">
      <c r="A32" s="649" t="s">
        <v>14</v>
      </c>
      <c r="B32" s="649"/>
      <c r="C32" s="650">
        <v>864</v>
      </c>
      <c r="D32" s="650">
        <v>0</v>
      </c>
      <c r="E32" s="650">
        <v>0</v>
      </c>
      <c r="F32" s="650">
        <v>925</v>
      </c>
      <c r="G32" s="650">
        <v>231</v>
      </c>
      <c r="H32" s="650">
        <v>1156</v>
      </c>
      <c r="I32" s="650">
        <v>8.16</v>
      </c>
      <c r="J32" s="650">
        <v>1.22</v>
      </c>
      <c r="K32" s="650">
        <v>1.7009803921568629</v>
      </c>
      <c r="L32" s="650">
        <v>14940</v>
      </c>
      <c r="M32" s="650">
        <v>8119340.7352941176</v>
      </c>
      <c r="N32" s="650">
        <v>0</v>
      </c>
      <c r="O32" s="650">
        <v>0</v>
      </c>
      <c r="P32" s="650">
        <v>0</v>
      </c>
      <c r="Q32" s="650">
        <v>8119340.7352941176</v>
      </c>
      <c r="R32" s="656"/>
      <c r="S32" s="657"/>
      <c r="T32" s="524"/>
      <c r="U32" s="524"/>
    </row>
    <row r="33" spans="1:21" s="551" customFormat="1" ht="15.75" hidden="1" customHeight="1" x14ac:dyDescent="0.25">
      <c r="A33" s="87" t="s">
        <v>15</v>
      </c>
      <c r="B33" s="87"/>
      <c r="C33" s="591"/>
      <c r="D33" s="83"/>
      <c r="E33" s="83"/>
      <c r="F33" s="555"/>
      <c r="G33" s="555"/>
      <c r="H33" s="553">
        <f t="shared" ref="H33:H47" si="0">F33+G33</f>
        <v>0</v>
      </c>
      <c r="I33" s="555"/>
      <c r="J33" s="555"/>
      <c r="K33" s="558"/>
      <c r="L33" s="83"/>
      <c r="M33" s="557">
        <f t="shared" ref="M33:M38" si="1">(H33*L33)*K33</f>
        <v>0</v>
      </c>
      <c r="N33" s="554"/>
      <c r="O33" s="553"/>
      <c r="P33" s="553">
        <f t="shared" ref="P33:P38" si="2">N33*1000*17</f>
        <v>0</v>
      </c>
      <c r="Q33" s="553">
        <f t="shared" ref="Q33:Q38" si="3">M33+P33</f>
        <v>0</v>
      </c>
      <c r="R33" s="552"/>
    </row>
    <row r="34" spans="1:21" s="551" customFormat="1" ht="15.75" hidden="1" customHeight="1" x14ac:dyDescent="0.25">
      <c r="A34" s="87" t="s">
        <v>16</v>
      </c>
      <c r="B34" s="87"/>
      <c r="C34" s="591"/>
      <c r="D34" s="83"/>
      <c r="E34" s="83"/>
      <c r="F34" s="555"/>
      <c r="G34" s="555"/>
      <c r="H34" s="553">
        <f t="shared" si="0"/>
        <v>0</v>
      </c>
      <c r="I34" s="555"/>
      <c r="J34" s="555"/>
      <c r="K34" s="558"/>
      <c r="L34" s="83"/>
      <c r="M34" s="557">
        <f t="shared" si="1"/>
        <v>0</v>
      </c>
      <c r="N34" s="554"/>
      <c r="O34" s="553"/>
      <c r="P34" s="553">
        <f t="shared" si="2"/>
        <v>0</v>
      </c>
      <c r="Q34" s="553">
        <f t="shared" si="3"/>
        <v>0</v>
      </c>
      <c r="R34" s="552"/>
    </row>
    <row r="35" spans="1:21" s="561" customFormat="1" ht="15" x14ac:dyDescent="0.25">
      <c r="A35" s="567" t="s">
        <v>18</v>
      </c>
      <c r="B35" s="86"/>
      <c r="C35" s="619">
        <v>160</v>
      </c>
      <c r="D35" s="565"/>
      <c r="E35" s="86" t="s">
        <v>225</v>
      </c>
      <c r="F35" s="565">
        <v>200</v>
      </c>
      <c r="G35" s="565"/>
      <c r="H35" s="553">
        <f t="shared" si="0"/>
        <v>200</v>
      </c>
      <c r="I35" s="560">
        <v>4.08</v>
      </c>
      <c r="J35" s="559">
        <v>0</v>
      </c>
      <c r="K35" s="558">
        <f>(I35-J35)/I35</f>
        <v>1</v>
      </c>
      <c r="L35" s="557">
        <v>7470</v>
      </c>
      <c r="M35" s="557">
        <f t="shared" si="1"/>
        <v>1494000</v>
      </c>
      <c r="N35" s="564"/>
      <c r="O35" s="564"/>
      <c r="P35" s="553">
        <f t="shared" si="2"/>
        <v>0</v>
      </c>
      <c r="Q35" s="553">
        <f t="shared" si="3"/>
        <v>1494000</v>
      </c>
      <c r="R35" s="563"/>
      <c r="S35" s="562"/>
      <c r="T35" s="476"/>
      <c r="U35" s="476"/>
    </row>
    <row r="36" spans="1:21" s="551" customFormat="1" ht="15.75" customHeight="1" x14ac:dyDescent="0.25">
      <c r="A36" s="87" t="s">
        <v>20</v>
      </c>
      <c r="B36" s="87"/>
      <c r="C36" s="591">
        <v>285</v>
      </c>
      <c r="D36" s="83"/>
      <c r="E36" s="83" t="s">
        <v>225</v>
      </c>
      <c r="F36" s="555">
        <v>300</v>
      </c>
      <c r="G36" s="555"/>
      <c r="H36" s="553">
        <f t="shared" si="0"/>
        <v>300</v>
      </c>
      <c r="I36" s="589">
        <v>4.08</v>
      </c>
      <c r="J36" s="559">
        <v>0</v>
      </c>
      <c r="K36" s="558">
        <f>(I36-J36)/I36</f>
        <v>1</v>
      </c>
      <c r="L36" s="557">
        <v>7470</v>
      </c>
      <c r="M36" s="557">
        <f t="shared" si="1"/>
        <v>2241000</v>
      </c>
      <c r="N36" s="554"/>
      <c r="O36" s="553"/>
      <c r="P36" s="553">
        <f t="shared" si="2"/>
        <v>0</v>
      </c>
      <c r="Q36" s="553">
        <f t="shared" si="3"/>
        <v>2241000</v>
      </c>
      <c r="R36" s="552"/>
    </row>
    <row r="37" spans="1:21" s="551" customFormat="1" ht="15.75" customHeight="1" x14ac:dyDescent="0.25">
      <c r="A37" s="87" t="s">
        <v>21</v>
      </c>
      <c r="B37" s="87"/>
      <c r="C37" s="591">
        <v>450</v>
      </c>
      <c r="D37" s="83"/>
      <c r="E37" s="83" t="s">
        <v>225</v>
      </c>
      <c r="F37" s="555">
        <v>500</v>
      </c>
      <c r="G37" s="555"/>
      <c r="H37" s="553">
        <f t="shared" si="0"/>
        <v>500</v>
      </c>
      <c r="I37" s="589">
        <v>4.08</v>
      </c>
      <c r="J37" s="559">
        <v>0</v>
      </c>
      <c r="K37" s="558">
        <f>(I37-J37)/I37</f>
        <v>1</v>
      </c>
      <c r="L37" s="557">
        <v>7470</v>
      </c>
      <c r="M37" s="557">
        <f t="shared" si="1"/>
        <v>3735000</v>
      </c>
      <c r="N37" s="554"/>
      <c r="O37" s="553"/>
      <c r="P37" s="553">
        <f t="shared" si="2"/>
        <v>0</v>
      </c>
      <c r="Q37" s="553">
        <f t="shared" si="3"/>
        <v>3735000</v>
      </c>
      <c r="R37" s="552"/>
    </row>
    <row r="38" spans="1:21" s="551" customFormat="1" ht="15.75" customHeight="1" x14ac:dyDescent="0.25">
      <c r="A38" s="87" t="s">
        <v>25</v>
      </c>
      <c r="B38" s="87"/>
      <c r="C38" s="591">
        <v>210</v>
      </c>
      <c r="D38" s="83"/>
      <c r="E38" s="86" t="s">
        <v>225</v>
      </c>
      <c r="F38" s="555">
        <v>250</v>
      </c>
      <c r="G38" s="555"/>
      <c r="H38" s="553">
        <f t="shared" si="0"/>
        <v>250</v>
      </c>
      <c r="I38" s="589">
        <v>4.08</v>
      </c>
      <c r="J38" s="559">
        <v>0</v>
      </c>
      <c r="K38" s="558">
        <f>(I38-J38)/I38</f>
        <v>1</v>
      </c>
      <c r="L38" s="557">
        <v>7470</v>
      </c>
      <c r="M38" s="557">
        <f t="shared" si="1"/>
        <v>1867500</v>
      </c>
      <c r="N38" s="554"/>
      <c r="O38" s="553"/>
      <c r="P38" s="553">
        <f t="shared" si="2"/>
        <v>0</v>
      </c>
      <c r="Q38" s="553">
        <f t="shared" si="3"/>
        <v>1867500</v>
      </c>
      <c r="R38" s="552"/>
    </row>
    <row r="39" spans="1:21" s="561" customFormat="1" ht="15" x14ac:dyDescent="0.25">
      <c r="A39" s="567" t="s">
        <v>28</v>
      </c>
      <c r="B39" s="622"/>
      <c r="C39" s="619">
        <v>92</v>
      </c>
      <c r="D39" s="565"/>
      <c r="E39" s="86" t="s">
        <v>225</v>
      </c>
      <c r="F39" s="565">
        <v>51</v>
      </c>
      <c r="G39" s="565">
        <v>31</v>
      </c>
      <c r="H39" s="582">
        <f t="shared" si="0"/>
        <v>82</v>
      </c>
      <c r="I39" s="560">
        <v>4.08</v>
      </c>
      <c r="J39" s="559">
        <v>2.46</v>
      </c>
      <c r="K39" s="558">
        <f>(I39-J39)/I39</f>
        <v>0.3970588235294118</v>
      </c>
      <c r="L39" s="557">
        <v>7470</v>
      </c>
      <c r="M39" s="581">
        <f>SUM(H39*L39*K39)</f>
        <v>243214.4117647059</v>
      </c>
      <c r="N39" s="564"/>
      <c r="O39" s="564"/>
      <c r="P39" s="621"/>
      <c r="Q39" s="557">
        <f>SUM(M39,P39)</f>
        <v>243214.4117647059</v>
      </c>
      <c r="R39" s="563"/>
      <c r="S39" s="562"/>
      <c r="T39" s="476"/>
      <c r="U39" s="476"/>
    </row>
    <row r="40" spans="1:21" s="551" customFormat="1" ht="15.75" hidden="1" customHeight="1" x14ac:dyDescent="0.25">
      <c r="A40" s="87" t="s">
        <v>31</v>
      </c>
      <c r="B40" s="87"/>
      <c r="C40" s="591"/>
      <c r="D40" s="83"/>
      <c r="E40" s="83"/>
      <c r="F40" s="555"/>
      <c r="G40" s="555"/>
      <c r="H40" s="553">
        <f t="shared" si="0"/>
        <v>0</v>
      </c>
      <c r="I40" s="555"/>
      <c r="J40" s="555"/>
      <c r="K40" s="558"/>
      <c r="L40" s="83"/>
      <c r="M40" s="557">
        <f t="shared" ref="M40:M47" si="4">(H40*L40)*K40</f>
        <v>0</v>
      </c>
      <c r="N40" s="554"/>
      <c r="O40" s="553"/>
      <c r="P40" s="553">
        <f t="shared" ref="P40:P47" si="5">N40*1000*17</f>
        <v>0</v>
      </c>
      <c r="Q40" s="553">
        <f t="shared" ref="Q40:Q47" si="6">M40+P40</f>
        <v>0</v>
      </c>
      <c r="R40" s="552"/>
    </row>
    <row r="41" spans="1:21" s="551" customFormat="1" ht="15.75" hidden="1" customHeight="1" x14ac:dyDescent="0.25">
      <c r="A41" s="87" t="s">
        <v>262</v>
      </c>
      <c r="B41" s="87"/>
      <c r="C41" s="591"/>
      <c r="D41" s="83"/>
      <c r="E41" s="83"/>
      <c r="F41" s="555"/>
      <c r="G41" s="555"/>
      <c r="H41" s="553">
        <f t="shared" si="0"/>
        <v>0</v>
      </c>
      <c r="I41" s="555"/>
      <c r="J41" s="555"/>
      <c r="K41" s="558"/>
      <c r="L41" s="83"/>
      <c r="M41" s="557">
        <f t="shared" si="4"/>
        <v>0</v>
      </c>
      <c r="N41" s="554"/>
      <c r="O41" s="553"/>
      <c r="P41" s="553">
        <f t="shared" si="5"/>
        <v>0</v>
      </c>
      <c r="Q41" s="553">
        <f t="shared" si="6"/>
        <v>0</v>
      </c>
      <c r="R41" s="552"/>
    </row>
    <row r="42" spans="1:21" s="551" customFormat="1" ht="15.75" customHeight="1" x14ac:dyDescent="0.25">
      <c r="A42" s="87" t="s">
        <v>19</v>
      </c>
      <c r="B42" s="87"/>
      <c r="C42" s="591">
        <v>549</v>
      </c>
      <c r="D42" s="83"/>
      <c r="E42" s="83" t="s">
        <v>225</v>
      </c>
      <c r="F42" s="555">
        <v>379</v>
      </c>
      <c r="G42" s="555"/>
      <c r="H42" s="553">
        <f t="shared" si="0"/>
        <v>379</v>
      </c>
      <c r="I42" s="555">
        <v>4.08</v>
      </c>
      <c r="J42" s="559">
        <v>0</v>
      </c>
      <c r="K42" s="558">
        <f t="shared" ref="K42:K47" si="7">(I42-J42)/I42</f>
        <v>1</v>
      </c>
      <c r="L42" s="557">
        <v>7470</v>
      </c>
      <c r="M42" s="557">
        <f t="shared" si="4"/>
        <v>2831130</v>
      </c>
      <c r="N42" s="554"/>
      <c r="O42" s="553"/>
      <c r="P42" s="553">
        <f t="shared" si="5"/>
        <v>0</v>
      </c>
      <c r="Q42" s="553">
        <f t="shared" si="6"/>
        <v>2831130</v>
      </c>
      <c r="R42" s="552"/>
    </row>
    <row r="43" spans="1:21" s="551" customFormat="1" ht="15" x14ac:dyDescent="0.25">
      <c r="A43" s="584" t="s">
        <v>92</v>
      </c>
      <c r="B43" s="584"/>
      <c r="C43" s="619">
        <v>155.20000000000002</v>
      </c>
      <c r="D43" s="565"/>
      <c r="E43" s="86" t="s">
        <v>225</v>
      </c>
      <c r="F43" s="555">
        <v>194</v>
      </c>
      <c r="G43" s="555"/>
      <c r="H43" s="553">
        <f t="shared" si="0"/>
        <v>194</v>
      </c>
      <c r="I43" s="560">
        <v>4.08</v>
      </c>
      <c r="J43" s="559">
        <v>0</v>
      </c>
      <c r="K43" s="558">
        <f t="shared" si="7"/>
        <v>1</v>
      </c>
      <c r="L43" s="557">
        <v>7470</v>
      </c>
      <c r="M43" s="557">
        <f t="shared" si="4"/>
        <v>1449180</v>
      </c>
      <c r="N43" s="564"/>
      <c r="O43" s="564"/>
      <c r="P43" s="553">
        <f t="shared" si="5"/>
        <v>0</v>
      </c>
      <c r="Q43" s="553">
        <f t="shared" si="6"/>
        <v>1449180</v>
      </c>
      <c r="R43" s="563"/>
      <c r="S43" s="568"/>
      <c r="T43" s="310"/>
      <c r="U43" s="310"/>
    </row>
    <row r="44" spans="1:21" s="551" customFormat="1" ht="15.75" customHeight="1" x14ac:dyDescent="0.25">
      <c r="A44" s="87" t="s">
        <v>27</v>
      </c>
      <c r="B44" s="87"/>
      <c r="C44" s="591">
        <v>32</v>
      </c>
      <c r="D44" s="83"/>
      <c r="E44" s="83" t="s">
        <v>225</v>
      </c>
      <c r="F44" s="555">
        <v>25</v>
      </c>
      <c r="G44" s="555"/>
      <c r="H44" s="553">
        <f t="shared" si="0"/>
        <v>25</v>
      </c>
      <c r="I44" s="589">
        <v>4.08</v>
      </c>
      <c r="J44" s="559">
        <v>0</v>
      </c>
      <c r="K44" s="558">
        <f t="shared" si="7"/>
        <v>1</v>
      </c>
      <c r="L44" s="557">
        <v>7470</v>
      </c>
      <c r="M44" s="557">
        <f t="shared" si="4"/>
        <v>186750</v>
      </c>
      <c r="N44" s="554"/>
      <c r="O44" s="553"/>
      <c r="P44" s="553">
        <f t="shared" si="5"/>
        <v>0</v>
      </c>
      <c r="Q44" s="553">
        <f t="shared" si="6"/>
        <v>186750</v>
      </c>
      <c r="R44" s="552"/>
    </row>
    <row r="45" spans="1:21" s="561" customFormat="1" ht="15" x14ac:dyDescent="0.25">
      <c r="A45" s="567" t="s">
        <v>32</v>
      </c>
      <c r="B45" s="567"/>
      <c r="C45" s="619">
        <v>360</v>
      </c>
      <c r="D45" s="565"/>
      <c r="E45" s="86" t="s">
        <v>225</v>
      </c>
      <c r="F45" s="555">
        <v>450</v>
      </c>
      <c r="G45" s="555"/>
      <c r="H45" s="553">
        <f t="shared" si="0"/>
        <v>450</v>
      </c>
      <c r="I45" s="560">
        <v>4.08</v>
      </c>
      <c r="J45" s="559">
        <v>0</v>
      </c>
      <c r="K45" s="558">
        <f t="shared" si="7"/>
        <v>1</v>
      </c>
      <c r="L45" s="557">
        <v>7470</v>
      </c>
      <c r="M45" s="557">
        <f t="shared" si="4"/>
        <v>3361500</v>
      </c>
      <c r="N45" s="564"/>
      <c r="O45" s="564"/>
      <c r="P45" s="553">
        <f t="shared" si="5"/>
        <v>0</v>
      </c>
      <c r="Q45" s="553">
        <f t="shared" si="6"/>
        <v>3361500</v>
      </c>
      <c r="R45" s="563"/>
      <c r="S45" s="620"/>
      <c r="T45" s="476"/>
      <c r="U45" s="476"/>
    </row>
    <row r="46" spans="1:21" s="551" customFormat="1" ht="15.75" customHeight="1" x14ac:dyDescent="0.25">
      <c r="A46" s="87" t="s">
        <v>8</v>
      </c>
      <c r="B46" s="87"/>
      <c r="C46" s="591">
        <v>50</v>
      </c>
      <c r="D46" s="83"/>
      <c r="E46" s="83" t="s">
        <v>225</v>
      </c>
      <c r="F46" s="555">
        <v>55</v>
      </c>
      <c r="G46" s="555"/>
      <c r="H46" s="553">
        <f t="shared" si="0"/>
        <v>55</v>
      </c>
      <c r="I46" s="555">
        <v>4.08</v>
      </c>
      <c r="J46" s="559">
        <v>0</v>
      </c>
      <c r="K46" s="558">
        <f t="shared" si="7"/>
        <v>1</v>
      </c>
      <c r="L46" s="557">
        <v>7470</v>
      </c>
      <c r="M46" s="557">
        <f t="shared" si="4"/>
        <v>410850</v>
      </c>
      <c r="N46" s="554"/>
      <c r="O46" s="553"/>
      <c r="P46" s="553">
        <f t="shared" si="5"/>
        <v>0</v>
      </c>
      <c r="Q46" s="553">
        <f t="shared" si="6"/>
        <v>410850</v>
      </c>
      <c r="R46" s="552"/>
    </row>
    <row r="47" spans="1:21" s="551" customFormat="1" ht="15.75" customHeight="1" x14ac:dyDescent="0.25">
      <c r="A47" s="87" t="s">
        <v>295</v>
      </c>
      <c r="B47" s="87"/>
      <c r="C47" s="591">
        <v>47</v>
      </c>
      <c r="D47" s="83"/>
      <c r="E47" s="83" t="s">
        <v>225</v>
      </c>
      <c r="F47" s="555">
        <v>51</v>
      </c>
      <c r="G47" s="555"/>
      <c r="H47" s="553">
        <f t="shared" si="0"/>
        <v>51</v>
      </c>
      <c r="I47" s="555">
        <v>4.08</v>
      </c>
      <c r="J47" s="559">
        <v>0</v>
      </c>
      <c r="K47" s="558">
        <f t="shared" si="7"/>
        <v>1</v>
      </c>
      <c r="L47" s="557">
        <v>7470</v>
      </c>
      <c r="M47" s="557">
        <f t="shared" si="4"/>
        <v>380970</v>
      </c>
      <c r="N47" s="554"/>
      <c r="O47" s="553"/>
      <c r="P47" s="553">
        <f t="shared" si="5"/>
        <v>0</v>
      </c>
      <c r="Q47" s="553">
        <f t="shared" si="6"/>
        <v>380970</v>
      </c>
      <c r="R47" s="552"/>
    </row>
    <row r="48" spans="1:21" s="664" customFormat="1" ht="15.75" customHeight="1" x14ac:dyDescent="0.25">
      <c r="A48" s="659" t="s">
        <v>17</v>
      </c>
      <c r="B48" s="659"/>
      <c r="C48" s="660">
        <v>210</v>
      </c>
      <c r="D48" s="660">
        <v>0</v>
      </c>
      <c r="E48" s="660">
        <v>0</v>
      </c>
      <c r="F48" s="660">
        <v>100</v>
      </c>
      <c r="G48" s="660">
        <v>100</v>
      </c>
      <c r="H48" s="660">
        <v>200</v>
      </c>
      <c r="I48" s="660">
        <v>8.16</v>
      </c>
      <c r="J48" s="660">
        <v>2.0499999999999998</v>
      </c>
      <c r="K48" s="660">
        <v>1.4975490196078431</v>
      </c>
      <c r="L48" s="660">
        <v>40934</v>
      </c>
      <c r="M48" s="660">
        <v>3718069.1176470588</v>
      </c>
      <c r="N48" s="660">
        <v>0</v>
      </c>
      <c r="O48" s="660">
        <v>0</v>
      </c>
      <c r="P48" s="660">
        <v>0</v>
      </c>
      <c r="Q48" s="660">
        <v>3718069.1176470588</v>
      </c>
      <c r="R48" s="663"/>
    </row>
    <row r="49" spans="1:21" s="64" customFormat="1" ht="15.75" customHeight="1" x14ac:dyDescent="0.25">
      <c r="A49" s="87" t="s">
        <v>100</v>
      </c>
      <c r="B49" s="87"/>
      <c r="C49" s="591">
        <v>385</v>
      </c>
      <c r="D49" s="83"/>
      <c r="E49" s="83" t="s">
        <v>225</v>
      </c>
      <c r="F49" s="555">
        <v>426</v>
      </c>
      <c r="G49" s="555"/>
      <c r="H49" s="553">
        <f t="shared" ref="H49:H54" si="8">F49+G49</f>
        <v>426</v>
      </c>
      <c r="I49" s="589">
        <v>4.08</v>
      </c>
      <c r="J49" s="559">
        <v>0</v>
      </c>
      <c r="K49" s="558">
        <f>(I49-J49)/I49</f>
        <v>1</v>
      </c>
      <c r="L49" s="557">
        <v>7470</v>
      </c>
      <c r="M49" s="557">
        <f t="shared" ref="M49:M54" si="9">(H49*L49)*K49</f>
        <v>3182220</v>
      </c>
      <c r="N49" s="554"/>
      <c r="O49" s="588"/>
      <c r="P49" s="553">
        <f t="shared" ref="P49:P54" si="10">N49*1000*17</f>
        <v>0</v>
      </c>
      <c r="Q49" s="588">
        <f t="shared" ref="Q49:Q54" si="11">M49+P49</f>
        <v>3182220</v>
      </c>
      <c r="R49" s="590"/>
    </row>
    <row r="50" spans="1:21" s="551" customFormat="1" ht="15.75" hidden="1" customHeight="1" x14ac:dyDescent="0.25">
      <c r="A50" s="87" t="s">
        <v>22</v>
      </c>
      <c r="B50" s="87"/>
      <c r="C50" s="591"/>
      <c r="D50" s="83"/>
      <c r="E50" s="83"/>
      <c r="F50" s="555"/>
      <c r="G50" s="555"/>
      <c r="H50" s="553">
        <f t="shared" si="8"/>
        <v>0</v>
      </c>
      <c r="I50" s="555"/>
      <c r="J50" s="555"/>
      <c r="K50" s="558"/>
      <c r="L50" s="83"/>
      <c r="M50" s="557">
        <f t="shared" si="9"/>
        <v>0</v>
      </c>
      <c r="N50" s="554"/>
      <c r="O50" s="553"/>
      <c r="P50" s="553">
        <f t="shared" si="10"/>
        <v>0</v>
      </c>
      <c r="Q50" s="553">
        <f t="shared" si="11"/>
        <v>0</v>
      </c>
      <c r="R50" s="552"/>
    </row>
    <row r="51" spans="1:21" s="64" customFormat="1" ht="15.75" customHeight="1" x14ac:dyDescent="0.25">
      <c r="A51" s="87" t="s">
        <v>23</v>
      </c>
      <c r="B51" s="87"/>
      <c r="C51" s="591">
        <v>730</v>
      </c>
      <c r="D51" s="83"/>
      <c r="E51" s="83" t="s">
        <v>225</v>
      </c>
      <c r="F51" s="555">
        <v>1875</v>
      </c>
      <c r="G51" s="555"/>
      <c r="H51" s="553">
        <f t="shared" si="8"/>
        <v>1875</v>
      </c>
      <c r="I51" s="589">
        <v>4.08</v>
      </c>
      <c r="J51" s="559">
        <v>0</v>
      </c>
      <c r="K51" s="558">
        <f>(I51-J51)/I51</f>
        <v>1</v>
      </c>
      <c r="L51" s="557">
        <v>7470</v>
      </c>
      <c r="M51" s="557">
        <f t="shared" si="9"/>
        <v>14006250</v>
      </c>
      <c r="N51" s="554"/>
      <c r="O51" s="588"/>
      <c r="P51" s="553">
        <f t="shared" si="10"/>
        <v>0</v>
      </c>
      <c r="Q51" s="588">
        <f t="shared" si="11"/>
        <v>14006250</v>
      </c>
      <c r="R51" s="590"/>
    </row>
    <row r="52" spans="1:21" s="551" customFormat="1" ht="15.75" customHeight="1" x14ac:dyDescent="0.25">
      <c r="A52" s="87" t="s">
        <v>261</v>
      </c>
      <c r="B52" s="87"/>
      <c r="C52" s="591">
        <v>121</v>
      </c>
      <c r="D52" s="83"/>
      <c r="E52" s="86" t="s">
        <v>120</v>
      </c>
      <c r="F52" s="555">
        <v>102</v>
      </c>
      <c r="G52" s="555"/>
      <c r="H52" s="553">
        <f t="shared" si="8"/>
        <v>102</v>
      </c>
      <c r="I52" s="555">
        <v>4.08</v>
      </c>
      <c r="J52" s="559">
        <v>0</v>
      </c>
      <c r="K52" s="558">
        <f>(I52-J52)/I52</f>
        <v>1</v>
      </c>
      <c r="L52" s="557">
        <v>33464</v>
      </c>
      <c r="M52" s="557">
        <f t="shared" si="9"/>
        <v>3413328</v>
      </c>
      <c r="N52" s="554"/>
      <c r="O52" s="553"/>
      <c r="P52" s="553">
        <f t="shared" si="10"/>
        <v>0</v>
      </c>
      <c r="Q52" s="553">
        <f t="shared" si="11"/>
        <v>3413328</v>
      </c>
      <c r="R52" s="552"/>
    </row>
    <row r="53" spans="1:21" s="551" customFormat="1" ht="15.75" hidden="1" customHeight="1" x14ac:dyDescent="0.25">
      <c r="A53" s="87" t="s">
        <v>294</v>
      </c>
      <c r="B53" s="87"/>
      <c r="C53" s="591"/>
      <c r="D53" s="83"/>
      <c r="E53" s="83"/>
      <c r="F53" s="555"/>
      <c r="G53" s="555"/>
      <c r="H53" s="553">
        <f t="shared" si="8"/>
        <v>0</v>
      </c>
      <c r="I53" s="555"/>
      <c r="J53" s="555"/>
      <c r="K53" s="558"/>
      <c r="L53" s="83"/>
      <c r="M53" s="557">
        <f t="shared" si="9"/>
        <v>0</v>
      </c>
      <c r="N53" s="554"/>
      <c r="O53" s="553"/>
      <c r="P53" s="553">
        <f t="shared" si="10"/>
        <v>0</v>
      </c>
      <c r="Q53" s="553">
        <f t="shared" si="11"/>
        <v>0</v>
      </c>
      <c r="R53" s="552"/>
    </row>
    <row r="54" spans="1:21" s="551" customFormat="1" ht="15.75" hidden="1" customHeight="1" x14ac:dyDescent="0.25">
      <c r="A54" s="87" t="s">
        <v>1</v>
      </c>
      <c r="B54" s="87"/>
      <c r="C54" s="591"/>
      <c r="D54" s="83"/>
      <c r="E54" s="83"/>
      <c r="F54" s="555"/>
      <c r="G54" s="555"/>
      <c r="H54" s="553">
        <f t="shared" si="8"/>
        <v>0</v>
      </c>
      <c r="I54" s="555"/>
      <c r="J54" s="555"/>
      <c r="K54" s="558"/>
      <c r="L54" s="83"/>
      <c r="M54" s="557">
        <f t="shared" si="9"/>
        <v>0</v>
      </c>
      <c r="N54" s="554"/>
      <c r="O54" s="553"/>
      <c r="P54" s="553">
        <f t="shared" si="10"/>
        <v>0</v>
      </c>
      <c r="Q54" s="553">
        <f t="shared" si="11"/>
        <v>0</v>
      </c>
      <c r="R54" s="552"/>
    </row>
    <row r="55" spans="1:21" s="664" customFormat="1" ht="15.75" customHeight="1" x14ac:dyDescent="0.25">
      <c r="A55" s="659" t="s">
        <v>10</v>
      </c>
      <c r="B55" s="659"/>
      <c r="C55" s="660">
        <v>79</v>
      </c>
      <c r="D55" s="660">
        <v>0</v>
      </c>
      <c r="E55" s="660">
        <v>0</v>
      </c>
      <c r="F55" s="660">
        <v>85</v>
      </c>
      <c r="G55" s="660">
        <v>0</v>
      </c>
      <c r="H55" s="660">
        <v>85</v>
      </c>
      <c r="I55" s="660">
        <v>8.16</v>
      </c>
      <c r="J55" s="660">
        <v>4.0999999999999996</v>
      </c>
      <c r="K55" s="660">
        <v>0.9950980392156864</v>
      </c>
      <c r="L55" s="660">
        <v>66928</v>
      </c>
      <c r="M55" s="660">
        <v>1415248.3333333335</v>
      </c>
      <c r="N55" s="660">
        <v>0</v>
      </c>
      <c r="O55" s="660">
        <v>0</v>
      </c>
      <c r="P55" s="660">
        <v>0</v>
      </c>
      <c r="Q55" s="660">
        <v>1415248.3333333335</v>
      </c>
      <c r="R55" s="663"/>
    </row>
    <row r="56" spans="1:21" s="551" customFormat="1" ht="15.75" customHeight="1" x14ac:dyDescent="0.25">
      <c r="A56" s="87" t="s">
        <v>260</v>
      </c>
      <c r="B56" s="87"/>
      <c r="C56" s="591">
        <v>175</v>
      </c>
      <c r="D56" s="83"/>
      <c r="E56" s="83" t="s">
        <v>225</v>
      </c>
      <c r="F56" s="555">
        <v>169</v>
      </c>
      <c r="G56" s="555"/>
      <c r="H56" s="553">
        <f>F56+G56</f>
        <v>169</v>
      </c>
      <c r="I56" s="555"/>
      <c r="J56" s="555"/>
      <c r="K56" s="558"/>
      <c r="L56" s="83"/>
      <c r="M56" s="557">
        <f>(H56*L56)*K56</f>
        <v>0</v>
      </c>
      <c r="N56" s="554"/>
      <c r="O56" s="553"/>
      <c r="P56" s="553">
        <f>N56*1000*17</f>
        <v>0</v>
      </c>
      <c r="Q56" s="553">
        <f>M56+P56</f>
        <v>0</v>
      </c>
      <c r="R56" s="552"/>
    </row>
    <row r="57" spans="1:21" s="664" customFormat="1" ht="15.75" customHeight="1" x14ac:dyDescent="0.25">
      <c r="A57" s="659" t="s">
        <v>293</v>
      </c>
      <c r="B57" s="659"/>
      <c r="C57" s="660">
        <v>540</v>
      </c>
      <c r="D57" s="660">
        <v>0</v>
      </c>
      <c r="E57" s="660">
        <v>0</v>
      </c>
      <c r="F57" s="660">
        <v>487</v>
      </c>
      <c r="G57" s="660">
        <v>191</v>
      </c>
      <c r="H57" s="660">
        <v>678</v>
      </c>
      <c r="I57" s="660">
        <v>8.16</v>
      </c>
      <c r="J57" s="660">
        <v>1.22</v>
      </c>
      <c r="K57" s="660">
        <v>1.7009803921568629</v>
      </c>
      <c r="L57" s="660">
        <v>14940</v>
      </c>
      <c r="M57" s="660">
        <v>4638027.7941176472</v>
      </c>
      <c r="N57" s="660">
        <v>0</v>
      </c>
      <c r="O57" s="660">
        <v>0</v>
      </c>
      <c r="P57" s="660">
        <v>0</v>
      </c>
      <c r="Q57" s="660">
        <v>4638027.7941176472</v>
      </c>
      <c r="R57" s="663"/>
    </row>
    <row r="58" spans="1:21" s="658" customFormat="1" ht="15" x14ac:dyDescent="0.25">
      <c r="A58" s="665" t="s">
        <v>292</v>
      </c>
      <c r="B58" s="665"/>
      <c r="C58" s="650">
        <v>30</v>
      </c>
      <c r="D58" s="650">
        <v>0</v>
      </c>
      <c r="E58" s="650">
        <v>0</v>
      </c>
      <c r="F58" s="650">
        <v>23</v>
      </c>
      <c r="G58" s="650">
        <v>0</v>
      </c>
      <c r="H58" s="650">
        <v>23</v>
      </c>
      <c r="I58" s="650">
        <v>8.16</v>
      </c>
      <c r="J58" s="650">
        <v>0</v>
      </c>
      <c r="K58" s="650">
        <v>2</v>
      </c>
      <c r="L58" s="650">
        <v>40934</v>
      </c>
      <c r="M58" s="650">
        <v>639702</v>
      </c>
      <c r="N58" s="650">
        <v>0</v>
      </c>
      <c r="O58" s="650">
        <v>0</v>
      </c>
      <c r="P58" s="650">
        <v>0</v>
      </c>
      <c r="Q58" s="650">
        <v>639702</v>
      </c>
      <c r="R58" s="656"/>
      <c r="S58" s="657"/>
      <c r="T58" s="524"/>
      <c r="U58" s="524"/>
    </row>
    <row r="59" spans="1:21" s="64" customFormat="1" ht="15.75" customHeight="1" x14ac:dyDescent="0.25">
      <c r="A59" s="87" t="s">
        <v>259</v>
      </c>
      <c r="B59" s="87"/>
      <c r="C59" s="591">
        <v>738</v>
      </c>
      <c r="D59" s="83"/>
      <c r="E59" s="83" t="s">
        <v>225</v>
      </c>
      <c r="F59" s="555">
        <v>481</v>
      </c>
      <c r="G59" s="555"/>
      <c r="H59" s="553">
        <f>F59+G59</f>
        <v>481</v>
      </c>
      <c r="I59" s="555">
        <v>4.08</v>
      </c>
      <c r="J59" s="559">
        <f>I59*0</f>
        <v>0</v>
      </c>
      <c r="K59" s="558">
        <f>(I59-J59)/I59</f>
        <v>1</v>
      </c>
      <c r="L59" s="557">
        <v>7470</v>
      </c>
      <c r="M59" s="557">
        <f>(H59*L59)*K59</f>
        <v>3593070</v>
      </c>
      <c r="N59" s="554"/>
      <c r="O59" s="588"/>
      <c r="P59" s="553">
        <f>N59*1000*17</f>
        <v>0</v>
      </c>
      <c r="Q59" s="588">
        <f>M59+P59</f>
        <v>3593070</v>
      </c>
      <c r="R59" s="590"/>
    </row>
    <row r="60" spans="1:21" s="551" customFormat="1" ht="15.75" customHeight="1" x14ac:dyDescent="0.25">
      <c r="A60" s="87" t="s">
        <v>291</v>
      </c>
      <c r="B60" s="87"/>
      <c r="C60" s="591">
        <v>18</v>
      </c>
      <c r="D60" s="83"/>
      <c r="E60" s="83" t="s">
        <v>225</v>
      </c>
      <c r="F60" s="555">
        <v>15</v>
      </c>
      <c r="G60" s="555"/>
      <c r="H60" s="553">
        <f>F60+G60</f>
        <v>15</v>
      </c>
      <c r="I60" s="555">
        <v>4.08</v>
      </c>
      <c r="J60" s="559">
        <v>0</v>
      </c>
      <c r="K60" s="558">
        <f>(I60-J60)/I60</f>
        <v>1</v>
      </c>
      <c r="L60" s="557">
        <v>7470</v>
      </c>
      <c r="M60" s="557">
        <f>(H60*L60)*K60</f>
        <v>112050</v>
      </c>
      <c r="N60" s="554"/>
      <c r="O60" s="553"/>
      <c r="P60" s="553">
        <f>N60*1000*17</f>
        <v>0</v>
      </c>
      <c r="Q60" s="553">
        <f>M60+P60</f>
        <v>112050</v>
      </c>
      <c r="R60" s="552"/>
    </row>
    <row r="61" spans="1:21" s="551" customFormat="1" ht="15.75" hidden="1" customHeight="1" x14ac:dyDescent="0.25">
      <c r="A61" s="87" t="s">
        <v>290</v>
      </c>
      <c r="B61" s="87"/>
      <c r="C61" s="591"/>
      <c r="D61" s="83"/>
      <c r="E61" s="83"/>
      <c r="F61" s="555"/>
      <c r="G61" s="555"/>
      <c r="H61" s="553">
        <f>F61+G61</f>
        <v>0</v>
      </c>
      <c r="I61" s="555"/>
      <c r="J61" s="555"/>
      <c r="K61" s="558"/>
      <c r="L61" s="83"/>
      <c r="M61" s="557">
        <f>(H61*L61)*K61</f>
        <v>0</v>
      </c>
      <c r="N61" s="554"/>
      <c r="O61" s="553"/>
      <c r="P61" s="553">
        <f>N61*1000*17</f>
        <v>0</v>
      </c>
      <c r="Q61" s="553">
        <f>M61+P61</f>
        <v>0</v>
      </c>
      <c r="R61" s="552"/>
    </row>
    <row r="62" spans="1:21" s="551" customFormat="1" ht="15.75" customHeight="1" x14ac:dyDescent="0.25">
      <c r="A62" s="223"/>
      <c r="B62" s="223"/>
      <c r="C62" s="591"/>
      <c r="D62" s="83"/>
      <c r="E62" s="83"/>
      <c r="F62" s="555"/>
      <c r="G62" s="555"/>
      <c r="H62" s="555"/>
      <c r="I62" s="618"/>
      <c r="J62" s="555"/>
      <c r="K62" s="555"/>
      <c r="L62" s="83"/>
      <c r="M62" s="83"/>
      <c r="N62" s="554"/>
      <c r="O62" s="553"/>
      <c r="P62" s="553"/>
      <c r="Q62" s="553">
        <f>P62+M62</f>
        <v>0</v>
      </c>
      <c r="R62" s="552"/>
    </row>
    <row r="63" spans="1:21" s="572" customFormat="1" ht="16.5" x14ac:dyDescent="0.25">
      <c r="A63" s="578" t="s">
        <v>46</v>
      </c>
      <c r="B63" s="578"/>
      <c r="C63" s="596">
        <f>SUM(C64:C72)</f>
        <v>4768</v>
      </c>
      <c r="D63" s="575"/>
      <c r="E63" s="575"/>
      <c r="F63" s="577">
        <f>SUM(F64:F72)</f>
        <v>3652</v>
      </c>
      <c r="G63" s="577">
        <f>SUM(G64:G72)</f>
        <v>0</v>
      </c>
      <c r="H63" s="577">
        <f>SUM(H64:H72)</f>
        <v>3652</v>
      </c>
      <c r="I63" s="577"/>
      <c r="J63" s="577"/>
      <c r="K63" s="576"/>
      <c r="L63" s="575">
        <f>SUM(L64:L72)</f>
        <v>78284</v>
      </c>
      <c r="M63" s="575">
        <f>SUM(M64:M72)</f>
        <v>24140644</v>
      </c>
      <c r="N63" s="575">
        <f>SUM(N64:N72)</f>
        <v>1934.79</v>
      </c>
      <c r="O63" s="575">
        <f>AVERAGE(O64:O72)</f>
        <v>17</v>
      </c>
      <c r="P63" s="575">
        <f>SUM(P64:P72)</f>
        <v>32891430</v>
      </c>
      <c r="Q63" s="574">
        <f>P63+M63</f>
        <v>57032074</v>
      </c>
      <c r="R63" s="573"/>
    </row>
    <row r="64" spans="1:21" s="64" customFormat="1" ht="74.099999999999994" customHeight="1" x14ac:dyDescent="0.25">
      <c r="A64" s="87" t="s">
        <v>47</v>
      </c>
      <c r="B64" s="87"/>
      <c r="C64" s="617">
        <v>834</v>
      </c>
      <c r="D64" s="83"/>
      <c r="E64" s="83" t="s">
        <v>225</v>
      </c>
      <c r="F64" s="617">
        <v>744</v>
      </c>
      <c r="G64" s="555"/>
      <c r="H64" s="553">
        <f>F64+G64</f>
        <v>744</v>
      </c>
      <c r="I64" s="616">
        <v>4.51</v>
      </c>
      <c r="J64" s="615">
        <v>0</v>
      </c>
      <c r="K64" s="79">
        <f t="shared" ref="K64:K69" si="12">(I64-J64)/I64</f>
        <v>1</v>
      </c>
      <c r="L64" s="579">
        <v>7470</v>
      </c>
      <c r="M64" s="557">
        <f t="shared" ref="M64:M69" si="13">(H64*L64)*K64</f>
        <v>5557680</v>
      </c>
      <c r="N64" s="554"/>
      <c r="O64" s="588"/>
      <c r="P64" s="553">
        <f t="shared" ref="P64:P69" si="14">N64*1000*17</f>
        <v>0</v>
      </c>
      <c r="Q64" s="588">
        <f t="shared" ref="Q64:Q69" si="15">M64+P64</f>
        <v>5557680</v>
      </c>
      <c r="R64" s="87" t="s">
        <v>289</v>
      </c>
    </row>
    <row r="65" spans="1:21" s="551" customFormat="1" ht="120" x14ac:dyDescent="0.25">
      <c r="A65" s="584" t="s">
        <v>48</v>
      </c>
      <c r="B65" s="86"/>
      <c r="C65" s="612">
        <v>1093</v>
      </c>
      <c r="D65" s="611"/>
      <c r="E65" s="610" t="s">
        <v>225</v>
      </c>
      <c r="F65" s="609">
        <v>522</v>
      </c>
      <c r="G65" s="608"/>
      <c r="H65" s="582">
        <f>SUM(F65:G65)</f>
        <v>522</v>
      </c>
      <c r="I65" s="607">
        <v>4.51</v>
      </c>
      <c r="J65" s="615">
        <v>0</v>
      </c>
      <c r="K65" s="558">
        <f t="shared" si="12"/>
        <v>1</v>
      </c>
      <c r="L65" s="579">
        <v>7470</v>
      </c>
      <c r="M65" s="557">
        <f t="shared" si="13"/>
        <v>3899340</v>
      </c>
      <c r="N65" s="611"/>
      <c r="O65" s="602"/>
      <c r="P65" s="553">
        <f t="shared" si="14"/>
        <v>0</v>
      </c>
      <c r="Q65" s="553">
        <f t="shared" si="15"/>
        <v>3899340</v>
      </c>
      <c r="R65" s="563" t="s">
        <v>288</v>
      </c>
      <c r="S65" s="614"/>
      <c r="T65" s="310"/>
      <c r="U65" s="310"/>
    </row>
    <row r="66" spans="1:21" s="551" customFormat="1" ht="15.75" x14ac:dyDescent="0.25">
      <c r="A66" s="584" t="s">
        <v>49</v>
      </c>
      <c r="B66" s="86"/>
      <c r="C66" s="612">
        <v>38</v>
      </c>
      <c r="D66" s="611"/>
      <c r="E66" s="610" t="s">
        <v>225</v>
      </c>
      <c r="F66" s="609">
        <v>25</v>
      </c>
      <c r="G66" s="608"/>
      <c r="H66" s="582">
        <f>SUM(F66:G66)</f>
        <v>25</v>
      </c>
      <c r="I66" s="607">
        <v>4.51</v>
      </c>
      <c r="J66" s="559">
        <v>0</v>
      </c>
      <c r="K66" s="558">
        <f t="shared" si="12"/>
        <v>1</v>
      </c>
      <c r="L66" s="613">
        <v>7470</v>
      </c>
      <c r="M66" s="557">
        <f t="shared" si="13"/>
        <v>186750</v>
      </c>
      <c r="N66" s="603"/>
      <c r="O66" s="602"/>
      <c r="P66" s="553">
        <f t="shared" si="14"/>
        <v>0</v>
      </c>
      <c r="Q66" s="553">
        <f t="shared" si="15"/>
        <v>186750</v>
      </c>
      <c r="R66" s="606"/>
      <c r="S66" s="568"/>
      <c r="T66" s="310"/>
      <c r="U66" s="310"/>
    </row>
    <row r="67" spans="1:21" s="551" customFormat="1" ht="45" x14ac:dyDescent="0.25">
      <c r="A67" s="584" t="s">
        <v>50</v>
      </c>
      <c r="B67" s="86"/>
      <c r="C67" s="612">
        <v>900</v>
      </c>
      <c r="D67" s="611"/>
      <c r="E67" s="610" t="s">
        <v>225</v>
      </c>
      <c r="F67" s="609">
        <v>500</v>
      </c>
      <c r="G67" s="608"/>
      <c r="H67" s="582">
        <f>SUM(F67:G67)</f>
        <v>500</v>
      </c>
      <c r="I67" s="607">
        <v>4.51</v>
      </c>
      <c r="J67" s="559">
        <v>0</v>
      </c>
      <c r="K67" s="558">
        <f t="shared" si="12"/>
        <v>1</v>
      </c>
      <c r="L67" s="579">
        <v>7470</v>
      </c>
      <c r="M67" s="557">
        <f t="shared" si="13"/>
        <v>3735000</v>
      </c>
      <c r="N67" s="611"/>
      <c r="O67" s="602"/>
      <c r="P67" s="553">
        <f t="shared" si="14"/>
        <v>0</v>
      </c>
      <c r="Q67" s="553">
        <f t="shared" si="15"/>
        <v>3735000</v>
      </c>
      <c r="R67" s="563" t="s">
        <v>287</v>
      </c>
      <c r="S67" s="568"/>
      <c r="T67" s="310"/>
      <c r="U67" s="310"/>
    </row>
    <row r="68" spans="1:21" s="551" customFormat="1" ht="15.75" x14ac:dyDescent="0.25">
      <c r="A68" s="584" t="s">
        <v>51</v>
      </c>
      <c r="B68" s="86"/>
      <c r="C68" s="612">
        <v>33</v>
      </c>
      <c r="D68" s="608"/>
      <c r="E68" s="610" t="s">
        <v>225</v>
      </c>
      <c r="F68" s="609">
        <v>15</v>
      </c>
      <c r="G68" s="608"/>
      <c r="H68" s="582">
        <f>SUM(F68:G68)</f>
        <v>15</v>
      </c>
      <c r="I68" s="607">
        <v>4.51</v>
      </c>
      <c r="J68" s="559">
        <v>0</v>
      </c>
      <c r="K68" s="558">
        <f t="shared" si="12"/>
        <v>1</v>
      </c>
      <c r="L68" s="579">
        <v>7470</v>
      </c>
      <c r="M68" s="557">
        <f t="shared" si="13"/>
        <v>112050</v>
      </c>
      <c r="N68" s="611"/>
      <c r="O68" s="602"/>
      <c r="P68" s="553">
        <f t="shared" si="14"/>
        <v>0</v>
      </c>
      <c r="Q68" s="553">
        <f t="shared" si="15"/>
        <v>112050</v>
      </c>
      <c r="R68" s="606"/>
      <c r="S68" s="568"/>
      <c r="T68" s="310"/>
      <c r="U68" s="310"/>
    </row>
    <row r="69" spans="1:21" s="551" customFormat="1" ht="15.75" x14ac:dyDescent="0.25">
      <c r="A69" s="584" t="s">
        <v>52</v>
      </c>
      <c r="B69" s="86"/>
      <c r="C69" s="612">
        <v>20</v>
      </c>
      <c r="D69" s="611"/>
      <c r="E69" s="610" t="s">
        <v>120</v>
      </c>
      <c r="F69" s="609">
        <v>7</v>
      </c>
      <c r="G69" s="609"/>
      <c r="H69" s="582">
        <f>SUM(F69:G69)</f>
        <v>7</v>
      </c>
      <c r="I69" s="607">
        <v>4.51</v>
      </c>
      <c r="J69" s="559">
        <f>I69*0.5</f>
        <v>2.2549999999999999</v>
      </c>
      <c r="K69" s="558">
        <f t="shared" si="12"/>
        <v>0.5</v>
      </c>
      <c r="L69" s="557">
        <v>33464</v>
      </c>
      <c r="M69" s="557">
        <f t="shared" si="13"/>
        <v>117124</v>
      </c>
      <c r="N69" s="611"/>
      <c r="O69" s="602"/>
      <c r="P69" s="553">
        <f t="shared" si="14"/>
        <v>0</v>
      </c>
      <c r="Q69" s="553">
        <f t="shared" si="15"/>
        <v>117124</v>
      </c>
      <c r="R69" s="606"/>
      <c r="S69" s="568"/>
      <c r="T69" s="310"/>
      <c r="U69" s="310"/>
    </row>
    <row r="70" spans="1:21" s="551" customFormat="1" ht="15" x14ac:dyDescent="0.25">
      <c r="A70" s="584" t="s">
        <v>53</v>
      </c>
      <c r="B70" s="86"/>
      <c r="C70" s="612">
        <v>1850</v>
      </c>
      <c r="D70" s="612">
        <v>0</v>
      </c>
      <c r="E70" s="612">
        <v>0</v>
      </c>
      <c r="F70" s="612">
        <v>1839</v>
      </c>
      <c r="G70" s="612">
        <v>0</v>
      </c>
      <c r="H70" s="612">
        <v>1839</v>
      </c>
      <c r="I70" s="612">
        <v>9.02</v>
      </c>
      <c r="J70" s="612">
        <v>0</v>
      </c>
      <c r="K70" s="612">
        <v>2</v>
      </c>
      <c r="L70" s="612">
        <v>7470</v>
      </c>
      <c r="M70" s="612">
        <v>10532700</v>
      </c>
      <c r="N70" s="612">
        <v>1934.79</v>
      </c>
      <c r="O70" s="612">
        <v>17</v>
      </c>
      <c r="P70" s="612">
        <v>32891430</v>
      </c>
      <c r="Q70" s="612">
        <v>43424130</v>
      </c>
      <c r="R70" s="606"/>
      <c r="S70" s="568"/>
      <c r="T70" s="310"/>
      <c r="U70" s="310"/>
    </row>
    <row r="71" spans="1:21" s="551" customFormat="1" ht="15.75" hidden="1" customHeight="1" x14ac:dyDescent="0.25">
      <c r="A71" s="87" t="s">
        <v>286</v>
      </c>
      <c r="B71" s="87"/>
      <c r="C71" s="555"/>
      <c r="D71" s="83"/>
      <c r="E71" s="83"/>
      <c r="F71" s="555"/>
      <c r="G71" s="555"/>
      <c r="H71" s="553">
        <f>F71+G71</f>
        <v>0</v>
      </c>
      <c r="I71" s="555"/>
      <c r="J71" s="555"/>
      <c r="K71" s="558"/>
      <c r="L71" s="83"/>
      <c r="M71" s="557">
        <f>(H71*L71)*K71</f>
        <v>0</v>
      </c>
      <c r="N71" s="554"/>
      <c r="O71" s="553"/>
      <c r="P71" s="553">
        <f>N71*1000*17</f>
        <v>0</v>
      </c>
      <c r="Q71" s="553">
        <f>M71+P71</f>
        <v>0</v>
      </c>
      <c r="R71" s="552"/>
    </row>
    <row r="72" spans="1:21" s="597" customFormat="1" ht="15" x14ac:dyDescent="0.25">
      <c r="A72" s="140"/>
      <c r="B72" s="140"/>
      <c r="C72" s="601"/>
      <c r="D72" s="139"/>
      <c r="E72" s="139"/>
      <c r="F72" s="601"/>
      <c r="G72" s="601"/>
      <c r="H72" s="601"/>
      <c r="I72" s="556"/>
      <c r="J72" s="555"/>
      <c r="K72" s="600"/>
      <c r="L72" s="139"/>
      <c r="M72" s="139"/>
      <c r="N72" s="599"/>
      <c r="O72" s="75"/>
      <c r="P72" s="75"/>
      <c r="Q72" s="553"/>
      <c r="R72" s="598"/>
    </row>
    <row r="73" spans="1:21" s="572" customFormat="1" ht="16.5" x14ac:dyDescent="0.25">
      <c r="A73" s="578" t="s">
        <v>33</v>
      </c>
      <c r="B73" s="578"/>
      <c r="C73" s="577">
        <f>SUM(C74:C93)</f>
        <v>65</v>
      </c>
      <c r="D73" s="575"/>
      <c r="E73" s="575"/>
      <c r="F73" s="577">
        <f>SUM(F74:F93)</f>
        <v>123</v>
      </c>
      <c r="G73" s="577">
        <f>SUM(G74:G93)</f>
        <v>0</v>
      </c>
      <c r="H73" s="577">
        <f>SUM(H74:H93)</f>
        <v>123</v>
      </c>
      <c r="I73" s="577"/>
      <c r="J73" s="577">
        <f>AVERAGE(J74:J93)</f>
        <v>0</v>
      </c>
      <c r="K73" s="576"/>
      <c r="L73" s="575">
        <f>SUM(L74:L93)</f>
        <v>40934</v>
      </c>
      <c r="M73" s="575">
        <f>SUM(M74:M93)</f>
        <v>2489504</v>
      </c>
      <c r="N73" s="575">
        <f>SUM(N74:N93)</f>
        <v>6.24</v>
      </c>
      <c r="O73" s="575">
        <f>AVERAGE(O74:O93)</f>
        <v>17</v>
      </c>
      <c r="P73" s="575">
        <f>SUM(P74:P93)</f>
        <v>106080</v>
      </c>
      <c r="Q73" s="574">
        <f>P73+M73</f>
        <v>2595584</v>
      </c>
      <c r="R73" s="573"/>
    </row>
    <row r="74" spans="1:21" s="597" customFormat="1" ht="15" hidden="1" x14ac:dyDescent="0.25">
      <c r="A74" s="140" t="s">
        <v>34</v>
      </c>
      <c r="B74" s="140"/>
      <c r="C74" s="601"/>
      <c r="D74" s="139"/>
      <c r="E74" s="139"/>
      <c r="F74" s="601"/>
      <c r="G74" s="601"/>
      <c r="H74" s="553">
        <f t="shared" ref="H74:H92" si="16">F74+G74</f>
        <v>0</v>
      </c>
      <c r="I74" s="555"/>
      <c r="J74" s="555"/>
      <c r="K74" s="558"/>
      <c r="L74" s="139"/>
      <c r="M74" s="557">
        <f t="shared" ref="M74:M92" si="17">(H74*L74)*K74</f>
        <v>0</v>
      </c>
      <c r="N74" s="599"/>
      <c r="O74" s="75"/>
      <c r="P74" s="553">
        <f t="shared" ref="P74:P92" si="18">N74*1000*17</f>
        <v>0</v>
      </c>
      <c r="Q74" s="553">
        <f t="shared" ref="Q74:Q92" si="19">M74+P74</f>
        <v>0</v>
      </c>
      <c r="R74" s="598"/>
    </row>
    <row r="75" spans="1:21" s="597" customFormat="1" ht="15" hidden="1" x14ac:dyDescent="0.25">
      <c r="A75" s="140" t="s">
        <v>35</v>
      </c>
      <c r="B75" s="140"/>
      <c r="C75" s="601"/>
      <c r="D75" s="139"/>
      <c r="E75" s="139"/>
      <c r="F75" s="601"/>
      <c r="G75" s="601"/>
      <c r="H75" s="553">
        <f t="shared" si="16"/>
        <v>0</v>
      </c>
      <c r="I75" s="555"/>
      <c r="J75" s="555"/>
      <c r="K75" s="558"/>
      <c r="L75" s="139"/>
      <c r="M75" s="557">
        <f t="shared" si="17"/>
        <v>0</v>
      </c>
      <c r="N75" s="599"/>
      <c r="O75" s="75"/>
      <c r="P75" s="553">
        <f t="shared" si="18"/>
        <v>0</v>
      </c>
      <c r="Q75" s="553">
        <f t="shared" si="19"/>
        <v>0</v>
      </c>
      <c r="R75" s="598"/>
    </row>
    <row r="76" spans="1:21" s="551" customFormat="1" ht="15.75" x14ac:dyDescent="0.25">
      <c r="A76" s="584" t="s">
        <v>36</v>
      </c>
      <c r="B76" s="584"/>
      <c r="C76" s="566">
        <v>12</v>
      </c>
      <c r="D76" s="565"/>
      <c r="E76" s="86" t="s">
        <v>219</v>
      </c>
      <c r="F76" s="555">
        <v>61</v>
      </c>
      <c r="G76" s="605"/>
      <c r="H76" s="553">
        <f t="shared" si="16"/>
        <v>61</v>
      </c>
      <c r="I76" s="560">
        <v>3.12</v>
      </c>
      <c r="J76" s="559">
        <v>0</v>
      </c>
      <c r="K76" s="558">
        <f>(I76-J76)/I76</f>
        <v>1</v>
      </c>
      <c r="L76" s="604">
        <v>33464</v>
      </c>
      <c r="M76" s="557">
        <f t="shared" si="17"/>
        <v>2041304</v>
      </c>
      <c r="N76" s="564"/>
      <c r="O76" s="564"/>
      <c r="P76" s="553">
        <f t="shared" si="18"/>
        <v>0</v>
      </c>
      <c r="Q76" s="553">
        <f t="shared" si="19"/>
        <v>2041304</v>
      </c>
      <c r="R76" s="563"/>
      <c r="S76" s="568"/>
      <c r="T76" s="310"/>
      <c r="U76" s="310"/>
    </row>
    <row r="77" spans="1:21" s="597" customFormat="1" ht="15" hidden="1" x14ac:dyDescent="0.25">
      <c r="A77" s="140" t="s">
        <v>285</v>
      </c>
      <c r="B77" s="140"/>
      <c r="C77" s="601"/>
      <c r="D77" s="139"/>
      <c r="E77" s="139"/>
      <c r="F77" s="601"/>
      <c r="G77" s="601"/>
      <c r="H77" s="553">
        <f t="shared" si="16"/>
        <v>0</v>
      </c>
      <c r="I77" s="555"/>
      <c r="J77" s="555"/>
      <c r="K77" s="558"/>
      <c r="L77" s="139"/>
      <c r="M77" s="557">
        <f t="shared" si="17"/>
        <v>0</v>
      </c>
      <c r="N77" s="599"/>
      <c r="O77" s="75"/>
      <c r="P77" s="553">
        <f t="shared" si="18"/>
        <v>0</v>
      </c>
      <c r="Q77" s="553">
        <f t="shared" si="19"/>
        <v>0</v>
      </c>
      <c r="R77" s="598"/>
    </row>
    <row r="78" spans="1:21" s="597" customFormat="1" ht="15" hidden="1" x14ac:dyDescent="0.25">
      <c r="A78" s="140" t="s">
        <v>284</v>
      </c>
      <c r="B78" s="140"/>
      <c r="C78" s="601"/>
      <c r="D78" s="139"/>
      <c r="E78" s="139"/>
      <c r="F78" s="601"/>
      <c r="G78" s="601"/>
      <c r="H78" s="553">
        <f t="shared" si="16"/>
        <v>0</v>
      </c>
      <c r="I78" s="555"/>
      <c r="J78" s="555"/>
      <c r="K78" s="558"/>
      <c r="L78" s="139"/>
      <c r="M78" s="557">
        <f t="shared" si="17"/>
        <v>0</v>
      </c>
      <c r="N78" s="599"/>
      <c r="O78" s="75"/>
      <c r="P78" s="553">
        <f t="shared" si="18"/>
        <v>0</v>
      </c>
      <c r="Q78" s="553">
        <f t="shared" si="19"/>
        <v>0</v>
      </c>
      <c r="R78" s="598"/>
    </row>
    <row r="79" spans="1:21" s="597" customFormat="1" ht="15" hidden="1" x14ac:dyDescent="0.25">
      <c r="A79" s="140" t="s">
        <v>37</v>
      </c>
      <c r="B79" s="140"/>
      <c r="C79" s="601"/>
      <c r="D79" s="139"/>
      <c r="E79" s="139"/>
      <c r="F79" s="601"/>
      <c r="G79" s="601"/>
      <c r="H79" s="553">
        <f t="shared" si="16"/>
        <v>0</v>
      </c>
      <c r="I79" s="555"/>
      <c r="J79" s="555"/>
      <c r="K79" s="558"/>
      <c r="L79" s="139"/>
      <c r="M79" s="557">
        <f t="shared" si="17"/>
        <v>0</v>
      </c>
      <c r="N79" s="599"/>
      <c r="O79" s="75"/>
      <c r="P79" s="553">
        <f t="shared" si="18"/>
        <v>0</v>
      </c>
      <c r="Q79" s="553">
        <f t="shared" si="19"/>
        <v>0</v>
      </c>
      <c r="R79" s="598"/>
    </row>
    <row r="80" spans="1:21" s="597" customFormat="1" ht="15" hidden="1" x14ac:dyDescent="0.25">
      <c r="A80" s="140" t="s">
        <v>283</v>
      </c>
      <c r="B80" s="140"/>
      <c r="C80" s="601"/>
      <c r="D80" s="139"/>
      <c r="E80" s="139"/>
      <c r="F80" s="601"/>
      <c r="G80" s="601"/>
      <c r="H80" s="553">
        <f t="shared" si="16"/>
        <v>0</v>
      </c>
      <c r="I80" s="555"/>
      <c r="J80" s="555"/>
      <c r="K80" s="558"/>
      <c r="L80" s="139"/>
      <c r="M80" s="557">
        <f t="shared" si="17"/>
        <v>0</v>
      </c>
      <c r="N80" s="599"/>
      <c r="O80" s="75"/>
      <c r="P80" s="553">
        <f t="shared" si="18"/>
        <v>0</v>
      </c>
      <c r="Q80" s="553">
        <f t="shared" si="19"/>
        <v>0</v>
      </c>
      <c r="R80" s="598"/>
    </row>
    <row r="81" spans="1:21" s="597" customFormat="1" ht="15" hidden="1" x14ac:dyDescent="0.25">
      <c r="A81" s="140" t="s">
        <v>38</v>
      </c>
      <c r="B81" s="140"/>
      <c r="C81" s="601"/>
      <c r="D81" s="139"/>
      <c r="E81" s="139"/>
      <c r="F81" s="601"/>
      <c r="G81" s="601"/>
      <c r="H81" s="553">
        <f t="shared" si="16"/>
        <v>0</v>
      </c>
      <c r="I81" s="555"/>
      <c r="J81" s="555"/>
      <c r="K81" s="558"/>
      <c r="L81" s="139"/>
      <c r="M81" s="557">
        <f t="shared" si="17"/>
        <v>0</v>
      </c>
      <c r="N81" s="599"/>
      <c r="O81" s="75"/>
      <c r="P81" s="553">
        <f t="shared" si="18"/>
        <v>0</v>
      </c>
      <c r="Q81" s="553">
        <f t="shared" si="19"/>
        <v>0</v>
      </c>
      <c r="R81" s="598"/>
    </row>
    <row r="82" spans="1:21" s="597" customFormat="1" ht="15" x14ac:dyDescent="0.25">
      <c r="A82" s="140" t="s">
        <v>39</v>
      </c>
      <c r="B82" s="140"/>
      <c r="C82" s="601">
        <v>3</v>
      </c>
      <c r="D82" s="139"/>
      <c r="E82" s="139" t="s">
        <v>277</v>
      </c>
      <c r="F82" s="601">
        <v>2</v>
      </c>
      <c r="G82" s="601"/>
      <c r="H82" s="553">
        <f t="shared" si="16"/>
        <v>2</v>
      </c>
      <c r="I82" s="560">
        <v>3.12</v>
      </c>
      <c r="J82" s="559">
        <v>0</v>
      </c>
      <c r="K82" s="558">
        <f>(I82-J82)/I82</f>
        <v>1</v>
      </c>
      <c r="L82" s="139"/>
      <c r="M82" s="557">
        <f t="shared" si="17"/>
        <v>0</v>
      </c>
      <c r="N82" s="603">
        <f>H82*I82*K82</f>
        <v>6.24</v>
      </c>
      <c r="O82" s="602">
        <v>17</v>
      </c>
      <c r="P82" s="553">
        <f t="shared" si="18"/>
        <v>106080</v>
      </c>
      <c r="Q82" s="553">
        <f t="shared" si="19"/>
        <v>106080</v>
      </c>
      <c r="R82" s="598"/>
    </row>
    <row r="83" spans="1:21" s="597" customFormat="1" ht="15" hidden="1" x14ac:dyDescent="0.25">
      <c r="A83" s="140" t="s">
        <v>40</v>
      </c>
      <c r="B83" s="140"/>
      <c r="C83" s="601"/>
      <c r="D83" s="139"/>
      <c r="E83" s="139"/>
      <c r="F83" s="601"/>
      <c r="G83" s="601"/>
      <c r="H83" s="553">
        <f t="shared" si="16"/>
        <v>0</v>
      </c>
      <c r="I83" s="555"/>
      <c r="J83" s="555"/>
      <c r="K83" s="558"/>
      <c r="L83" s="139"/>
      <c r="M83" s="557">
        <f t="shared" si="17"/>
        <v>0</v>
      </c>
      <c r="N83" s="599"/>
      <c r="O83" s="75"/>
      <c r="P83" s="553">
        <f t="shared" si="18"/>
        <v>0</v>
      </c>
      <c r="Q83" s="553">
        <f t="shared" si="19"/>
        <v>0</v>
      </c>
      <c r="R83" s="598"/>
    </row>
    <row r="84" spans="1:21" s="597" customFormat="1" ht="15" hidden="1" x14ac:dyDescent="0.25">
      <c r="A84" s="140" t="s">
        <v>41</v>
      </c>
      <c r="B84" s="140"/>
      <c r="C84" s="601"/>
      <c r="D84" s="139"/>
      <c r="E84" s="139"/>
      <c r="F84" s="601"/>
      <c r="G84" s="601"/>
      <c r="H84" s="553">
        <f t="shared" si="16"/>
        <v>0</v>
      </c>
      <c r="I84" s="555"/>
      <c r="J84" s="555"/>
      <c r="K84" s="558"/>
      <c r="L84" s="139"/>
      <c r="M84" s="557">
        <f t="shared" si="17"/>
        <v>0</v>
      </c>
      <c r="N84" s="599"/>
      <c r="O84" s="75"/>
      <c r="P84" s="553">
        <f t="shared" si="18"/>
        <v>0</v>
      </c>
      <c r="Q84" s="553">
        <f t="shared" si="19"/>
        <v>0</v>
      </c>
      <c r="R84" s="598"/>
    </row>
    <row r="85" spans="1:21" s="597" customFormat="1" ht="15" hidden="1" x14ac:dyDescent="0.25">
      <c r="A85" s="140" t="s">
        <v>42</v>
      </c>
      <c r="B85" s="140"/>
      <c r="C85" s="601"/>
      <c r="D85" s="139"/>
      <c r="E85" s="139"/>
      <c r="F85" s="601"/>
      <c r="G85" s="601"/>
      <c r="H85" s="553">
        <f t="shared" si="16"/>
        <v>0</v>
      </c>
      <c r="I85" s="555"/>
      <c r="J85" s="555"/>
      <c r="K85" s="558"/>
      <c r="L85" s="139"/>
      <c r="M85" s="557">
        <f t="shared" si="17"/>
        <v>0</v>
      </c>
      <c r="N85" s="599"/>
      <c r="O85" s="75"/>
      <c r="P85" s="553">
        <f t="shared" si="18"/>
        <v>0</v>
      </c>
      <c r="Q85" s="553">
        <f t="shared" si="19"/>
        <v>0</v>
      </c>
      <c r="R85" s="598"/>
    </row>
    <row r="86" spans="1:21" s="597" customFormat="1" ht="15" hidden="1" x14ac:dyDescent="0.25">
      <c r="A86" s="140" t="s">
        <v>282</v>
      </c>
      <c r="B86" s="140"/>
      <c r="C86" s="601"/>
      <c r="D86" s="139"/>
      <c r="E86" s="139"/>
      <c r="F86" s="601"/>
      <c r="G86" s="601"/>
      <c r="H86" s="553">
        <f t="shared" si="16"/>
        <v>0</v>
      </c>
      <c r="I86" s="555"/>
      <c r="J86" s="555"/>
      <c r="K86" s="558"/>
      <c r="L86" s="139"/>
      <c r="M86" s="557">
        <f t="shared" si="17"/>
        <v>0</v>
      </c>
      <c r="N86" s="599"/>
      <c r="O86" s="75"/>
      <c r="P86" s="553">
        <f t="shared" si="18"/>
        <v>0</v>
      </c>
      <c r="Q86" s="553">
        <f t="shared" si="19"/>
        <v>0</v>
      </c>
      <c r="R86" s="598"/>
    </row>
    <row r="87" spans="1:21" s="597" customFormat="1" ht="15" hidden="1" x14ac:dyDescent="0.25">
      <c r="A87" s="140" t="s">
        <v>43</v>
      </c>
      <c r="B87" s="140"/>
      <c r="C87" s="601"/>
      <c r="D87" s="139"/>
      <c r="E87" s="139"/>
      <c r="F87" s="601"/>
      <c r="G87" s="601"/>
      <c r="H87" s="553">
        <f t="shared" si="16"/>
        <v>0</v>
      </c>
      <c r="I87" s="555"/>
      <c r="J87" s="555"/>
      <c r="K87" s="558"/>
      <c r="L87" s="139"/>
      <c r="M87" s="557">
        <f t="shared" si="17"/>
        <v>0</v>
      </c>
      <c r="N87" s="599"/>
      <c r="O87" s="75"/>
      <c r="P87" s="553">
        <f t="shared" si="18"/>
        <v>0</v>
      </c>
      <c r="Q87" s="553">
        <f t="shared" si="19"/>
        <v>0</v>
      </c>
      <c r="R87" s="598"/>
    </row>
    <row r="88" spans="1:21" s="597" customFormat="1" ht="15" hidden="1" x14ac:dyDescent="0.25">
      <c r="A88" s="140" t="s">
        <v>281</v>
      </c>
      <c r="B88" s="140"/>
      <c r="C88" s="601"/>
      <c r="D88" s="139"/>
      <c r="E88" s="139"/>
      <c r="F88" s="601"/>
      <c r="G88" s="601"/>
      <c r="H88" s="553">
        <f t="shared" si="16"/>
        <v>0</v>
      </c>
      <c r="I88" s="555"/>
      <c r="J88" s="555"/>
      <c r="K88" s="558"/>
      <c r="L88" s="139"/>
      <c r="M88" s="557">
        <f t="shared" si="17"/>
        <v>0</v>
      </c>
      <c r="N88" s="599"/>
      <c r="O88" s="75"/>
      <c r="P88" s="553">
        <f t="shared" si="18"/>
        <v>0</v>
      </c>
      <c r="Q88" s="553">
        <f t="shared" si="19"/>
        <v>0</v>
      </c>
      <c r="R88" s="598"/>
    </row>
    <row r="89" spans="1:21" s="597" customFormat="1" ht="15" hidden="1" x14ac:dyDescent="0.25">
      <c r="A89" s="140" t="s">
        <v>280</v>
      </c>
      <c r="B89" s="140"/>
      <c r="C89" s="601"/>
      <c r="D89" s="139"/>
      <c r="E89" s="139"/>
      <c r="F89" s="601"/>
      <c r="G89" s="601"/>
      <c r="H89" s="553">
        <f t="shared" si="16"/>
        <v>0</v>
      </c>
      <c r="I89" s="555"/>
      <c r="J89" s="555"/>
      <c r="K89" s="558"/>
      <c r="L89" s="139"/>
      <c r="M89" s="557">
        <f t="shared" si="17"/>
        <v>0</v>
      </c>
      <c r="N89" s="599"/>
      <c r="O89" s="75"/>
      <c r="P89" s="553">
        <f t="shared" si="18"/>
        <v>0</v>
      </c>
      <c r="Q89" s="553">
        <f t="shared" si="19"/>
        <v>0</v>
      </c>
      <c r="R89" s="598"/>
    </row>
    <row r="90" spans="1:21" s="551" customFormat="1" ht="15" x14ac:dyDescent="0.25">
      <c r="A90" s="567" t="s">
        <v>44</v>
      </c>
      <c r="B90" s="567"/>
      <c r="C90" s="566">
        <v>50</v>
      </c>
      <c r="D90" s="565"/>
      <c r="E90" s="86" t="s">
        <v>225</v>
      </c>
      <c r="F90" s="555">
        <v>60</v>
      </c>
      <c r="G90" s="555"/>
      <c r="H90" s="553">
        <f t="shared" si="16"/>
        <v>60</v>
      </c>
      <c r="I90" s="560">
        <v>3.12</v>
      </c>
      <c r="J90" s="559">
        <v>0</v>
      </c>
      <c r="K90" s="558">
        <f>(I90-J90)/I90</f>
        <v>1</v>
      </c>
      <c r="L90" s="579">
        <v>7470</v>
      </c>
      <c r="M90" s="557">
        <f t="shared" si="17"/>
        <v>448200</v>
      </c>
      <c r="N90" s="564"/>
      <c r="O90" s="564"/>
      <c r="P90" s="553">
        <f t="shared" si="18"/>
        <v>0</v>
      </c>
      <c r="Q90" s="553">
        <f t="shared" si="19"/>
        <v>448200</v>
      </c>
      <c r="R90" s="563"/>
      <c r="S90" s="568"/>
      <c r="T90" s="310"/>
      <c r="U90" s="310"/>
    </row>
    <row r="91" spans="1:21" s="597" customFormat="1" ht="15" hidden="1" x14ac:dyDescent="0.25">
      <c r="A91" s="140" t="s">
        <v>45</v>
      </c>
      <c r="B91" s="140"/>
      <c r="C91" s="601"/>
      <c r="D91" s="139"/>
      <c r="E91" s="139"/>
      <c r="F91" s="601"/>
      <c r="G91" s="601"/>
      <c r="H91" s="553">
        <f t="shared" si="16"/>
        <v>0</v>
      </c>
      <c r="I91" s="555"/>
      <c r="J91" s="555"/>
      <c r="K91" s="558"/>
      <c r="L91" s="139"/>
      <c r="M91" s="557">
        <f t="shared" si="17"/>
        <v>0</v>
      </c>
      <c r="N91" s="599"/>
      <c r="O91" s="75"/>
      <c r="P91" s="553">
        <f t="shared" si="18"/>
        <v>0</v>
      </c>
      <c r="Q91" s="553">
        <f t="shared" si="19"/>
        <v>0</v>
      </c>
      <c r="R91" s="598"/>
    </row>
    <row r="92" spans="1:21" s="597" customFormat="1" ht="15" hidden="1" x14ac:dyDescent="0.25">
      <c r="A92" s="140" t="s">
        <v>279</v>
      </c>
      <c r="B92" s="140"/>
      <c r="C92" s="601"/>
      <c r="D92" s="139"/>
      <c r="E92" s="139"/>
      <c r="F92" s="601"/>
      <c r="G92" s="601"/>
      <c r="H92" s="553">
        <f t="shared" si="16"/>
        <v>0</v>
      </c>
      <c r="I92" s="555"/>
      <c r="J92" s="555"/>
      <c r="K92" s="558"/>
      <c r="L92" s="139"/>
      <c r="M92" s="557">
        <f t="shared" si="17"/>
        <v>0</v>
      </c>
      <c r="N92" s="599"/>
      <c r="O92" s="75"/>
      <c r="P92" s="553">
        <f t="shared" si="18"/>
        <v>0</v>
      </c>
      <c r="Q92" s="553">
        <f t="shared" si="19"/>
        <v>0</v>
      </c>
      <c r="R92" s="598"/>
    </row>
    <row r="93" spans="1:21" s="597" customFormat="1" ht="15" x14ac:dyDescent="0.25">
      <c r="A93" s="140"/>
      <c r="B93" s="140"/>
      <c r="C93" s="601"/>
      <c r="D93" s="139"/>
      <c r="E93" s="139"/>
      <c r="F93" s="601"/>
      <c r="G93" s="601"/>
      <c r="H93" s="601"/>
      <c r="I93" s="556"/>
      <c r="J93" s="555"/>
      <c r="K93" s="600"/>
      <c r="L93" s="139"/>
      <c r="M93" s="139"/>
      <c r="N93" s="599"/>
      <c r="O93" s="75"/>
      <c r="P93" s="75"/>
      <c r="Q93" s="553"/>
      <c r="R93" s="598"/>
    </row>
    <row r="94" spans="1:21" s="572" customFormat="1" ht="16.5" x14ac:dyDescent="0.25">
      <c r="A94" s="578" t="s">
        <v>54</v>
      </c>
      <c r="B94" s="578"/>
      <c r="C94" s="596" t="e">
        <f>SUM(#REF!,#REF!)</f>
        <v>#REF!</v>
      </c>
      <c r="D94" s="575"/>
      <c r="E94" s="575"/>
      <c r="F94" s="577" t="e">
        <f>SUM(#REF!,#REF!)</f>
        <v>#REF!</v>
      </c>
      <c r="G94" s="577" t="e">
        <f>SUM(#REF!,#REF!)</f>
        <v>#REF!</v>
      </c>
      <c r="H94" s="577" t="e">
        <f>SUM(#REF!,#REF!)</f>
        <v>#REF!</v>
      </c>
      <c r="I94" s="577"/>
      <c r="J94" s="577"/>
      <c r="K94" s="576"/>
      <c r="L94" s="575" t="e">
        <f>SUM(#REF!,#REF!)</f>
        <v>#REF!</v>
      </c>
      <c r="M94" s="575" t="e">
        <f>SUM(#REF!,#REF!)</f>
        <v>#REF!</v>
      </c>
      <c r="N94" s="575" t="e">
        <f>SUM(#REF!,#REF!)</f>
        <v>#REF!</v>
      </c>
      <c r="O94" s="575" t="e">
        <f>AVERAGE(#REF!,#REF!)</f>
        <v>#REF!</v>
      </c>
      <c r="P94" s="575" t="e">
        <f>SUM(#REF!,#REF!)</f>
        <v>#REF!</v>
      </c>
      <c r="Q94" s="574" t="e">
        <f>P94+M94</f>
        <v>#REF!</v>
      </c>
      <c r="R94" s="573"/>
      <c r="S94" s="595"/>
    </row>
    <row r="95" spans="1:21" s="551" customFormat="1" ht="15" hidden="1" x14ac:dyDescent="0.25">
      <c r="A95" s="87" t="s">
        <v>278</v>
      </c>
      <c r="B95" s="87"/>
      <c r="C95" s="555"/>
      <c r="D95" s="83"/>
      <c r="E95" s="83"/>
      <c r="F95" s="555"/>
      <c r="G95" s="555"/>
      <c r="H95" s="553">
        <f>F95+G95</f>
        <v>0</v>
      </c>
      <c r="I95" s="555"/>
      <c r="J95" s="555"/>
      <c r="K95" s="558"/>
      <c r="L95" s="83"/>
      <c r="M95" s="557">
        <f>(H95*L95)*K95</f>
        <v>0</v>
      </c>
      <c r="N95" s="554"/>
      <c r="O95" s="553"/>
      <c r="P95" s="553">
        <f>N95*1000*17</f>
        <v>0</v>
      </c>
      <c r="Q95" s="553">
        <f>M95+P95</f>
        <v>0</v>
      </c>
      <c r="R95" s="552"/>
    </row>
    <row r="96" spans="1:21" s="664" customFormat="1" ht="15" x14ac:dyDescent="0.25">
      <c r="A96" s="659" t="s">
        <v>102</v>
      </c>
      <c r="B96" s="659"/>
      <c r="C96" s="652">
        <v>248.16</v>
      </c>
      <c r="D96" s="652">
        <v>0</v>
      </c>
      <c r="E96" s="652">
        <v>0</v>
      </c>
      <c r="F96" s="652">
        <v>1550</v>
      </c>
      <c r="G96" s="652">
        <v>0</v>
      </c>
      <c r="H96" s="652">
        <v>1550</v>
      </c>
      <c r="I96" s="652">
        <v>7.4399999999999995</v>
      </c>
      <c r="J96" s="652">
        <v>0</v>
      </c>
      <c r="K96" s="652">
        <v>3</v>
      </c>
      <c r="L96" s="652">
        <v>40934</v>
      </c>
      <c r="M96" s="652">
        <v>17819902</v>
      </c>
      <c r="N96" s="652">
        <v>2398.16</v>
      </c>
      <c r="O96" s="652">
        <v>17</v>
      </c>
      <c r="P96" s="652">
        <v>40768720</v>
      </c>
      <c r="Q96" s="652">
        <v>58588622</v>
      </c>
      <c r="R96" s="663"/>
    </row>
    <row r="97" spans="1:21" s="669" customFormat="1" ht="15" x14ac:dyDescent="0.25">
      <c r="A97" s="649" t="s">
        <v>59</v>
      </c>
      <c r="B97" s="665"/>
      <c r="C97" s="666">
        <v>101.6</v>
      </c>
      <c r="D97" s="666">
        <v>0</v>
      </c>
      <c r="E97" s="666">
        <v>0</v>
      </c>
      <c r="F97" s="666">
        <v>769</v>
      </c>
      <c r="G97" s="666">
        <v>0</v>
      </c>
      <c r="H97" s="666">
        <v>769</v>
      </c>
      <c r="I97" s="666">
        <v>4.96</v>
      </c>
      <c r="J97" s="666">
        <v>1.736</v>
      </c>
      <c r="K97" s="666">
        <v>1.3</v>
      </c>
      <c r="L97" s="666">
        <v>40934</v>
      </c>
      <c r="M97" s="666">
        <v>3284479</v>
      </c>
      <c r="N97" s="666">
        <v>0</v>
      </c>
      <c r="O97" s="666">
        <v>0</v>
      </c>
      <c r="P97" s="666">
        <v>0</v>
      </c>
      <c r="Q97" s="666">
        <v>3284479</v>
      </c>
      <c r="R97" s="656"/>
      <c r="S97" s="667"/>
      <c r="T97" s="668"/>
      <c r="U97" s="668"/>
    </row>
    <row r="98" spans="1:21" s="551" customFormat="1" ht="15" hidden="1" x14ac:dyDescent="0.25">
      <c r="A98" s="87" t="s">
        <v>128</v>
      </c>
      <c r="B98" s="87"/>
      <c r="C98" s="555"/>
      <c r="D98" s="83"/>
      <c r="E98" s="83"/>
      <c r="F98" s="555"/>
      <c r="G98" s="555"/>
      <c r="H98" s="553">
        <f>F98+G98</f>
        <v>0</v>
      </c>
      <c r="I98" s="555"/>
      <c r="J98" s="555"/>
      <c r="K98" s="558"/>
      <c r="L98" s="83"/>
      <c r="M98" s="557">
        <f>(H98*L98)*K98</f>
        <v>0</v>
      </c>
      <c r="N98" s="554"/>
      <c r="O98" s="553"/>
      <c r="P98" s="553">
        <f>N98*1000*17</f>
        <v>0</v>
      </c>
      <c r="Q98" s="553">
        <f>M98+P98</f>
        <v>0</v>
      </c>
      <c r="R98" s="552"/>
    </row>
    <row r="99" spans="1:21" s="592" customFormat="1" ht="15.75" x14ac:dyDescent="0.25">
      <c r="A99" s="567" t="s">
        <v>223</v>
      </c>
      <c r="B99" s="567"/>
      <c r="C99" s="566">
        <v>250</v>
      </c>
      <c r="D99" s="571"/>
      <c r="E99" s="86" t="s">
        <v>225</v>
      </c>
      <c r="F99" s="555">
        <v>275</v>
      </c>
      <c r="G99" s="555"/>
      <c r="H99" s="553">
        <f>F99+G99</f>
        <v>275</v>
      </c>
      <c r="I99" s="589">
        <v>2.48</v>
      </c>
      <c r="J99" s="559">
        <v>0</v>
      </c>
      <c r="K99" s="558">
        <f>(I99-J99)/I99</f>
        <v>1</v>
      </c>
      <c r="L99" s="579">
        <v>7470</v>
      </c>
      <c r="M99" s="557">
        <f>(H99*L99)*K99</f>
        <v>2054250</v>
      </c>
      <c r="N99" s="564"/>
      <c r="O99" s="564"/>
      <c r="P99" s="553"/>
      <c r="Q99" s="588">
        <f>M99+P99</f>
        <v>2054250</v>
      </c>
      <c r="R99" s="563"/>
      <c r="S99" s="594"/>
      <c r="T99" s="593"/>
      <c r="U99" s="425"/>
    </row>
    <row r="100" spans="1:21" s="672" customFormat="1" ht="15.75" x14ac:dyDescent="0.25">
      <c r="A100" s="649" t="s">
        <v>127</v>
      </c>
      <c r="B100" s="649"/>
      <c r="C100" s="666">
        <v>839</v>
      </c>
      <c r="D100" s="666">
        <v>0</v>
      </c>
      <c r="E100" s="666">
        <v>0</v>
      </c>
      <c r="F100" s="666">
        <v>799</v>
      </c>
      <c r="G100" s="666">
        <v>0</v>
      </c>
      <c r="H100" s="666">
        <v>799</v>
      </c>
      <c r="I100" s="666">
        <v>4.96</v>
      </c>
      <c r="J100" s="666">
        <v>0</v>
      </c>
      <c r="K100" s="666">
        <v>2</v>
      </c>
      <c r="L100" s="666">
        <v>33464</v>
      </c>
      <c r="M100" s="666">
        <v>26001528</v>
      </c>
      <c r="N100" s="666">
        <v>54.56</v>
      </c>
      <c r="O100" s="666">
        <v>17</v>
      </c>
      <c r="P100" s="666">
        <v>927520</v>
      </c>
      <c r="Q100" s="666">
        <v>26929048</v>
      </c>
      <c r="R100" s="656"/>
      <c r="S100" s="670"/>
      <c r="T100" s="671"/>
      <c r="U100" s="668"/>
    </row>
    <row r="101" spans="1:21" s="64" customFormat="1" ht="15.75" x14ac:dyDescent="0.25">
      <c r="A101" s="87" t="s">
        <v>129</v>
      </c>
      <c r="B101" s="87"/>
      <c r="C101" s="591">
        <v>130</v>
      </c>
      <c r="D101" s="83"/>
      <c r="E101" s="83" t="s">
        <v>225</v>
      </c>
      <c r="F101" s="555">
        <v>149</v>
      </c>
      <c r="G101" s="555"/>
      <c r="H101" s="553">
        <f t="shared" ref="H101:H120" si="20">F101+G101</f>
        <v>149</v>
      </c>
      <c r="I101" s="555">
        <v>2.48</v>
      </c>
      <c r="J101" s="559">
        <v>0</v>
      </c>
      <c r="K101" s="558">
        <f>(I101-J101)/I101</f>
        <v>1</v>
      </c>
      <c r="L101" s="579">
        <v>7470</v>
      </c>
      <c r="M101" s="557">
        <f t="shared" ref="M101:M120" si="21">(H101*L101)*K101</f>
        <v>1113030</v>
      </c>
      <c r="N101" s="554"/>
      <c r="O101" s="588"/>
      <c r="P101" s="553">
        <f t="shared" ref="P101:P116" si="22">N101*1000*17</f>
        <v>0</v>
      </c>
      <c r="Q101" s="588">
        <f t="shared" ref="Q101:Q120" si="23">M101+P101</f>
        <v>1113030</v>
      </c>
      <c r="R101" s="590"/>
    </row>
    <row r="102" spans="1:21" s="64" customFormat="1" ht="15.75" x14ac:dyDescent="0.25">
      <c r="A102" s="87" t="s">
        <v>270</v>
      </c>
      <c r="B102" s="87"/>
      <c r="C102" s="591">
        <v>64</v>
      </c>
      <c r="D102" s="83"/>
      <c r="E102" s="83" t="s">
        <v>225</v>
      </c>
      <c r="F102" s="555">
        <v>54</v>
      </c>
      <c r="G102" s="555"/>
      <c r="H102" s="553">
        <f t="shared" si="20"/>
        <v>54</v>
      </c>
      <c r="I102" s="555">
        <v>2.48</v>
      </c>
      <c r="J102" s="559">
        <v>0</v>
      </c>
      <c r="K102" s="558">
        <f>(I102-J102)/I102</f>
        <v>1</v>
      </c>
      <c r="L102" s="579">
        <v>7470</v>
      </c>
      <c r="M102" s="557">
        <f t="shared" si="21"/>
        <v>403380</v>
      </c>
      <c r="N102" s="554"/>
      <c r="O102" s="588"/>
      <c r="P102" s="553">
        <f t="shared" si="22"/>
        <v>0</v>
      </c>
      <c r="Q102" s="588">
        <f t="shared" si="23"/>
        <v>403380</v>
      </c>
      <c r="R102" s="590"/>
    </row>
    <row r="103" spans="1:21" s="551" customFormat="1" ht="15" hidden="1" x14ac:dyDescent="0.25">
      <c r="A103" s="87" t="s">
        <v>257</v>
      </c>
      <c r="B103" s="87"/>
      <c r="C103" s="555"/>
      <c r="D103" s="83"/>
      <c r="E103" s="83"/>
      <c r="F103" s="555"/>
      <c r="G103" s="555"/>
      <c r="H103" s="553">
        <f t="shared" si="20"/>
        <v>0</v>
      </c>
      <c r="I103" s="555"/>
      <c r="J103" s="555"/>
      <c r="K103" s="558"/>
      <c r="L103" s="83"/>
      <c r="M103" s="557">
        <f t="shared" si="21"/>
        <v>0</v>
      </c>
      <c r="N103" s="554"/>
      <c r="O103" s="553"/>
      <c r="P103" s="553">
        <f t="shared" si="22"/>
        <v>0</v>
      </c>
      <c r="Q103" s="553">
        <f t="shared" si="23"/>
        <v>0</v>
      </c>
      <c r="R103" s="552"/>
    </row>
    <row r="104" spans="1:21" s="64" customFormat="1" ht="15.75" x14ac:dyDescent="0.25">
      <c r="A104" s="87" t="s">
        <v>68</v>
      </c>
      <c r="B104" s="87"/>
      <c r="C104" s="555"/>
      <c r="D104" s="83"/>
      <c r="E104" s="83" t="s">
        <v>225</v>
      </c>
      <c r="F104" s="555">
        <v>271</v>
      </c>
      <c r="G104" s="555"/>
      <c r="H104" s="553">
        <f t="shared" si="20"/>
        <v>271</v>
      </c>
      <c r="I104" s="555">
        <v>2.48</v>
      </c>
      <c r="J104" s="559">
        <v>0</v>
      </c>
      <c r="K104" s="558">
        <f>(I104-J104)/I104</f>
        <v>1</v>
      </c>
      <c r="L104" s="579">
        <v>7470</v>
      </c>
      <c r="M104" s="557">
        <f t="shared" si="21"/>
        <v>2024370</v>
      </c>
      <c r="N104" s="554"/>
      <c r="O104" s="588"/>
      <c r="P104" s="553">
        <f t="shared" si="22"/>
        <v>0</v>
      </c>
      <c r="Q104" s="588">
        <f t="shared" si="23"/>
        <v>2024370</v>
      </c>
      <c r="R104" s="590"/>
    </row>
    <row r="105" spans="1:21" s="64" customFormat="1" ht="15.75" x14ac:dyDescent="0.25">
      <c r="A105" s="87" t="s">
        <v>55</v>
      </c>
      <c r="B105" s="87"/>
      <c r="C105" s="591">
        <v>1492</v>
      </c>
      <c r="D105" s="83"/>
      <c r="E105" s="83" t="s">
        <v>225</v>
      </c>
      <c r="F105" s="555">
        <v>1145</v>
      </c>
      <c r="G105" s="555"/>
      <c r="H105" s="553">
        <f t="shared" si="20"/>
        <v>1145</v>
      </c>
      <c r="I105" s="555">
        <v>2.48</v>
      </c>
      <c r="J105" s="559">
        <v>0</v>
      </c>
      <c r="K105" s="558">
        <f>(I105-J105)/I105</f>
        <v>1</v>
      </c>
      <c r="L105" s="579">
        <v>7470</v>
      </c>
      <c r="M105" s="557">
        <f t="shared" si="21"/>
        <v>8553150</v>
      </c>
      <c r="N105" s="554"/>
      <c r="O105" s="588"/>
      <c r="P105" s="553">
        <f t="shared" si="22"/>
        <v>0</v>
      </c>
      <c r="Q105" s="588">
        <f t="shared" si="23"/>
        <v>8553150</v>
      </c>
      <c r="R105" s="590"/>
    </row>
    <row r="106" spans="1:21" s="551" customFormat="1" ht="15" hidden="1" x14ac:dyDescent="0.25">
      <c r="A106" s="87" t="s">
        <v>56</v>
      </c>
      <c r="B106" s="87"/>
      <c r="C106" s="555"/>
      <c r="D106" s="83"/>
      <c r="E106" s="83"/>
      <c r="F106" s="555"/>
      <c r="G106" s="555"/>
      <c r="H106" s="553">
        <f t="shared" si="20"/>
        <v>0</v>
      </c>
      <c r="I106" s="555"/>
      <c r="J106" s="555"/>
      <c r="K106" s="558"/>
      <c r="L106" s="83"/>
      <c r="M106" s="557">
        <f t="shared" si="21"/>
        <v>0</v>
      </c>
      <c r="N106" s="554"/>
      <c r="O106" s="553"/>
      <c r="P106" s="553">
        <f t="shared" si="22"/>
        <v>0</v>
      </c>
      <c r="Q106" s="553">
        <f t="shared" si="23"/>
        <v>0</v>
      </c>
      <c r="R106" s="552"/>
    </row>
    <row r="107" spans="1:21" s="551" customFormat="1" ht="15" hidden="1" x14ac:dyDescent="0.25">
      <c r="A107" s="87" t="s">
        <v>57</v>
      </c>
      <c r="B107" s="87"/>
      <c r="C107" s="555"/>
      <c r="D107" s="83"/>
      <c r="E107" s="83"/>
      <c r="F107" s="555"/>
      <c r="G107" s="555"/>
      <c r="H107" s="553">
        <f t="shared" si="20"/>
        <v>0</v>
      </c>
      <c r="I107" s="555"/>
      <c r="J107" s="555"/>
      <c r="K107" s="558"/>
      <c r="L107" s="83"/>
      <c r="M107" s="557">
        <f t="shared" si="21"/>
        <v>0</v>
      </c>
      <c r="N107" s="554"/>
      <c r="O107" s="553"/>
      <c r="P107" s="553">
        <f t="shared" si="22"/>
        <v>0</v>
      </c>
      <c r="Q107" s="553">
        <f t="shared" si="23"/>
        <v>0</v>
      </c>
      <c r="R107" s="552"/>
    </row>
    <row r="108" spans="1:21" s="551" customFormat="1" ht="15" hidden="1" x14ac:dyDescent="0.25">
      <c r="A108" s="87" t="s">
        <v>58</v>
      </c>
      <c r="B108" s="87"/>
      <c r="C108" s="555"/>
      <c r="D108" s="83"/>
      <c r="E108" s="83"/>
      <c r="F108" s="555"/>
      <c r="G108" s="555"/>
      <c r="H108" s="553">
        <f t="shared" si="20"/>
        <v>0</v>
      </c>
      <c r="I108" s="555"/>
      <c r="J108" s="555"/>
      <c r="K108" s="558"/>
      <c r="L108" s="83"/>
      <c r="M108" s="557">
        <f t="shared" si="21"/>
        <v>0</v>
      </c>
      <c r="N108" s="554"/>
      <c r="O108" s="553"/>
      <c r="P108" s="553">
        <f t="shared" si="22"/>
        <v>0</v>
      </c>
      <c r="Q108" s="553">
        <f t="shared" si="23"/>
        <v>0</v>
      </c>
      <c r="R108" s="552"/>
    </row>
    <row r="109" spans="1:21" s="551" customFormat="1" ht="15" x14ac:dyDescent="0.25">
      <c r="A109" s="87" t="s">
        <v>60</v>
      </c>
      <c r="B109" s="87"/>
      <c r="C109" s="555">
        <v>35</v>
      </c>
      <c r="D109" s="83"/>
      <c r="E109" s="83" t="s">
        <v>225</v>
      </c>
      <c r="F109" s="555">
        <v>65</v>
      </c>
      <c r="G109" s="555"/>
      <c r="H109" s="553">
        <f t="shared" si="20"/>
        <v>65</v>
      </c>
      <c r="I109" s="555">
        <v>2.48</v>
      </c>
      <c r="J109" s="559">
        <v>0</v>
      </c>
      <c r="K109" s="558">
        <f>(I109-J109)/I109</f>
        <v>1</v>
      </c>
      <c r="L109" s="579">
        <v>7470</v>
      </c>
      <c r="M109" s="557">
        <f t="shared" si="21"/>
        <v>485550</v>
      </c>
      <c r="N109" s="554"/>
      <c r="O109" s="553"/>
      <c r="P109" s="553">
        <f t="shared" si="22"/>
        <v>0</v>
      </c>
      <c r="Q109" s="553">
        <f t="shared" si="23"/>
        <v>485550</v>
      </c>
      <c r="R109" s="552"/>
    </row>
    <row r="110" spans="1:21" s="551" customFormat="1" ht="15" hidden="1" x14ac:dyDescent="0.25">
      <c r="A110" s="87" t="s">
        <v>61</v>
      </c>
      <c r="B110" s="87"/>
      <c r="C110" s="555"/>
      <c r="D110" s="83"/>
      <c r="E110" s="83"/>
      <c r="F110" s="555"/>
      <c r="G110" s="555"/>
      <c r="H110" s="553">
        <f t="shared" si="20"/>
        <v>0</v>
      </c>
      <c r="I110" s="555"/>
      <c r="J110" s="555"/>
      <c r="K110" s="558"/>
      <c r="L110" s="83"/>
      <c r="M110" s="557">
        <f t="shared" si="21"/>
        <v>0</v>
      </c>
      <c r="N110" s="554"/>
      <c r="O110" s="553"/>
      <c r="P110" s="553">
        <f t="shared" si="22"/>
        <v>0</v>
      </c>
      <c r="Q110" s="553">
        <f t="shared" si="23"/>
        <v>0</v>
      </c>
      <c r="R110" s="552"/>
    </row>
    <row r="111" spans="1:21" s="551" customFormat="1" ht="15" x14ac:dyDescent="0.25">
      <c r="A111" s="87" t="s">
        <v>62</v>
      </c>
      <c r="B111" s="87"/>
      <c r="C111" s="591">
        <v>34</v>
      </c>
      <c r="D111" s="83"/>
      <c r="E111" s="83" t="s">
        <v>276</v>
      </c>
      <c r="F111" s="555">
        <v>21</v>
      </c>
      <c r="G111" s="555"/>
      <c r="H111" s="553">
        <f t="shared" si="20"/>
        <v>21</v>
      </c>
      <c r="I111" s="555">
        <v>2.48</v>
      </c>
      <c r="J111" s="559">
        <v>0</v>
      </c>
      <c r="K111" s="558">
        <f>(I111-J111)/I111</f>
        <v>1</v>
      </c>
      <c r="L111" s="579">
        <v>7470</v>
      </c>
      <c r="M111" s="557">
        <f t="shared" si="21"/>
        <v>156870</v>
      </c>
      <c r="N111" s="554"/>
      <c r="O111" s="553"/>
      <c r="P111" s="553">
        <f t="shared" si="22"/>
        <v>0</v>
      </c>
      <c r="Q111" s="553">
        <f t="shared" si="23"/>
        <v>156870</v>
      </c>
      <c r="R111" s="552"/>
    </row>
    <row r="112" spans="1:21" s="551" customFormat="1" ht="15" x14ac:dyDescent="0.25">
      <c r="A112" s="87" t="s">
        <v>63</v>
      </c>
      <c r="B112" s="87"/>
      <c r="C112" s="591">
        <v>358</v>
      </c>
      <c r="D112" s="83"/>
      <c r="E112" s="83" t="s">
        <v>225</v>
      </c>
      <c r="F112" s="555">
        <v>447</v>
      </c>
      <c r="G112" s="555"/>
      <c r="H112" s="553">
        <f t="shared" si="20"/>
        <v>447</v>
      </c>
      <c r="I112" s="555">
        <v>2.48</v>
      </c>
      <c r="J112" s="559">
        <v>0</v>
      </c>
      <c r="K112" s="558">
        <f>(I112-J112)/I112</f>
        <v>1</v>
      </c>
      <c r="L112" s="579">
        <v>7470</v>
      </c>
      <c r="M112" s="557">
        <f t="shared" si="21"/>
        <v>3339090</v>
      </c>
      <c r="N112" s="554"/>
      <c r="O112" s="553"/>
      <c r="P112" s="553">
        <f t="shared" si="22"/>
        <v>0</v>
      </c>
      <c r="Q112" s="553">
        <f t="shared" si="23"/>
        <v>3339090</v>
      </c>
      <c r="R112" s="552"/>
    </row>
    <row r="113" spans="1:21" s="551" customFormat="1" ht="15" x14ac:dyDescent="0.25">
      <c r="A113" s="87" t="s">
        <v>64</v>
      </c>
      <c r="B113" s="87"/>
      <c r="C113" s="591">
        <v>84</v>
      </c>
      <c r="D113" s="83"/>
      <c r="E113" s="83" t="s">
        <v>225</v>
      </c>
      <c r="F113" s="555">
        <v>105</v>
      </c>
      <c r="G113" s="555"/>
      <c r="H113" s="553">
        <f t="shared" si="20"/>
        <v>105</v>
      </c>
      <c r="I113" s="555">
        <v>2.48</v>
      </c>
      <c r="J113" s="559">
        <v>0</v>
      </c>
      <c r="K113" s="558">
        <f>(I113-J113)/I113</f>
        <v>1</v>
      </c>
      <c r="L113" s="579">
        <v>7470</v>
      </c>
      <c r="M113" s="557">
        <f t="shared" si="21"/>
        <v>784350</v>
      </c>
      <c r="N113" s="554"/>
      <c r="O113" s="553"/>
      <c r="P113" s="553">
        <f t="shared" si="22"/>
        <v>0</v>
      </c>
      <c r="Q113" s="553">
        <f t="shared" si="23"/>
        <v>784350</v>
      </c>
      <c r="R113" s="552"/>
    </row>
    <row r="114" spans="1:21" s="64" customFormat="1" ht="15.75" x14ac:dyDescent="0.25">
      <c r="A114" s="87" t="s">
        <v>126</v>
      </c>
      <c r="B114" s="87"/>
      <c r="C114" s="591">
        <v>623</v>
      </c>
      <c r="D114" s="83"/>
      <c r="E114" s="83" t="s">
        <v>225</v>
      </c>
      <c r="F114" s="555">
        <v>654</v>
      </c>
      <c r="G114" s="555"/>
      <c r="H114" s="553">
        <f t="shared" si="20"/>
        <v>654</v>
      </c>
      <c r="I114" s="555">
        <v>2.48</v>
      </c>
      <c r="J114" s="559">
        <v>0</v>
      </c>
      <c r="K114" s="558">
        <f>(I114-J114)/I114</f>
        <v>1</v>
      </c>
      <c r="L114" s="579">
        <v>7470</v>
      </c>
      <c r="M114" s="557">
        <f t="shared" si="21"/>
        <v>4885380</v>
      </c>
      <c r="N114" s="554"/>
      <c r="O114" s="588"/>
      <c r="P114" s="553">
        <f t="shared" si="22"/>
        <v>0</v>
      </c>
      <c r="Q114" s="588">
        <f t="shared" si="23"/>
        <v>4885380</v>
      </c>
      <c r="R114" s="590"/>
    </row>
    <row r="115" spans="1:21" s="551" customFormat="1" ht="15" hidden="1" x14ac:dyDescent="0.25">
      <c r="A115" s="87" t="s">
        <v>65</v>
      </c>
      <c r="B115" s="87"/>
      <c r="C115" s="555"/>
      <c r="D115" s="83"/>
      <c r="E115" s="83"/>
      <c r="F115" s="555"/>
      <c r="G115" s="555"/>
      <c r="H115" s="553">
        <f t="shared" si="20"/>
        <v>0</v>
      </c>
      <c r="I115" s="555"/>
      <c r="J115" s="555"/>
      <c r="K115" s="558"/>
      <c r="L115" s="83"/>
      <c r="M115" s="557">
        <f t="shared" si="21"/>
        <v>0</v>
      </c>
      <c r="N115" s="554"/>
      <c r="O115" s="553"/>
      <c r="P115" s="553">
        <f t="shared" si="22"/>
        <v>0</v>
      </c>
      <c r="Q115" s="553">
        <f t="shared" si="23"/>
        <v>0</v>
      </c>
      <c r="R115" s="552"/>
    </row>
    <row r="116" spans="1:21" s="551" customFormat="1" ht="15" hidden="1" x14ac:dyDescent="0.25">
      <c r="A116" s="87" t="s">
        <v>66</v>
      </c>
      <c r="B116" s="87"/>
      <c r="C116" s="555"/>
      <c r="D116" s="83"/>
      <c r="E116" s="83"/>
      <c r="F116" s="555"/>
      <c r="G116" s="555"/>
      <c r="H116" s="553">
        <f t="shared" si="20"/>
        <v>0</v>
      </c>
      <c r="I116" s="555"/>
      <c r="J116" s="555"/>
      <c r="K116" s="558"/>
      <c r="L116" s="83"/>
      <c r="M116" s="557">
        <f t="shared" si="21"/>
        <v>0</v>
      </c>
      <c r="N116" s="554"/>
      <c r="O116" s="553"/>
      <c r="P116" s="553">
        <f t="shared" si="22"/>
        <v>0</v>
      </c>
      <c r="Q116" s="553">
        <f t="shared" si="23"/>
        <v>0</v>
      </c>
      <c r="R116" s="552"/>
    </row>
    <row r="117" spans="1:21" s="64" customFormat="1" ht="15.75" x14ac:dyDescent="0.25">
      <c r="A117" s="567" t="s">
        <v>67</v>
      </c>
      <c r="B117" s="567"/>
      <c r="C117" s="566">
        <v>1190</v>
      </c>
      <c r="D117" s="565"/>
      <c r="E117" s="86" t="s">
        <v>225</v>
      </c>
      <c r="F117" s="555">
        <v>1260</v>
      </c>
      <c r="G117" s="555"/>
      <c r="H117" s="553">
        <f t="shared" si="20"/>
        <v>1260</v>
      </c>
      <c r="I117" s="589">
        <v>2.48</v>
      </c>
      <c r="J117" s="559">
        <v>0</v>
      </c>
      <c r="K117" s="558">
        <f>(I117-J117)/I117</f>
        <v>1</v>
      </c>
      <c r="L117" s="579">
        <v>7470</v>
      </c>
      <c r="M117" s="557">
        <f t="shared" si="21"/>
        <v>9412200</v>
      </c>
      <c r="N117" s="564"/>
      <c r="O117" s="564"/>
      <c r="P117" s="553"/>
      <c r="Q117" s="588">
        <f t="shared" si="23"/>
        <v>9412200</v>
      </c>
      <c r="R117" s="563"/>
      <c r="S117" s="20"/>
      <c r="T117" s="587"/>
      <c r="U117" s="310"/>
    </row>
    <row r="118" spans="1:21" s="551" customFormat="1" ht="15" hidden="1" x14ac:dyDescent="0.25">
      <c r="A118" s="87" t="s">
        <v>275</v>
      </c>
      <c r="B118" s="87"/>
      <c r="C118" s="555"/>
      <c r="D118" s="83"/>
      <c r="E118" s="83"/>
      <c r="F118" s="555"/>
      <c r="G118" s="555"/>
      <c r="H118" s="553">
        <f t="shared" si="20"/>
        <v>0</v>
      </c>
      <c r="I118" s="555"/>
      <c r="J118" s="555"/>
      <c r="K118" s="558"/>
      <c r="L118" s="83"/>
      <c r="M118" s="557">
        <f t="shared" si="21"/>
        <v>0</v>
      </c>
      <c r="N118" s="554"/>
      <c r="O118" s="553"/>
      <c r="P118" s="553">
        <f>N118*1000*17</f>
        <v>0</v>
      </c>
      <c r="Q118" s="553">
        <f t="shared" si="23"/>
        <v>0</v>
      </c>
      <c r="R118" s="552"/>
    </row>
    <row r="119" spans="1:21" s="551" customFormat="1" ht="15" hidden="1" x14ac:dyDescent="0.25">
      <c r="A119" s="87" t="s">
        <v>69</v>
      </c>
      <c r="B119" s="87"/>
      <c r="C119" s="555"/>
      <c r="D119" s="83"/>
      <c r="E119" s="83"/>
      <c r="F119" s="555"/>
      <c r="G119" s="555"/>
      <c r="H119" s="553">
        <f t="shared" si="20"/>
        <v>0</v>
      </c>
      <c r="I119" s="555"/>
      <c r="J119" s="555"/>
      <c r="K119" s="558"/>
      <c r="L119" s="83"/>
      <c r="M119" s="557">
        <f t="shared" si="21"/>
        <v>0</v>
      </c>
      <c r="N119" s="554"/>
      <c r="O119" s="553"/>
      <c r="P119" s="553">
        <f>N119*1000*17</f>
        <v>0</v>
      </c>
      <c r="Q119" s="553">
        <f t="shared" si="23"/>
        <v>0</v>
      </c>
      <c r="R119" s="552"/>
    </row>
    <row r="120" spans="1:21" s="551" customFormat="1" ht="15" hidden="1" x14ac:dyDescent="0.25">
      <c r="A120" s="87" t="s">
        <v>70</v>
      </c>
      <c r="B120" s="87"/>
      <c r="C120" s="555"/>
      <c r="D120" s="83"/>
      <c r="E120" s="83"/>
      <c r="F120" s="555"/>
      <c r="G120" s="555"/>
      <c r="H120" s="553">
        <f t="shared" si="20"/>
        <v>0</v>
      </c>
      <c r="I120" s="555"/>
      <c r="J120" s="555"/>
      <c r="K120" s="558"/>
      <c r="L120" s="83"/>
      <c r="M120" s="557">
        <f t="shared" si="21"/>
        <v>0</v>
      </c>
      <c r="N120" s="554"/>
      <c r="O120" s="553"/>
      <c r="P120" s="553">
        <f>N120*1000*17</f>
        <v>0</v>
      </c>
      <c r="Q120" s="553">
        <f t="shared" si="23"/>
        <v>0</v>
      </c>
      <c r="R120" s="552"/>
    </row>
    <row r="121" spans="1:21" s="551" customFormat="1" ht="15" x14ac:dyDescent="0.25">
      <c r="A121" s="87"/>
      <c r="B121" s="87"/>
      <c r="C121" s="555"/>
      <c r="D121" s="83"/>
      <c r="E121" s="83"/>
      <c r="F121" s="555"/>
      <c r="G121" s="555"/>
      <c r="H121" s="555"/>
      <c r="I121" s="556"/>
      <c r="J121" s="555"/>
      <c r="K121" s="553"/>
      <c r="L121" s="83"/>
      <c r="M121" s="83"/>
      <c r="N121" s="554"/>
      <c r="O121" s="553"/>
      <c r="P121" s="553"/>
      <c r="Q121" s="553"/>
      <c r="R121" s="552"/>
    </row>
    <row r="122" spans="1:21" s="572" customFormat="1" ht="16.5" x14ac:dyDescent="0.25">
      <c r="A122" s="578" t="s">
        <v>71</v>
      </c>
      <c r="B122" s="578"/>
      <c r="C122" s="577">
        <f>SUM(C123:C146)</f>
        <v>6783.5</v>
      </c>
      <c r="D122" s="575"/>
      <c r="E122" s="575"/>
      <c r="F122" s="577">
        <f>SUM(F123:F146)</f>
        <v>6800.5</v>
      </c>
      <c r="G122" s="577">
        <f>SUM(G123:G146)</f>
        <v>3178</v>
      </c>
      <c r="H122" s="577">
        <f>SUM(H123:H146)</f>
        <v>9978.5</v>
      </c>
      <c r="I122" s="577"/>
      <c r="J122" s="577"/>
      <c r="K122" s="576"/>
      <c r="L122" s="575">
        <f>SUM(L123:L146)</f>
        <v>256960</v>
      </c>
      <c r="M122" s="575">
        <f>SUM(M123:M146)</f>
        <v>218505432.52293578</v>
      </c>
      <c r="N122" s="575">
        <f>SUM(N123:N146)</f>
        <v>0</v>
      </c>
      <c r="O122" s="575">
        <f>AVERAGE(O123:O146)</f>
        <v>0</v>
      </c>
      <c r="P122" s="575">
        <f>SUM(P123:P146)</f>
        <v>0</v>
      </c>
      <c r="Q122" s="574">
        <f>P122+M122</f>
        <v>218505432.52293578</v>
      </c>
      <c r="R122" s="573"/>
    </row>
    <row r="123" spans="1:21" s="65" customFormat="1" ht="15" x14ac:dyDescent="0.25">
      <c r="A123" s="567" t="s">
        <v>105</v>
      </c>
      <c r="B123" s="567"/>
      <c r="C123" s="566">
        <v>438</v>
      </c>
      <c r="D123" s="583"/>
      <c r="E123" s="86" t="s">
        <v>225</v>
      </c>
      <c r="F123" s="555">
        <v>808</v>
      </c>
      <c r="G123" s="555"/>
      <c r="H123" s="553">
        <f>SUM(F123:G123)</f>
        <v>808</v>
      </c>
      <c r="I123" s="560">
        <v>2.1800000000000002</v>
      </c>
      <c r="J123" s="559">
        <v>0</v>
      </c>
      <c r="K123" s="558">
        <f>(I123-J123)/I123</f>
        <v>1</v>
      </c>
      <c r="L123" s="579">
        <v>7470</v>
      </c>
      <c r="M123" s="557">
        <f>(H123*L123)*K123</f>
        <v>6035760</v>
      </c>
      <c r="N123" s="564"/>
      <c r="O123" s="564"/>
      <c r="P123" s="553">
        <f>N123*1000*17</f>
        <v>0</v>
      </c>
      <c r="Q123" s="553">
        <f>M123+P123</f>
        <v>6035760</v>
      </c>
      <c r="R123" s="563"/>
      <c r="S123" s="570"/>
      <c r="T123" s="425"/>
      <c r="U123" s="425"/>
    </row>
    <row r="124" spans="1:21" s="551" customFormat="1" ht="15" x14ac:dyDescent="0.25">
      <c r="A124" s="567" t="s">
        <v>255</v>
      </c>
      <c r="B124" s="567"/>
      <c r="C124" s="566">
        <v>399</v>
      </c>
      <c r="D124" s="585"/>
      <c r="E124" s="86" t="s">
        <v>225</v>
      </c>
      <c r="F124" s="555">
        <v>570</v>
      </c>
      <c r="G124" s="555"/>
      <c r="H124" s="553">
        <f>SUM(F124:G124)</f>
        <v>570</v>
      </c>
      <c r="I124" s="560">
        <v>2.1800000000000002</v>
      </c>
      <c r="J124" s="559">
        <v>0</v>
      </c>
      <c r="K124" s="558">
        <f>(I124-J124)/I124</f>
        <v>1</v>
      </c>
      <c r="L124" s="579">
        <v>7470</v>
      </c>
      <c r="M124" s="557">
        <f>(H124*L124)*K124</f>
        <v>4257900</v>
      </c>
      <c r="N124" s="564"/>
      <c r="O124" s="564"/>
      <c r="P124" s="553">
        <f>N124*1000*17</f>
        <v>0</v>
      </c>
      <c r="Q124" s="553">
        <f>M124+P124</f>
        <v>4257900</v>
      </c>
      <c r="R124" s="563"/>
      <c r="S124" s="568"/>
      <c r="T124" s="310"/>
      <c r="U124" s="310"/>
    </row>
    <row r="125" spans="1:21" s="551" customFormat="1" ht="15" hidden="1" x14ac:dyDescent="0.25">
      <c r="A125" s="563" t="s">
        <v>72</v>
      </c>
      <c r="B125" s="86"/>
      <c r="C125" s="566"/>
      <c r="D125" s="580"/>
      <c r="E125" s="86"/>
      <c r="F125" s="565"/>
      <c r="G125" s="565"/>
      <c r="H125" s="553">
        <f>F125+G125</f>
        <v>0</v>
      </c>
      <c r="I125" s="560"/>
      <c r="J125" s="586"/>
      <c r="K125" s="558"/>
      <c r="L125" s="557"/>
      <c r="M125" s="557">
        <f>(H125*L125)*K125</f>
        <v>0</v>
      </c>
      <c r="N125" s="564"/>
      <c r="O125" s="564"/>
      <c r="P125" s="553">
        <f>N125*1000*17</f>
        <v>0</v>
      </c>
      <c r="Q125" s="553">
        <f>M125+P125</f>
        <v>0</v>
      </c>
      <c r="R125" s="563"/>
      <c r="S125" s="568"/>
      <c r="T125" s="310"/>
      <c r="U125" s="310"/>
    </row>
    <row r="126" spans="1:21" s="551" customFormat="1" ht="15" x14ac:dyDescent="0.25">
      <c r="A126" s="563" t="s">
        <v>73</v>
      </c>
      <c r="B126" s="86"/>
      <c r="C126" s="566">
        <v>200</v>
      </c>
      <c r="D126" s="580"/>
      <c r="E126" s="86" t="s">
        <v>120</v>
      </c>
      <c r="F126" s="565">
        <v>120</v>
      </c>
      <c r="G126" s="565"/>
      <c r="H126" s="553">
        <f>F126+G126</f>
        <v>120</v>
      </c>
      <c r="I126" s="560"/>
      <c r="J126" s="586"/>
      <c r="K126" s="558"/>
      <c r="L126" s="557"/>
      <c r="M126" s="557">
        <f>(H126*L126)*K126</f>
        <v>0</v>
      </c>
      <c r="N126" s="564"/>
      <c r="O126" s="564"/>
      <c r="P126" s="553">
        <f>N126*1000*17</f>
        <v>0</v>
      </c>
      <c r="Q126" s="553">
        <f>M126+P126</f>
        <v>0</v>
      </c>
      <c r="R126" s="563"/>
      <c r="S126" s="568"/>
      <c r="T126" s="310"/>
      <c r="U126" s="310"/>
    </row>
    <row r="127" spans="1:21" s="551" customFormat="1" ht="15" x14ac:dyDescent="0.25">
      <c r="A127" s="563" t="s">
        <v>103</v>
      </c>
      <c r="B127" s="86"/>
      <c r="C127" s="566">
        <v>350</v>
      </c>
      <c r="D127" s="580"/>
      <c r="E127" s="86" t="s">
        <v>120</v>
      </c>
      <c r="F127" s="565">
        <v>247</v>
      </c>
      <c r="G127" s="565"/>
      <c r="H127" s="553">
        <f>F127+G127</f>
        <v>247</v>
      </c>
      <c r="I127" s="560">
        <v>2.1800000000000002</v>
      </c>
      <c r="J127" s="559">
        <v>0</v>
      </c>
      <c r="K127" s="558">
        <f>(I127-J127)/I127</f>
        <v>1</v>
      </c>
      <c r="L127" s="557">
        <v>33464</v>
      </c>
      <c r="M127" s="557">
        <f>(H127*L127)*K127</f>
        <v>8265608</v>
      </c>
      <c r="N127" s="564"/>
      <c r="O127" s="564"/>
      <c r="P127" s="553">
        <f>N127*1000*17</f>
        <v>0</v>
      </c>
      <c r="Q127" s="553">
        <f>M127+P127</f>
        <v>8265608</v>
      </c>
      <c r="R127" s="563"/>
      <c r="S127" s="568"/>
      <c r="T127" s="310"/>
      <c r="U127" s="310"/>
    </row>
    <row r="128" spans="1:21" s="551" customFormat="1" ht="15" x14ac:dyDescent="0.25">
      <c r="A128" s="563" t="s">
        <v>74</v>
      </c>
      <c r="B128" s="86"/>
      <c r="C128" s="566">
        <v>3129</v>
      </c>
      <c r="D128" s="566">
        <v>0</v>
      </c>
      <c r="E128" s="566">
        <v>0</v>
      </c>
      <c r="F128" s="566">
        <v>3265</v>
      </c>
      <c r="G128" s="566">
        <v>3123</v>
      </c>
      <c r="H128" s="566">
        <v>6388</v>
      </c>
      <c r="I128" s="566">
        <v>4.3600000000000003</v>
      </c>
      <c r="J128" s="566">
        <v>0.65</v>
      </c>
      <c r="K128" s="566">
        <v>1.7018348623853212</v>
      </c>
      <c r="L128" s="566">
        <v>66928</v>
      </c>
      <c r="M128" s="566">
        <v>182607368.33027524</v>
      </c>
      <c r="N128" s="566">
        <v>0</v>
      </c>
      <c r="O128" s="566">
        <v>0</v>
      </c>
      <c r="P128" s="566">
        <v>0</v>
      </c>
      <c r="Q128" s="566">
        <v>182607368.33027524</v>
      </c>
      <c r="R128" s="563"/>
      <c r="S128" s="568"/>
      <c r="T128" s="310"/>
      <c r="U128" s="310"/>
    </row>
    <row r="129" spans="1:21" s="551" customFormat="1" ht="15" x14ac:dyDescent="0.25">
      <c r="A129" s="87" t="s">
        <v>274</v>
      </c>
      <c r="B129" s="87"/>
      <c r="C129" s="555"/>
      <c r="D129" s="83"/>
      <c r="E129" s="86" t="s">
        <v>225</v>
      </c>
      <c r="F129" s="555">
        <v>26</v>
      </c>
      <c r="G129" s="555"/>
      <c r="H129" s="553">
        <f t="shared" ref="H129:H138" si="24">F129+G129</f>
        <v>26</v>
      </c>
      <c r="I129" s="560">
        <v>2.1800000000000002</v>
      </c>
      <c r="J129" s="559">
        <v>0</v>
      </c>
      <c r="K129" s="558">
        <f>(I129-J129)/I129</f>
        <v>1</v>
      </c>
      <c r="L129" s="579">
        <v>7470</v>
      </c>
      <c r="M129" s="557">
        <f t="shared" ref="M129:M138" si="25">(H129*L129)*K129</f>
        <v>194220</v>
      </c>
      <c r="N129" s="554"/>
      <c r="O129" s="553"/>
      <c r="P129" s="553">
        <f t="shared" ref="P129:P138" si="26">N129*1000*17</f>
        <v>0</v>
      </c>
      <c r="Q129" s="553">
        <f t="shared" ref="Q129:Q138" si="27">M129+P129</f>
        <v>194220</v>
      </c>
      <c r="R129" s="552"/>
    </row>
    <row r="130" spans="1:21" s="551" customFormat="1" ht="15" hidden="1" x14ac:dyDescent="0.25">
      <c r="A130" s="87" t="s">
        <v>75</v>
      </c>
      <c r="B130" s="87"/>
      <c r="C130" s="555"/>
      <c r="D130" s="83"/>
      <c r="E130" s="83"/>
      <c r="F130" s="555"/>
      <c r="G130" s="555"/>
      <c r="H130" s="553">
        <f t="shared" si="24"/>
        <v>0</v>
      </c>
      <c r="I130" s="555"/>
      <c r="J130" s="555"/>
      <c r="K130" s="558"/>
      <c r="L130" s="83"/>
      <c r="M130" s="557">
        <f t="shared" si="25"/>
        <v>0</v>
      </c>
      <c r="N130" s="554"/>
      <c r="O130" s="553"/>
      <c r="P130" s="553">
        <f t="shared" si="26"/>
        <v>0</v>
      </c>
      <c r="Q130" s="553">
        <f t="shared" si="27"/>
        <v>0</v>
      </c>
      <c r="R130" s="552"/>
    </row>
    <row r="131" spans="1:21" s="551" customFormat="1" ht="15" hidden="1" x14ac:dyDescent="0.25">
      <c r="A131" s="87" t="s">
        <v>76</v>
      </c>
      <c r="B131" s="87"/>
      <c r="C131" s="555"/>
      <c r="D131" s="83"/>
      <c r="E131" s="83"/>
      <c r="F131" s="555"/>
      <c r="G131" s="555"/>
      <c r="H131" s="553">
        <f t="shared" si="24"/>
        <v>0</v>
      </c>
      <c r="I131" s="555"/>
      <c r="J131" s="555"/>
      <c r="K131" s="558"/>
      <c r="L131" s="83"/>
      <c r="M131" s="557">
        <f t="shared" si="25"/>
        <v>0</v>
      </c>
      <c r="N131" s="554"/>
      <c r="O131" s="553"/>
      <c r="P131" s="553">
        <f t="shared" si="26"/>
        <v>0</v>
      </c>
      <c r="Q131" s="553">
        <f t="shared" si="27"/>
        <v>0</v>
      </c>
      <c r="R131" s="552"/>
    </row>
    <row r="132" spans="1:21" s="551" customFormat="1" ht="15" hidden="1" x14ac:dyDescent="0.25">
      <c r="A132" s="87" t="s">
        <v>253</v>
      </c>
      <c r="B132" s="87"/>
      <c r="C132" s="555"/>
      <c r="D132" s="83"/>
      <c r="E132" s="83"/>
      <c r="F132" s="555"/>
      <c r="G132" s="555"/>
      <c r="H132" s="553">
        <f t="shared" si="24"/>
        <v>0</v>
      </c>
      <c r="I132" s="555"/>
      <c r="J132" s="555"/>
      <c r="K132" s="558"/>
      <c r="L132" s="83"/>
      <c r="M132" s="557">
        <f t="shared" si="25"/>
        <v>0</v>
      </c>
      <c r="N132" s="554"/>
      <c r="O132" s="553"/>
      <c r="P132" s="553">
        <f t="shared" si="26"/>
        <v>0</v>
      </c>
      <c r="Q132" s="553">
        <f t="shared" si="27"/>
        <v>0</v>
      </c>
      <c r="R132" s="552"/>
    </row>
    <row r="133" spans="1:21" s="551" customFormat="1" ht="15" x14ac:dyDescent="0.25">
      <c r="A133" s="563" t="s">
        <v>104</v>
      </c>
      <c r="B133" s="86"/>
      <c r="C133" s="566">
        <v>410</v>
      </c>
      <c r="D133" s="580"/>
      <c r="E133" s="86" t="s">
        <v>225</v>
      </c>
      <c r="F133" s="565">
        <f>623*0.5</f>
        <v>311.5</v>
      </c>
      <c r="G133" s="565"/>
      <c r="H133" s="553">
        <f t="shared" si="24"/>
        <v>311.5</v>
      </c>
      <c r="I133" s="560">
        <v>2.1800000000000002</v>
      </c>
      <c r="J133" s="559">
        <v>0</v>
      </c>
      <c r="K133" s="558">
        <f>(I133-J133)/I133</f>
        <v>1</v>
      </c>
      <c r="L133" s="579">
        <v>7470</v>
      </c>
      <c r="M133" s="557">
        <f t="shared" si="25"/>
        <v>2326905</v>
      </c>
      <c r="N133" s="564"/>
      <c r="O133" s="564"/>
      <c r="P133" s="553">
        <f t="shared" si="26"/>
        <v>0</v>
      </c>
      <c r="Q133" s="553">
        <f t="shared" si="27"/>
        <v>2326905</v>
      </c>
      <c r="R133" s="563"/>
      <c r="S133" s="568"/>
      <c r="T133" s="310"/>
      <c r="U133" s="310"/>
    </row>
    <row r="134" spans="1:21" s="551" customFormat="1" ht="15" hidden="1" x14ac:dyDescent="0.25">
      <c r="A134" s="87" t="s">
        <v>77</v>
      </c>
      <c r="B134" s="87"/>
      <c r="C134" s="555"/>
      <c r="D134" s="83"/>
      <c r="E134" s="83"/>
      <c r="F134" s="555"/>
      <c r="G134" s="555"/>
      <c r="H134" s="553">
        <f t="shared" si="24"/>
        <v>0</v>
      </c>
      <c r="I134" s="555"/>
      <c r="J134" s="555"/>
      <c r="K134" s="558"/>
      <c r="L134" s="83"/>
      <c r="M134" s="557">
        <f t="shared" si="25"/>
        <v>0</v>
      </c>
      <c r="N134" s="554"/>
      <c r="O134" s="553"/>
      <c r="P134" s="553">
        <f t="shared" si="26"/>
        <v>0</v>
      </c>
      <c r="Q134" s="553">
        <f t="shared" si="27"/>
        <v>0</v>
      </c>
      <c r="R134" s="552"/>
    </row>
    <row r="135" spans="1:21" s="551" customFormat="1" ht="15" hidden="1" x14ac:dyDescent="0.25">
      <c r="A135" s="87" t="s">
        <v>78</v>
      </c>
      <c r="B135" s="87"/>
      <c r="C135" s="555"/>
      <c r="D135" s="83"/>
      <c r="E135" s="83"/>
      <c r="F135" s="555"/>
      <c r="G135" s="555"/>
      <c r="H135" s="553">
        <f t="shared" si="24"/>
        <v>0</v>
      </c>
      <c r="I135" s="555"/>
      <c r="J135" s="555"/>
      <c r="K135" s="558"/>
      <c r="L135" s="83"/>
      <c r="M135" s="557">
        <f t="shared" si="25"/>
        <v>0</v>
      </c>
      <c r="N135" s="554"/>
      <c r="O135" s="553"/>
      <c r="P135" s="553">
        <f t="shared" si="26"/>
        <v>0</v>
      </c>
      <c r="Q135" s="553">
        <f t="shared" si="27"/>
        <v>0</v>
      </c>
      <c r="R135" s="552"/>
    </row>
    <row r="136" spans="1:21" s="551" customFormat="1" ht="15" x14ac:dyDescent="0.25">
      <c r="A136" s="563" t="s">
        <v>79</v>
      </c>
      <c r="B136" s="86"/>
      <c r="C136" s="566">
        <v>150</v>
      </c>
      <c r="D136" s="580"/>
      <c r="E136" s="86" t="s">
        <v>120</v>
      </c>
      <c r="F136" s="565">
        <v>110</v>
      </c>
      <c r="G136" s="565"/>
      <c r="H136" s="553">
        <f t="shared" si="24"/>
        <v>110</v>
      </c>
      <c r="I136" s="560">
        <v>2.1800000000000002</v>
      </c>
      <c r="J136" s="559">
        <v>0</v>
      </c>
      <c r="K136" s="558">
        <f>(I136-J136)/I136</f>
        <v>1</v>
      </c>
      <c r="L136" s="557">
        <v>33464</v>
      </c>
      <c r="M136" s="557">
        <f t="shared" si="25"/>
        <v>3681040</v>
      </c>
      <c r="N136" s="564"/>
      <c r="O136" s="564"/>
      <c r="P136" s="553">
        <f t="shared" si="26"/>
        <v>0</v>
      </c>
      <c r="Q136" s="553">
        <f t="shared" si="27"/>
        <v>3681040</v>
      </c>
      <c r="R136" s="563"/>
      <c r="S136" s="568"/>
      <c r="T136" s="310"/>
      <c r="U136" s="310"/>
    </row>
    <row r="137" spans="1:21" s="551" customFormat="1" ht="15" x14ac:dyDescent="0.25">
      <c r="A137" s="563" t="s">
        <v>252</v>
      </c>
      <c r="B137" s="86"/>
      <c r="C137" s="566">
        <v>235</v>
      </c>
      <c r="D137" s="580"/>
      <c r="E137" s="86" t="s">
        <v>225</v>
      </c>
      <c r="F137" s="565">
        <v>185</v>
      </c>
      <c r="G137" s="565"/>
      <c r="H137" s="553">
        <f t="shared" si="24"/>
        <v>185</v>
      </c>
      <c r="I137" s="560">
        <v>2.1800000000000002</v>
      </c>
      <c r="J137" s="559">
        <v>0</v>
      </c>
      <c r="K137" s="558">
        <f>(I137-J137)/I137</f>
        <v>1</v>
      </c>
      <c r="L137" s="579">
        <v>7470</v>
      </c>
      <c r="M137" s="557">
        <f t="shared" si="25"/>
        <v>1381950</v>
      </c>
      <c r="N137" s="564"/>
      <c r="O137" s="564"/>
      <c r="P137" s="553">
        <f t="shared" si="26"/>
        <v>0</v>
      </c>
      <c r="Q137" s="553">
        <f t="shared" si="27"/>
        <v>1381950</v>
      </c>
      <c r="R137" s="563"/>
      <c r="S137" s="568"/>
      <c r="T137" s="310"/>
      <c r="U137" s="310"/>
    </row>
    <row r="138" spans="1:21" s="551" customFormat="1" ht="15" hidden="1" x14ac:dyDescent="0.25">
      <c r="A138" s="87" t="s">
        <v>2</v>
      </c>
      <c r="B138" s="87"/>
      <c r="C138" s="555"/>
      <c r="D138" s="83"/>
      <c r="E138" s="83"/>
      <c r="F138" s="555"/>
      <c r="G138" s="555"/>
      <c r="H138" s="553">
        <f t="shared" si="24"/>
        <v>0</v>
      </c>
      <c r="I138" s="555"/>
      <c r="J138" s="555"/>
      <c r="K138" s="558"/>
      <c r="L138" s="83"/>
      <c r="M138" s="557">
        <f t="shared" si="25"/>
        <v>0</v>
      </c>
      <c r="N138" s="554"/>
      <c r="O138" s="553"/>
      <c r="P138" s="553">
        <f t="shared" si="26"/>
        <v>0</v>
      </c>
      <c r="Q138" s="553">
        <f t="shared" si="27"/>
        <v>0</v>
      </c>
      <c r="R138" s="552"/>
    </row>
    <row r="139" spans="1:21" s="664" customFormat="1" ht="15" x14ac:dyDescent="0.25">
      <c r="A139" s="659" t="s">
        <v>80</v>
      </c>
      <c r="B139" s="659"/>
      <c r="C139" s="652">
        <v>59.5</v>
      </c>
      <c r="D139" s="652">
        <v>0</v>
      </c>
      <c r="E139" s="652">
        <v>0</v>
      </c>
      <c r="F139" s="652">
        <v>85</v>
      </c>
      <c r="G139" s="652">
        <v>0</v>
      </c>
      <c r="H139" s="652">
        <v>85</v>
      </c>
      <c r="I139" s="652">
        <v>4.3600000000000003</v>
      </c>
      <c r="J139" s="652">
        <v>0</v>
      </c>
      <c r="K139" s="652">
        <v>2</v>
      </c>
      <c r="L139" s="652">
        <v>40934</v>
      </c>
      <c r="M139" s="652">
        <v>1544740</v>
      </c>
      <c r="N139" s="652">
        <v>0</v>
      </c>
      <c r="O139" s="652">
        <v>0</v>
      </c>
      <c r="P139" s="652">
        <v>0</v>
      </c>
      <c r="Q139" s="652">
        <v>1544740</v>
      </c>
      <c r="R139" s="663"/>
    </row>
    <row r="140" spans="1:21" s="551" customFormat="1" ht="15" x14ac:dyDescent="0.25">
      <c r="A140" s="567" t="s">
        <v>81</v>
      </c>
      <c r="B140" s="567"/>
      <c r="C140" s="566">
        <v>280</v>
      </c>
      <c r="D140" s="585"/>
      <c r="E140" s="86" t="s">
        <v>273</v>
      </c>
      <c r="F140" s="555">
        <v>200</v>
      </c>
      <c r="G140" s="555"/>
      <c r="H140" s="553">
        <f>SUM(F140:G140)</f>
        <v>200</v>
      </c>
      <c r="I140" s="560">
        <v>2.1800000000000002</v>
      </c>
      <c r="J140" s="559">
        <v>0</v>
      </c>
      <c r="K140" s="558">
        <f>(I140-J140)/I140</f>
        <v>1</v>
      </c>
      <c r="L140" s="579">
        <v>7470</v>
      </c>
      <c r="M140" s="557">
        <f>(H140*L140)*K140</f>
        <v>1494000</v>
      </c>
      <c r="N140" s="564"/>
      <c r="O140" s="564"/>
      <c r="P140" s="553">
        <f>N140*1000*17</f>
        <v>0</v>
      </c>
      <c r="Q140" s="553">
        <f>M140+P140</f>
        <v>1494000</v>
      </c>
      <c r="R140" s="563"/>
      <c r="S140" s="568"/>
      <c r="T140" s="310"/>
      <c r="U140" s="310"/>
    </row>
    <row r="141" spans="1:21" s="551" customFormat="1" ht="15" hidden="1" x14ac:dyDescent="0.25">
      <c r="A141" s="87" t="s">
        <v>251</v>
      </c>
      <c r="B141" s="87"/>
      <c r="C141" s="555"/>
      <c r="D141" s="83"/>
      <c r="E141" s="83"/>
      <c r="F141" s="555"/>
      <c r="G141" s="555"/>
      <c r="H141" s="553">
        <f>F141+G141</f>
        <v>0</v>
      </c>
      <c r="I141" s="555"/>
      <c r="J141" s="555"/>
      <c r="K141" s="558"/>
      <c r="L141" s="83"/>
      <c r="M141" s="557">
        <f>(H141*L141)*K141</f>
        <v>0</v>
      </c>
      <c r="N141" s="554"/>
      <c r="O141" s="553"/>
      <c r="P141" s="553">
        <f>N141*1000*17</f>
        <v>0</v>
      </c>
      <c r="Q141" s="553">
        <f>M141+P141</f>
        <v>0</v>
      </c>
      <c r="R141" s="552"/>
    </row>
    <row r="142" spans="1:21" s="664" customFormat="1" ht="15" x14ac:dyDescent="0.25">
      <c r="A142" s="659" t="s">
        <v>250</v>
      </c>
      <c r="B142" s="659"/>
      <c r="C142" s="652">
        <v>25</v>
      </c>
      <c r="D142" s="652">
        <v>0</v>
      </c>
      <c r="E142" s="652">
        <v>0</v>
      </c>
      <c r="F142" s="652">
        <v>10</v>
      </c>
      <c r="G142" s="652">
        <v>20</v>
      </c>
      <c r="H142" s="652">
        <v>30</v>
      </c>
      <c r="I142" s="652">
        <v>4.3600000000000003</v>
      </c>
      <c r="J142" s="652">
        <v>3.056</v>
      </c>
      <c r="K142" s="652">
        <v>1.298165137614679</v>
      </c>
      <c r="L142" s="652">
        <v>14940</v>
      </c>
      <c r="M142" s="652">
        <v>119245.87155963303</v>
      </c>
      <c r="N142" s="652">
        <v>0</v>
      </c>
      <c r="O142" s="652">
        <v>0</v>
      </c>
      <c r="P142" s="652">
        <v>0</v>
      </c>
      <c r="Q142" s="652">
        <v>119245.87155963303</v>
      </c>
      <c r="R142" s="663"/>
    </row>
    <row r="143" spans="1:21" s="65" customFormat="1" ht="15" x14ac:dyDescent="0.25">
      <c r="A143" s="584" t="s">
        <v>222</v>
      </c>
      <c r="B143" s="563"/>
      <c r="C143" s="566">
        <v>50</v>
      </c>
      <c r="D143" s="583"/>
      <c r="E143" s="86" t="s">
        <v>225</v>
      </c>
      <c r="F143" s="565">
        <v>15</v>
      </c>
      <c r="G143" s="565">
        <v>35</v>
      </c>
      <c r="H143" s="582">
        <f>SUM(F143:G143)</f>
        <v>50</v>
      </c>
      <c r="I143" s="560">
        <v>2.1800000000000002</v>
      </c>
      <c r="J143" s="559">
        <v>0.65</v>
      </c>
      <c r="K143" s="558">
        <f>(I143-J143)/I143</f>
        <v>0.70183486238532111</v>
      </c>
      <c r="L143" s="579">
        <v>7470</v>
      </c>
      <c r="M143" s="581">
        <f>(H143*L143)*K143</f>
        <v>262135.32110091744</v>
      </c>
      <c r="N143" s="564"/>
      <c r="O143" s="564"/>
      <c r="P143" s="553">
        <f>N143*1000*17</f>
        <v>0</v>
      </c>
      <c r="Q143" s="553">
        <f>M143+P143</f>
        <v>262135.32110091744</v>
      </c>
      <c r="R143" s="563"/>
      <c r="S143" s="570"/>
      <c r="T143" s="425"/>
      <c r="U143" s="425"/>
    </row>
    <row r="144" spans="1:21" s="551" customFormat="1" ht="15" x14ac:dyDescent="0.25">
      <c r="A144" s="563" t="s">
        <v>116</v>
      </c>
      <c r="B144" s="86"/>
      <c r="C144" s="566">
        <v>378</v>
      </c>
      <c r="D144" s="580"/>
      <c r="E144" s="86" t="s">
        <v>225</v>
      </c>
      <c r="F144" s="565">
        <v>255</v>
      </c>
      <c r="G144" s="565"/>
      <c r="H144" s="553">
        <f>F144+G144</f>
        <v>255</v>
      </c>
      <c r="I144" s="560">
        <v>2.1800000000000002</v>
      </c>
      <c r="J144" s="559">
        <v>0</v>
      </c>
      <c r="K144" s="558">
        <f>(I144-J144)/I144</f>
        <v>1</v>
      </c>
      <c r="L144" s="579">
        <v>7470</v>
      </c>
      <c r="M144" s="557">
        <f>(H144*L144)*K144</f>
        <v>1904850</v>
      </c>
      <c r="N144" s="564"/>
      <c r="O144" s="564"/>
      <c r="P144" s="553">
        <f>N144*1000*17</f>
        <v>0</v>
      </c>
      <c r="Q144" s="553">
        <f>M144+P144</f>
        <v>1904850</v>
      </c>
      <c r="R144" s="563"/>
      <c r="S144" s="568"/>
      <c r="T144" s="310"/>
      <c r="U144" s="310"/>
    </row>
    <row r="145" spans="1:21" s="551" customFormat="1" ht="15" x14ac:dyDescent="0.25">
      <c r="A145" s="563" t="s">
        <v>82</v>
      </c>
      <c r="B145" s="86"/>
      <c r="C145" s="566">
        <v>680</v>
      </c>
      <c r="D145" s="580"/>
      <c r="E145" s="86" t="s">
        <v>225</v>
      </c>
      <c r="F145" s="565">
        <v>593</v>
      </c>
      <c r="G145" s="565"/>
      <c r="H145" s="553">
        <f>F145+G145</f>
        <v>593</v>
      </c>
      <c r="I145" s="560">
        <v>2.1800000000000002</v>
      </c>
      <c r="J145" s="559">
        <v>0</v>
      </c>
      <c r="K145" s="558">
        <f>(I145-J145)/I145</f>
        <v>1</v>
      </c>
      <c r="L145" s="579">
        <v>7470</v>
      </c>
      <c r="M145" s="557">
        <f>(H145*L145)*K145</f>
        <v>4429710</v>
      </c>
      <c r="N145" s="564"/>
      <c r="O145" s="564"/>
      <c r="P145" s="553">
        <f>N145*1000*17</f>
        <v>0</v>
      </c>
      <c r="Q145" s="553">
        <f>M145+P145</f>
        <v>4429710</v>
      </c>
      <c r="R145" s="563"/>
      <c r="S145" s="568"/>
      <c r="T145" s="310"/>
      <c r="U145" s="310"/>
    </row>
    <row r="146" spans="1:21" s="551" customFormat="1" ht="15" x14ac:dyDescent="0.25">
      <c r="A146" s="87"/>
      <c r="B146" s="87"/>
      <c r="C146" s="555"/>
      <c r="D146" s="83"/>
      <c r="E146" s="83"/>
      <c r="F146" s="555"/>
      <c r="G146" s="555"/>
      <c r="H146" s="555"/>
      <c r="I146" s="556"/>
      <c r="J146" s="555"/>
      <c r="K146" s="553"/>
      <c r="L146" s="83"/>
      <c r="M146" s="83"/>
      <c r="N146" s="554"/>
      <c r="O146" s="553"/>
      <c r="P146" s="553"/>
      <c r="Q146" s="553"/>
      <c r="R146" s="552"/>
    </row>
    <row r="147" spans="1:21" s="572" customFormat="1" ht="16.5" x14ac:dyDescent="0.25">
      <c r="A147" s="578" t="s">
        <v>83</v>
      </c>
      <c r="B147" s="578"/>
      <c r="C147" s="577" t="e">
        <f>SUM(#REF!,#REF!)</f>
        <v>#REF!</v>
      </c>
      <c r="D147" s="575"/>
      <c r="E147" s="575"/>
      <c r="F147" s="577" t="e">
        <f>SUM(#REF!,#REF!)</f>
        <v>#REF!</v>
      </c>
      <c r="G147" s="577" t="e">
        <f>SUM(#REF!,#REF!)</f>
        <v>#REF!</v>
      </c>
      <c r="H147" s="577" t="e">
        <f>SUM(#REF!,#REF!)</f>
        <v>#REF!</v>
      </c>
      <c r="I147" s="577"/>
      <c r="J147" s="577"/>
      <c r="K147" s="576"/>
      <c r="L147" s="575" t="e">
        <f>SUM(#REF!,#REF!)</f>
        <v>#REF!</v>
      </c>
      <c r="M147" s="575" t="e">
        <f>SUM(#REF!,#REF!)</f>
        <v>#REF!</v>
      </c>
      <c r="N147" s="575" t="e">
        <f>SUM(#REF!,#REF!)</f>
        <v>#REF!</v>
      </c>
      <c r="O147" s="575" t="e">
        <f>AVERAGE(#REF!,#REF!)</f>
        <v>#REF!</v>
      </c>
      <c r="P147" s="575" t="e">
        <f>SUM(#REF!,#REF!)</f>
        <v>#REF!</v>
      </c>
      <c r="Q147" s="574" t="e">
        <f>P147+M147</f>
        <v>#REF!</v>
      </c>
      <c r="R147" s="573"/>
    </row>
    <row r="148" spans="1:21" s="551" customFormat="1" ht="15" hidden="1" x14ac:dyDescent="0.25">
      <c r="A148" s="87" t="s">
        <v>84</v>
      </c>
      <c r="B148" s="87"/>
      <c r="C148" s="555"/>
      <c r="D148" s="83"/>
      <c r="E148" s="83"/>
      <c r="F148" s="555"/>
      <c r="G148" s="555"/>
      <c r="H148" s="553">
        <f t="shared" ref="H148:H171" si="28">F148+G148</f>
        <v>0</v>
      </c>
      <c r="I148" s="555"/>
      <c r="J148" s="555"/>
      <c r="K148" s="558"/>
      <c r="L148" s="83"/>
      <c r="M148" s="557">
        <f t="shared" ref="M148:M171" si="29">(H148*L148)*K148</f>
        <v>0</v>
      </c>
      <c r="N148" s="554"/>
      <c r="O148" s="553"/>
      <c r="P148" s="553">
        <f t="shared" ref="P148:P171" si="30">N148*1000*17</f>
        <v>0</v>
      </c>
      <c r="Q148" s="553">
        <f t="shared" ref="Q148:Q171" si="31">M148+P148</f>
        <v>0</v>
      </c>
      <c r="R148" s="552"/>
    </row>
    <row r="149" spans="1:21" s="551" customFormat="1" ht="15" hidden="1" x14ac:dyDescent="0.25">
      <c r="A149" s="87" t="s">
        <v>85</v>
      </c>
      <c r="B149" s="87"/>
      <c r="C149" s="555"/>
      <c r="D149" s="83"/>
      <c r="E149" s="83"/>
      <c r="F149" s="555"/>
      <c r="G149" s="555"/>
      <c r="H149" s="553">
        <f t="shared" si="28"/>
        <v>0</v>
      </c>
      <c r="I149" s="555"/>
      <c r="J149" s="555"/>
      <c r="K149" s="558"/>
      <c r="L149" s="83"/>
      <c r="M149" s="557">
        <f t="shared" si="29"/>
        <v>0</v>
      </c>
      <c r="N149" s="554"/>
      <c r="O149" s="553"/>
      <c r="P149" s="553">
        <f t="shared" si="30"/>
        <v>0</v>
      </c>
      <c r="Q149" s="553">
        <f t="shared" si="31"/>
        <v>0</v>
      </c>
      <c r="R149" s="552"/>
    </row>
    <row r="150" spans="1:21" s="551" customFormat="1" ht="15" hidden="1" x14ac:dyDescent="0.25">
      <c r="A150" s="87" t="s">
        <v>188</v>
      </c>
      <c r="B150" s="87"/>
      <c r="C150" s="555"/>
      <c r="D150" s="83"/>
      <c r="E150" s="83"/>
      <c r="F150" s="555"/>
      <c r="G150" s="555"/>
      <c r="H150" s="553">
        <f t="shared" si="28"/>
        <v>0</v>
      </c>
      <c r="I150" s="555"/>
      <c r="J150" s="555"/>
      <c r="K150" s="558"/>
      <c r="L150" s="83"/>
      <c r="M150" s="557">
        <f t="shared" si="29"/>
        <v>0</v>
      </c>
      <c r="N150" s="554"/>
      <c r="O150" s="553"/>
      <c r="P150" s="553">
        <f t="shared" si="30"/>
        <v>0</v>
      </c>
      <c r="Q150" s="553">
        <f t="shared" si="31"/>
        <v>0</v>
      </c>
      <c r="R150" s="552"/>
    </row>
    <row r="151" spans="1:21" s="551" customFormat="1" ht="15" hidden="1" x14ac:dyDescent="0.25">
      <c r="A151" s="87" t="s">
        <v>86</v>
      </c>
      <c r="B151" s="87"/>
      <c r="C151" s="555"/>
      <c r="D151" s="83"/>
      <c r="E151" s="83"/>
      <c r="F151" s="555"/>
      <c r="G151" s="555"/>
      <c r="H151" s="553">
        <f t="shared" si="28"/>
        <v>0</v>
      </c>
      <c r="I151" s="555"/>
      <c r="J151" s="555"/>
      <c r="K151" s="558"/>
      <c r="L151" s="83"/>
      <c r="M151" s="557">
        <f t="shared" si="29"/>
        <v>0</v>
      </c>
      <c r="N151" s="554"/>
      <c r="O151" s="553"/>
      <c r="P151" s="553">
        <f t="shared" si="30"/>
        <v>0</v>
      </c>
      <c r="Q151" s="553">
        <f t="shared" si="31"/>
        <v>0</v>
      </c>
      <c r="R151" s="552"/>
    </row>
    <row r="152" spans="1:21" s="551" customFormat="1" ht="15" hidden="1" x14ac:dyDescent="0.25">
      <c r="A152" s="87" t="s">
        <v>87</v>
      </c>
      <c r="B152" s="87"/>
      <c r="C152" s="555"/>
      <c r="D152" s="83"/>
      <c r="E152" s="83"/>
      <c r="F152" s="555"/>
      <c r="G152" s="555"/>
      <c r="H152" s="553">
        <f t="shared" si="28"/>
        <v>0</v>
      </c>
      <c r="I152" s="555"/>
      <c r="J152" s="555"/>
      <c r="K152" s="558"/>
      <c r="L152" s="83"/>
      <c r="M152" s="557">
        <f t="shared" si="29"/>
        <v>0</v>
      </c>
      <c r="N152" s="554"/>
      <c r="O152" s="553"/>
      <c r="P152" s="553">
        <f t="shared" si="30"/>
        <v>0</v>
      </c>
      <c r="Q152" s="553">
        <f t="shared" si="31"/>
        <v>0</v>
      </c>
      <c r="R152" s="552"/>
    </row>
    <row r="153" spans="1:21" s="551" customFormat="1" ht="15" hidden="1" x14ac:dyDescent="0.25">
      <c r="A153" s="87" t="s">
        <v>111</v>
      </c>
      <c r="B153" s="87"/>
      <c r="C153" s="555"/>
      <c r="D153" s="83"/>
      <c r="E153" s="83"/>
      <c r="F153" s="555"/>
      <c r="G153" s="555"/>
      <c r="H153" s="553">
        <f t="shared" si="28"/>
        <v>0</v>
      </c>
      <c r="I153" s="555"/>
      <c r="J153" s="555"/>
      <c r="K153" s="558"/>
      <c r="L153" s="83"/>
      <c r="M153" s="557">
        <f t="shared" si="29"/>
        <v>0</v>
      </c>
      <c r="N153" s="554"/>
      <c r="O153" s="553"/>
      <c r="P153" s="553">
        <f t="shared" si="30"/>
        <v>0</v>
      </c>
      <c r="Q153" s="553">
        <f t="shared" si="31"/>
        <v>0</v>
      </c>
      <c r="R153" s="552"/>
    </row>
    <row r="154" spans="1:21" s="551" customFormat="1" ht="15" hidden="1" x14ac:dyDescent="0.25">
      <c r="A154" s="87" t="s">
        <v>89</v>
      </c>
      <c r="B154" s="87"/>
      <c r="C154" s="555"/>
      <c r="D154" s="83"/>
      <c r="E154" s="83"/>
      <c r="F154" s="555"/>
      <c r="G154" s="555"/>
      <c r="H154" s="553">
        <f t="shared" si="28"/>
        <v>0</v>
      </c>
      <c r="I154" s="555"/>
      <c r="J154" s="555"/>
      <c r="K154" s="558"/>
      <c r="L154" s="83"/>
      <c r="M154" s="557">
        <f t="shared" si="29"/>
        <v>0</v>
      </c>
      <c r="N154" s="554"/>
      <c r="O154" s="553"/>
      <c r="P154" s="553">
        <f t="shared" si="30"/>
        <v>0</v>
      </c>
      <c r="Q154" s="553">
        <f t="shared" si="31"/>
        <v>0</v>
      </c>
      <c r="R154" s="552"/>
    </row>
    <row r="155" spans="1:21" s="561" customFormat="1" ht="15" x14ac:dyDescent="0.25">
      <c r="A155" s="567" t="s">
        <v>106</v>
      </c>
      <c r="B155" s="567"/>
      <c r="C155" s="566">
        <v>1066</v>
      </c>
      <c r="D155" s="571"/>
      <c r="E155" s="86" t="s">
        <v>225</v>
      </c>
      <c r="F155" s="555">
        <v>569</v>
      </c>
      <c r="G155" s="555">
        <v>150</v>
      </c>
      <c r="H155" s="553">
        <f t="shared" si="28"/>
        <v>719</v>
      </c>
      <c r="I155" s="560">
        <v>2.4500000000000002</v>
      </c>
      <c r="J155" s="559">
        <v>0</v>
      </c>
      <c r="K155" s="558">
        <f>(I155-J155)/I155</f>
        <v>1</v>
      </c>
      <c r="L155" s="78">
        <v>7470</v>
      </c>
      <c r="M155" s="557">
        <f t="shared" si="29"/>
        <v>5370930</v>
      </c>
      <c r="N155" s="564"/>
      <c r="O155" s="564"/>
      <c r="P155" s="553">
        <f t="shared" si="30"/>
        <v>0</v>
      </c>
      <c r="Q155" s="553">
        <f t="shared" si="31"/>
        <v>5370930</v>
      </c>
      <c r="R155" s="563"/>
      <c r="S155" s="562"/>
      <c r="T155" s="476"/>
      <c r="U155" s="476"/>
    </row>
    <row r="156" spans="1:21" s="551" customFormat="1" ht="15" hidden="1" x14ac:dyDescent="0.25">
      <c r="A156" s="87" t="s">
        <v>220</v>
      </c>
      <c r="B156" s="87"/>
      <c r="C156" s="555"/>
      <c r="D156" s="83"/>
      <c r="E156" s="83"/>
      <c r="F156" s="555"/>
      <c r="G156" s="555"/>
      <c r="H156" s="553">
        <f t="shared" si="28"/>
        <v>0</v>
      </c>
      <c r="I156" s="555"/>
      <c r="J156" s="555"/>
      <c r="K156" s="558"/>
      <c r="L156" s="83"/>
      <c r="M156" s="557">
        <f t="shared" si="29"/>
        <v>0</v>
      </c>
      <c r="N156" s="554"/>
      <c r="O156" s="553"/>
      <c r="P156" s="553">
        <f t="shared" si="30"/>
        <v>0</v>
      </c>
      <c r="Q156" s="553">
        <f t="shared" si="31"/>
        <v>0</v>
      </c>
      <c r="R156" s="552"/>
    </row>
    <row r="157" spans="1:21" s="551" customFormat="1" ht="15" hidden="1" x14ac:dyDescent="0.25">
      <c r="A157" s="87" t="s">
        <v>92</v>
      </c>
      <c r="B157" s="87"/>
      <c r="C157" s="555"/>
      <c r="D157" s="83"/>
      <c r="E157" s="83"/>
      <c r="F157" s="555"/>
      <c r="G157" s="555"/>
      <c r="H157" s="553">
        <f t="shared" si="28"/>
        <v>0</v>
      </c>
      <c r="I157" s="555"/>
      <c r="J157" s="555"/>
      <c r="K157" s="558"/>
      <c r="L157" s="83"/>
      <c r="M157" s="557">
        <f t="shared" si="29"/>
        <v>0</v>
      </c>
      <c r="N157" s="554"/>
      <c r="O157" s="553"/>
      <c r="P157" s="553">
        <f t="shared" si="30"/>
        <v>0</v>
      </c>
      <c r="Q157" s="553">
        <f t="shared" si="31"/>
        <v>0</v>
      </c>
      <c r="R157" s="552"/>
    </row>
    <row r="158" spans="1:21" s="551" customFormat="1" ht="15" hidden="1" x14ac:dyDescent="0.25">
      <c r="A158" s="87" t="s">
        <v>0</v>
      </c>
      <c r="B158" s="87"/>
      <c r="C158" s="555"/>
      <c r="D158" s="83"/>
      <c r="E158" s="83"/>
      <c r="F158" s="555"/>
      <c r="G158" s="555"/>
      <c r="H158" s="553">
        <f t="shared" si="28"/>
        <v>0</v>
      </c>
      <c r="I158" s="555"/>
      <c r="J158" s="555"/>
      <c r="K158" s="558"/>
      <c r="L158" s="83"/>
      <c r="M158" s="557">
        <f t="shared" si="29"/>
        <v>0</v>
      </c>
      <c r="N158" s="554"/>
      <c r="O158" s="553"/>
      <c r="P158" s="553">
        <f t="shared" si="30"/>
        <v>0</v>
      </c>
      <c r="Q158" s="553">
        <f t="shared" si="31"/>
        <v>0</v>
      </c>
      <c r="R158" s="552"/>
    </row>
    <row r="159" spans="1:21" s="65" customFormat="1" ht="15" x14ac:dyDescent="0.25">
      <c r="A159" s="567" t="s">
        <v>94</v>
      </c>
      <c r="B159" s="567"/>
      <c r="C159" s="566">
        <v>27</v>
      </c>
      <c r="D159" s="571"/>
      <c r="E159" s="86" t="s">
        <v>225</v>
      </c>
      <c r="F159" s="555">
        <v>68</v>
      </c>
      <c r="G159" s="555"/>
      <c r="H159" s="553">
        <f t="shared" si="28"/>
        <v>68</v>
      </c>
      <c r="I159" s="560">
        <v>2.48</v>
      </c>
      <c r="J159" s="559">
        <v>0</v>
      </c>
      <c r="K159" s="558">
        <f>(I159-J159)/I159</f>
        <v>1</v>
      </c>
      <c r="L159" s="569">
        <v>7470</v>
      </c>
      <c r="M159" s="557">
        <f t="shared" si="29"/>
        <v>507960</v>
      </c>
      <c r="N159" s="564"/>
      <c r="O159" s="564"/>
      <c r="P159" s="553">
        <f t="shared" si="30"/>
        <v>0</v>
      </c>
      <c r="Q159" s="553">
        <f t="shared" si="31"/>
        <v>507960</v>
      </c>
      <c r="R159" s="563"/>
      <c r="S159" s="570"/>
      <c r="T159" s="425"/>
      <c r="U159" s="425"/>
    </row>
    <row r="160" spans="1:21" s="551" customFormat="1" ht="15" hidden="1" x14ac:dyDescent="0.25">
      <c r="A160" s="87" t="s">
        <v>110</v>
      </c>
      <c r="B160" s="87"/>
      <c r="C160" s="555"/>
      <c r="D160" s="83"/>
      <c r="E160" s="83"/>
      <c r="F160" s="555"/>
      <c r="G160" s="555"/>
      <c r="H160" s="553">
        <f t="shared" si="28"/>
        <v>0</v>
      </c>
      <c r="I160" s="555"/>
      <c r="J160" s="555"/>
      <c r="K160" s="558"/>
      <c r="L160" s="83"/>
      <c r="M160" s="557">
        <f t="shared" si="29"/>
        <v>0</v>
      </c>
      <c r="N160" s="554"/>
      <c r="O160" s="553"/>
      <c r="P160" s="553">
        <f t="shared" si="30"/>
        <v>0</v>
      </c>
      <c r="Q160" s="553">
        <f t="shared" si="31"/>
        <v>0</v>
      </c>
      <c r="R160" s="552"/>
    </row>
    <row r="161" spans="1:21" s="551" customFormat="1" ht="15" hidden="1" x14ac:dyDescent="0.25">
      <c r="A161" s="87" t="s">
        <v>3</v>
      </c>
      <c r="B161" s="87"/>
      <c r="C161" s="555"/>
      <c r="D161" s="83"/>
      <c r="E161" s="83"/>
      <c r="F161" s="555"/>
      <c r="G161" s="555"/>
      <c r="H161" s="553">
        <f t="shared" si="28"/>
        <v>0</v>
      </c>
      <c r="I161" s="555"/>
      <c r="J161" s="555"/>
      <c r="K161" s="558"/>
      <c r="L161" s="83"/>
      <c r="M161" s="557">
        <f t="shared" si="29"/>
        <v>0</v>
      </c>
      <c r="N161" s="554"/>
      <c r="O161" s="553"/>
      <c r="P161" s="553">
        <f t="shared" si="30"/>
        <v>0</v>
      </c>
      <c r="Q161" s="553">
        <f t="shared" si="31"/>
        <v>0</v>
      </c>
      <c r="R161" s="552"/>
    </row>
    <row r="162" spans="1:21" s="561" customFormat="1" ht="15" x14ac:dyDescent="0.25">
      <c r="A162" s="567" t="s">
        <v>88</v>
      </c>
      <c r="B162" s="567"/>
      <c r="C162" s="566">
        <v>320</v>
      </c>
      <c r="D162" s="565"/>
      <c r="E162" s="86" t="s">
        <v>120</v>
      </c>
      <c r="F162" s="555">
        <v>260</v>
      </c>
      <c r="G162" s="555"/>
      <c r="H162" s="553">
        <f t="shared" si="28"/>
        <v>260</v>
      </c>
      <c r="I162" s="560">
        <v>2.4500000000000002</v>
      </c>
      <c r="J162" s="559">
        <v>0</v>
      </c>
      <c r="K162" s="558">
        <f>(I162-J162)/I162</f>
        <v>1</v>
      </c>
      <c r="L162" s="78">
        <v>33464</v>
      </c>
      <c r="M162" s="557">
        <f t="shared" si="29"/>
        <v>8700640</v>
      </c>
      <c r="N162" s="564"/>
      <c r="O162" s="564"/>
      <c r="P162" s="553">
        <f t="shared" si="30"/>
        <v>0</v>
      </c>
      <c r="Q162" s="553">
        <f t="shared" si="31"/>
        <v>8700640</v>
      </c>
      <c r="R162" s="563"/>
      <c r="S162" s="562"/>
      <c r="T162" s="476"/>
      <c r="U162" s="476"/>
    </row>
    <row r="163" spans="1:21" s="551" customFormat="1" ht="15" hidden="1" x14ac:dyDescent="0.25">
      <c r="A163" s="87" t="s">
        <v>114</v>
      </c>
      <c r="B163" s="87"/>
      <c r="C163" s="555"/>
      <c r="D163" s="83"/>
      <c r="E163" s="83"/>
      <c r="F163" s="555"/>
      <c r="G163" s="555"/>
      <c r="H163" s="553">
        <f t="shared" si="28"/>
        <v>0</v>
      </c>
      <c r="I163" s="555"/>
      <c r="J163" s="555"/>
      <c r="K163" s="558"/>
      <c r="L163" s="83"/>
      <c r="M163" s="557">
        <f t="shared" si="29"/>
        <v>0</v>
      </c>
      <c r="N163" s="554"/>
      <c r="O163" s="553"/>
      <c r="P163" s="553">
        <f t="shared" si="30"/>
        <v>0</v>
      </c>
      <c r="Q163" s="553">
        <f t="shared" si="31"/>
        <v>0</v>
      </c>
      <c r="R163" s="552"/>
    </row>
    <row r="164" spans="1:21" s="551" customFormat="1" ht="15" hidden="1" x14ac:dyDescent="0.25">
      <c r="A164" s="87" t="s">
        <v>101</v>
      </c>
      <c r="B164" s="87"/>
      <c r="C164" s="555"/>
      <c r="D164" s="83"/>
      <c r="E164" s="83"/>
      <c r="F164" s="555"/>
      <c r="G164" s="555"/>
      <c r="H164" s="553">
        <f t="shared" si="28"/>
        <v>0</v>
      </c>
      <c r="I164" s="555"/>
      <c r="J164" s="555"/>
      <c r="K164" s="558"/>
      <c r="L164" s="83"/>
      <c r="M164" s="557">
        <f t="shared" si="29"/>
        <v>0</v>
      </c>
      <c r="N164" s="554"/>
      <c r="O164" s="553"/>
      <c r="P164" s="553">
        <f t="shared" si="30"/>
        <v>0</v>
      </c>
      <c r="Q164" s="553">
        <f t="shared" si="31"/>
        <v>0</v>
      </c>
      <c r="R164" s="552"/>
    </row>
    <row r="165" spans="1:21" s="551" customFormat="1" ht="15" x14ac:dyDescent="0.25">
      <c r="A165" s="567" t="s">
        <v>113</v>
      </c>
      <c r="B165" s="567"/>
      <c r="C165" s="566">
        <v>35</v>
      </c>
      <c r="D165" s="565"/>
      <c r="E165" s="86" t="s">
        <v>225</v>
      </c>
      <c r="F165" s="555">
        <v>44</v>
      </c>
      <c r="G165" s="555"/>
      <c r="H165" s="553">
        <f t="shared" si="28"/>
        <v>44</v>
      </c>
      <c r="I165" s="560">
        <v>2.4500000000000002</v>
      </c>
      <c r="J165" s="559">
        <f>I165*0.5</f>
        <v>1.2250000000000001</v>
      </c>
      <c r="K165" s="558">
        <f>(I165-J165)/I165</f>
        <v>0.5</v>
      </c>
      <c r="L165" s="569">
        <v>7470</v>
      </c>
      <c r="M165" s="557">
        <f t="shared" si="29"/>
        <v>164340</v>
      </c>
      <c r="N165" s="564"/>
      <c r="O165" s="564"/>
      <c r="P165" s="553">
        <f t="shared" si="30"/>
        <v>0</v>
      </c>
      <c r="Q165" s="553">
        <f t="shared" si="31"/>
        <v>164340</v>
      </c>
      <c r="R165" s="563"/>
      <c r="S165" s="568"/>
      <c r="T165" s="310"/>
      <c r="U165" s="310"/>
    </row>
    <row r="166" spans="1:21" s="551" customFormat="1" ht="15" hidden="1" x14ac:dyDescent="0.25">
      <c r="A166" s="87" t="s">
        <v>112</v>
      </c>
      <c r="B166" s="87"/>
      <c r="C166" s="555"/>
      <c r="D166" s="83"/>
      <c r="E166" s="83"/>
      <c r="F166" s="555"/>
      <c r="G166" s="555"/>
      <c r="H166" s="553">
        <f t="shared" si="28"/>
        <v>0</v>
      </c>
      <c r="I166" s="555"/>
      <c r="J166" s="555"/>
      <c r="K166" s="558"/>
      <c r="L166" s="83"/>
      <c r="M166" s="557">
        <f t="shared" si="29"/>
        <v>0</v>
      </c>
      <c r="N166" s="554"/>
      <c r="O166" s="553"/>
      <c r="P166" s="553">
        <f t="shared" si="30"/>
        <v>0</v>
      </c>
      <c r="Q166" s="553">
        <f t="shared" si="31"/>
        <v>0</v>
      </c>
      <c r="R166" s="552"/>
    </row>
    <row r="167" spans="1:21" s="561" customFormat="1" ht="15" x14ac:dyDescent="0.25">
      <c r="A167" s="567" t="s">
        <v>90</v>
      </c>
      <c r="B167" s="567"/>
      <c r="C167" s="566">
        <v>12</v>
      </c>
      <c r="D167" s="565"/>
      <c r="E167" s="86" t="s">
        <v>225</v>
      </c>
      <c r="F167" s="555">
        <v>157</v>
      </c>
      <c r="G167" s="555"/>
      <c r="H167" s="553">
        <f t="shared" si="28"/>
        <v>157</v>
      </c>
      <c r="I167" s="560">
        <v>2.4500000000000002</v>
      </c>
      <c r="J167" s="559">
        <v>0</v>
      </c>
      <c r="K167" s="558">
        <f>(I167-J167)/I167</f>
        <v>1</v>
      </c>
      <c r="L167" s="78">
        <v>7470</v>
      </c>
      <c r="M167" s="557">
        <f t="shared" si="29"/>
        <v>1172790</v>
      </c>
      <c r="N167" s="564"/>
      <c r="O167" s="564"/>
      <c r="P167" s="553">
        <f t="shared" si="30"/>
        <v>0</v>
      </c>
      <c r="Q167" s="553">
        <f t="shared" si="31"/>
        <v>1172790</v>
      </c>
      <c r="R167" s="563"/>
      <c r="S167" s="562"/>
      <c r="T167" s="476"/>
      <c r="U167" s="476"/>
    </row>
    <row r="168" spans="1:21" s="551" customFormat="1" ht="15" hidden="1" x14ac:dyDescent="0.25">
      <c r="A168" s="87" t="s">
        <v>240</v>
      </c>
      <c r="B168" s="87"/>
      <c r="C168" s="555"/>
      <c r="D168" s="83"/>
      <c r="E168" s="83"/>
      <c r="F168" s="555"/>
      <c r="G168" s="555"/>
      <c r="H168" s="553">
        <f t="shared" si="28"/>
        <v>0</v>
      </c>
      <c r="I168" s="555"/>
      <c r="J168" s="555"/>
      <c r="K168" s="558"/>
      <c r="L168" s="83"/>
      <c r="M168" s="557">
        <f t="shared" si="29"/>
        <v>0</v>
      </c>
      <c r="N168" s="554"/>
      <c r="O168" s="553"/>
      <c r="P168" s="553">
        <f t="shared" si="30"/>
        <v>0</v>
      </c>
      <c r="Q168" s="553">
        <f t="shared" si="31"/>
        <v>0</v>
      </c>
      <c r="R168" s="552"/>
    </row>
    <row r="169" spans="1:21" s="551" customFormat="1" ht="15" x14ac:dyDescent="0.25">
      <c r="A169" s="87" t="s">
        <v>91</v>
      </c>
      <c r="B169" s="87"/>
      <c r="C169" s="555">
        <v>372</v>
      </c>
      <c r="D169" s="83"/>
      <c r="E169" s="83" t="s">
        <v>225</v>
      </c>
      <c r="F169" s="555">
        <v>614</v>
      </c>
      <c r="G169" s="555"/>
      <c r="H169" s="553">
        <f t="shared" si="28"/>
        <v>614</v>
      </c>
      <c r="I169" s="560">
        <v>2.4500000000000002</v>
      </c>
      <c r="J169" s="559">
        <v>0</v>
      </c>
      <c r="K169" s="558">
        <f>(I169-J169)/I169</f>
        <v>1</v>
      </c>
      <c r="L169" s="78">
        <v>7470</v>
      </c>
      <c r="M169" s="557">
        <f t="shared" si="29"/>
        <v>4586580</v>
      </c>
      <c r="N169" s="554"/>
      <c r="O169" s="553"/>
      <c r="P169" s="553">
        <f t="shared" si="30"/>
        <v>0</v>
      </c>
      <c r="Q169" s="553">
        <f t="shared" si="31"/>
        <v>4586580</v>
      </c>
      <c r="R169" s="552"/>
    </row>
    <row r="170" spans="1:21" s="551" customFormat="1" ht="15" hidden="1" x14ac:dyDescent="0.25">
      <c r="A170" s="87" t="s">
        <v>272</v>
      </c>
      <c r="B170" s="87"/>
      <c r="C170" s="555"/>
      <c r="D170" s="83"/>
      <c r="E170" s="83"/>
      <c r="F170" s="555"/>
      <c r="G170" s="555"/>
      <c r="H170" s="553">
        <f t="shared" si="28"/>
        <v>0</v>
      </c>
      <c r="I170" s="555"/>
      <c r="J170" s="555"/>
      <c r="K170" s="558"/>
      <c r="L170" s="83"/>
      <c r="M170" s="557">
        <f t="shared" si="29"/>
        <v>0</v>
      </c>
      <c r="N170" s="554"/>
      <c r="O170" s="553"/>
      <c r="P170" s="553">
        <f t="shared" si="30"/>
        <v>0</v>
      </c>
      <c r="Q170" s="553">
        <f t="shared" si="31"/>
        <v>0</v>
      </c>
      <c r="R170" s="552"/>
    </row>
    <row r="171" spans="1:21" s="551" customFormat="1" ht="15" hidden="1" x14ac:dyDescent="0.25">
      <c r="A171" s="87" t="s">
        <v>93</v>
      </c>
      <c r="B171" s="87"/>
      <c r="C171" s="555"/>
      <c r="D171" s="83"/>
      <c r="E171" s="83"/>
      <c r="F171" s="555"/>
      <c r="G171" s="555"/>
      <c r="H171" s="553">
        <f t="shared" si="28"/>
        <v>0</v>
      </c>
      <c r="I171" s="555"/>
      <c r="J171" s="555"/>
      <c r="K171" s="558"/>
      <c r="L171" s="83"/>
      <c r="M171" s="557">
        <f t="shared" si="29"/>
        <v>0</v>
      </c>
      <c r="N171" s="554"/>
      <c r="O171" s="553"/>
      <c r="P171" s="553">
        <f t="shared" si="30"/>
        <v>0</v>
      </c>
      <c r="Q171" s="553">
        <f t="shared" si="31"/>
        <v>0</v>
      </c>
      <c r="R171" s="552"/>
    </row>
    <row r="172" spans="1:21" s="551" customFormat="1" ht="15" x14ac:dyDescent="0.25">
      <c r="A172" s="87"/>
      <c r="B172" s="87"/>
      <c r="C172" s="555"/>
      <c r="D172" s="83"/>
      <c r="E172" s="83"/>
      <c r="F172" s="555"/>
      <c r="G172" s="555"/>
      <c r="H172" s="555"/>
      <c r="I172" s="556"/>
      <c r="J172" s="555"/>
      <c r="K172" s="553"/>
      <c r="L172" s="83"/>
      <c r="M172" s="83"/>
      <c r="N172" s="554"/>
      <c r="O172" s="553"/>
      <c r="P172" s="553"/>
      <c r="Q172" s="553">
        <f>P172+M172</f>
        <v>0</v>
      </c>
      <c r="R172" s="552"/>
    </row>
    <row r="173" spans="1:21" ht="42" customHeight="1" x14ac:dyDescent="0.25">
      <c r="A173" s="761" t="s">
        <v>271</v>
      </c>
      <c r="B173" s="761"/>
      <c r="C173" s="761"/>
      <c r="D173" s="761"/>
      <c r="E173" s="761"/>
      <c r="F173" s="761"/>
      <c r="G173" s="761"/>
      <c r="H173" s="761"/>
      <c r="I173" s="761"/>
      <c r="J173" s="761"/>
      <c r="K173" s="761"/>
      <c r="L173" s="761"/>
      <c r="M173" s="761"/>
      <c r="N173" s="761"/>
      <c r="O173" s="761"/>
      <c r="P173" s="761"/>
      <c r="Q173" s="761"/>
      <c r="R173" s="761"/>
    </row>
  </sheetData>
  <mergeCells count="19">
    <mergeCell ref="A1:R1"/>
    <mergeCell ref="A2:R2"/>
    <mergeCell ref="A3:R3"/>
    <mergeCell ref="A4:R4"/>
    <mergeCell ref="A11:R11"/>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s>
  <phoneticPr fontId="56" type="noConversion"/>
  <printOptions horizontalCentered="1"/>
  <pageMargins left="0.1" right="1.1000000000000001" top="0.4" bottom="0.4" header="0" footer="0"/>
  <pageSetup paperSize="5" scale="55" fitToHeight="0" orientation="landscape"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B02D-F857-A74E-B488-C3020C9AAF18}">
  <sheetPr>
    <tabColor rgb="FFFFFF00"/>
  </sheetPr>
  <dimension ref="A1:T119"/>
  <sheetViews>
    <sheetView view="pageBreakPreview" topLeftCell="A11" zoomScale="95" zoomScaleNormal="100"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14" customWidth="1"/>
    <col min="2" max="2" width="19.42578125" style="14" hidden="1" customWidth="1"/>
    <col min="3" max="3" width="16.42578125" style="256" customWidth="1"/>
    <col min="4" max="4" width="15.85546875" style="256" customWidth="1"/>
    <col min="5" max="5" width="25.140625" style="255" customWidth="1"/>
    <col min="6" max="6" width="17.140625" style="254" customWidth="1"/>
    <col min="7" max="7" width="16.85546875" style="254" customWidth="1"/>
    <col min="8" max="8" width="19.140625" style="253" customWidth="1"/>
    <col min="9" max="9" width="15" style="14" customWidth="1"/>
    <col min="10" max="10" width="13.42578125" style="252" customWidth="1"/>
    <col min="11" max="11" width="11.140625" style="252" customWidth="1"/>
    <col min="12" max="12" width="25.140625" style="251" customWidth="1"/>
    <col min="13" max="13" width="26.42578125" style="251" customWidth="1"/>
    <col min="14" max="14" width="16.28515625" style="251" customWidth="1"/>
    <col min="15" max="15" width="12.140625" style="251" customWidth="1"/>
    <col min="16" max="16" width="29.42578125" style="19" customWidth="1"/>
    <col min="17" max="17" width="21.85546875" style="14" customWidth="1"/>
    <col min="18" max="18" width="9.140625" style="14"/>
    <col min="19" max="19" width="22.7109375" style="14" customWidth="1"/>
    <col min="20" max="20" width="29.28515625" style="14" customWidth="1"/>
    <col min="21" max="16384" width="9.140625" style="14"/>
  </cols>
  <sheetData>
    <row r="1" spans="1:20" ht="33.75" customHeight="1" x14ac:dyDescent="0.25">
      <c r="A1" s="770" t="s">
        <v>268</v>
      </c>
      <c r="B1" s="770"/>
      <c r="C1" s="770"/>
      <c r="D1" s="770"/>
      <c r="E1" s="770"/>
      <c r="F1" s="770"/>
      <c r="G1" s="770"/>
      <c r="H1" s="770"/>
      <c r="I1" s="770"/>
      <c r="J1" s="770"/>
      <c r="K1" s="770"/>
      <c r="L1" s="770"/>
      <c r="M1" s="770"/>
      <c r="N1" s="770"/>
      <c r="O1" s="770"/>
      <c r="P1" s="770"/>
      <c r="Q1" s="770"/>
    </row>
    <row r="2" spans="1:20" ht="18.95" customHeight="1" x14ac:dyDescent="0.25">
      <c r="A2" s="770" t="s">
        <v>267</v>
      </c>
      <c r="B2" s="770"/>
      <c r="C2" s="770"/>
      <c r="D2" s="770"/>
      <c r="E2" s="770"/>
      <c r="F2" s="770"/>
      <c r="G2" s="770"/>
      <c r="H2" s="770"/>
      <c r="I2" s="770"/>
      <c r="J2" s="770"/>
      <c r="K2" s="770"/>
      <c r="L2" s="770"/>
      <c r="M2" s="770"/>
      <c r="N2" s="770"/>
      <c r="O2" s="770"/>
      <c r="P2" s="770"/>
      <c r="Q2" s="770"/>
    </row>
    <row r="3" spans="1:20" ht="18.95" customHeight="1" x14ac:dyDescent="0.25">
      <c r="A3" s="770" t="s">
        <v>266</v>
      </c>
      <c r="B3" s="770"/>
      <c r="C3" s="770"/>
      <c r="D3" s="770"/>
      <c r="E3" s="770"/>
      <c r="F3" s="770"/>
      <c r="G3" s="770"/>
      <c r="H3" s="770"/>
      <c r="I3" s="770"/>
      <c r="J3" s="770"/>
      <c r="K3" s="770"/>
      <c r="L3" s="770"/>
      <c r="M3" s="770"/>
      <c r="N3" s="770"/>
      <c r="O3" s="770"/>
      <c r="P3" s="770"/>
      <c r="Q3" s="770"/>
    </row>
    <row r="4" spans="1:20" ht="18.95" customHeight="1" x14ac:dyDescent="0.25">
      <c r="A4" s="770" t="s">
        <v>265</v>
      </c>
      <c r="B4" s="770"/>
      <c r="C4" s="770"/>
      <c r="D4" s="770"/>
      <c r="E4" s="770"/>
      <c r="F4" s="770"/>
      <c r="G4" s="770"/>
      <c r="H4" s="770"/>
      <c r="I4" s="770"/>
      <c r="J4" s="770"/>
      <c r="K4" s="770"/>
      <c r="L4" s="770"/>
      <c r="M4" s="770"/>
      <c r="N4" s="770"/>
      <c r="O4" s="770"/>
      <c r="P4" s="770"/>
      <c r="Q4" s="770"/>
    </row>
    <row r="5" spans="1:20" ht="18.95" customHeight="1" thickBot="1" x14ac:dyDescent="0.3">
      <c r="A5" s="186"/>
      <c r="B5" s="186"/>
      <c r="C5" s="289"/>
      <c r="D5" s="289"/>
      <c r="E5" s="285"/>
      <c r="F5" s="289"/>
      <c r="G5" s="289"/>
      <c r="H5" s="288"/>
      <c r="I5" s="186"/>
      <c r="J5" s="285"/>
      <c r="K5" s="285"/>
      <c r="L5" s="285"/>
      <c r="M5" s="285"/>
      <c r="N5" s="285"/>
      <c r="O5" s="285"/>
      <c r="P5" s="186"/>
      <c r="Q5" s="186"/>
    </row>
    <row r="6" spans="1:20" ht="18.95" customHeight="1" x14ac:dyDescent="0.25">
      <c r="A6" s="217" t="s">
        <v>232</v>
      </c>
      <c r="B6" s="545"/>
      <c r="C6" s="446"/>
      <c r="D6" s="446"/>
      <c r="E6" s="442"/>
      <c r="F6" s="446"/>
      <c r="G6" s="446"/>
      <c r="H6" s="445"/>
      <c r="I6" s="207"/>
      <c r="J6" s="442"/>
      <c r="K6" s="442"/>
      <c r="L6" s="444"/>
      <c r="M6" s="443" t="s">
        <v>183</v>
      </c>
      <c r="N6" s="442"/>
      <c r="O6" s="442"/>
      <c r="P6" s="207"/>
      <c r="Q6" s="205"/>
    </row>
    <row r="7" spans="1:20" ht="18.95" customHeight="1" x14ac:dyDescent="0.25">
      <c r="A7" s="197"/>
      <c r="B7" s="279"/>
      <c r="C7" s="289"/>
      <c r="D7" s="289"/>
      <c r="E7" s="285"/>
      <c r="F7" s="289"/>
      <c r="G7" s="289"/>
      <c r="H7" s="288"/>
      <c r="I7" s="186"/>
      <c r="J7" s="285"/>
      <c r="K7" s="285"/>
      <c r="L7" s="438"/>
      <c r="M7" s="441" t="s">
        <v>182</v>
      </c>
      <c r="N7" s="440"/>
      <c r="O7" s="440" t="s">
        <v>181</v>
      </c>
      <c r="P7" s="186"/>
      <c r="Q7" s="184"/>
    </row>
    <row r="8" spans="1:20" ht="18.95" customHeight="1" x14ac:dyDescent="0.25">
      <c r="A8" s="197"/>
      <c r="B8" s="544"/>
      <c r="C8" s="289"/>
      <c r="D8" s="289"/>
      <c r="E8" s="285"/>
      <c r="F8" s="289"/>
      <c r="G8" s="289"/>
      <c r="H8" s="288"/>
      <c r="I8" s="186"/>
      <c r="J8" s="439"/>
      <c r="K8" s="285"/>
      <c r="L8" s="438"/>
      <c r="M8" s="437" t="s">
        <v>180</v>
      </c>
      <c r="N8" s="436"/>
      <c r="O8" s="285"/>
      <c r="P8" s="194" t="s">
        <v>179</v>
      </c>
      <c r="Q8" s="184"/>
    </row>
    <row r="9" spans="1:20" ht="18.95" customHeight="1" x14ac:dyDescent="0.25">
      <c r="A9" s="197"/>
      <c r="B9" s="544"/>
      <c r="C9" s="289"/>
      <c r="D9" s="289"/>
      <c r="E9" s="285"/>
      <c r="F9" s="289"/>
      <c r="G9" s="289"/>
      <c r="H9" s="288"/>
      <c r="I9" s="186"/>
      <c r="J9" s="439"/>
      <c r="K9" s="285"/>
      <c r="L9" s="438"/>
      <c r="M9" s="437" t="s">
        <v>178</v>
      </c>
      <c r="N9" s="436"/>
      <c r="O9" s="285"/>
      <c r="P9" s="194" t="s">
        <v>177</v>
      </c>
      <c r="Q9" s="184"/>
    </row>
    <row r="10" spans="1:20" ht="18.95" customHeight="1" thickBot="1" x14ac:dyDescent="0.3">
      <c r="A10" s="197"/>
      <c r="B10" s="544"/>
      <c r="C10" s="289"/>
      <c r="D10" s="289"/>
      <c r="E10" s="285"/>
      <c r="F10" s="289"/>
      <c r="G10" s="289"/>
      <c r="H10" s="288"/>
      <c r="I10" s="186"/>
      <c r="J10" s="285"/>
      <c r="K10" s="285"/>
      <c r="L10" s="438"/>
      <c r="M10" s="437" t="s">
        <v>176</v>
      </c>
      <c r="N10" s="436"/>
      <c r="O10" s="285"/>
      <c r="P10" s="194" t="s">
        <v>175</v>
      </c>
      <c r="Q10" s="184"/>
    </row>
    <row r="11" spans="1:20" ht="18.95" customHeight="1" thickBot="1" x14ac:dyDescent="0.3">
      <c r="A11" s="777" t="s">
        <v>174</v>
      </c>
      <c r="B11" s="778"/>
      <c r="C11" s="778"/>
      <c r="D11" s="778"/>
      <c r="E11" s="778"/>
      <c r="F11" s="778"/>
      <c r="G11" s="778"/>
      <c r="H11" s="778"/>
      <c r="I11" s="778"/>
      <c r="J11" s="778"/>
      <c r="K11" s="778"/>
      <c r="L11" s="778"/>
      <c r="M11" s="778"/>
      <c r="N11" s="778"/>
      <c r="O11" s="778"/>
      <c r="P11" s="778"/>
      <c r="Q11" s="779"/>
    </row>
    <row r="12" spans="1:20" ht="18.95" customHeight="1" x14ac:dyDescent="0.25">
      <c r="A12" s="729" t="s">
        <v>173</v>
      </c>
      <c r="B12" s="741" t="s">
        <v>172</v>
      </c>
      <c r="C12" s="780" t="s">
        <v>171</v>
      </c>
      <c r="D12" s="780" t="s">
        <v>170</v>
      </c>
      <c r="E12" s="771" t="s">
        <v>169</v>
      </c>
      <c r="F12" s="783" t="s">
        <v>168</v>
      </c>
      <c r="G12" s="784"/>
      <c r="H12" s="785"/>
      <c r="I12" s="749" t="s">
        <v>167</v>
      </c>
      <c r="J12" s="750"/>
      <c r="K12" s="771" t="s">
        <v>166</v>
      </c>
      <c r="L12" s="774" t="s">
        <v>165</v>
      </c>
      <c r="M12" s="774"/>
      <c r="N12" s="774"/>
      <c r="O12" s="774"/>
      <c r="P12" s="774"/>
      <c r="Q12" s="738" t="s">
        <v>164</v>
      </c>
    </row>
    <row r="13" spans="1:20" ht="30" customHeight="1" x14ac:dyDescent="0.25">
      <c r="A13" s="730"/>
      <c r="B13" s="735"/>
      <c r="C13" s="781"/>
      <c r="D13" s="781"/>
      <c r="E13" s="772"/>
      <c r="F13" s="786"/>
      <c r="G13" s="787"/>
      <c r="H13" s="788"/>
      <c r="I13" s="751"/>
      <c r="J13" s="752"/>
      <c r="K13" s="772"/>
      <c r="L13" s="775" t="s">
        <v>163</v>
      </c>
      <c r="M13" s="775"/>
      <c r="N13" s="762" t="s">
        <v>231</v>
      </c>
      <c r="O13" s="762"/>
      <c r="P13" s="762"/>
      <c r="Q13" s="739"/>
    </row>
    <row r="14" spans="1:20" ht="45.75" customHeight="1" thickBot="1" x14ac:dyDescent="0.3">
      <c r="A14" s="731"/>
      <c r="B14" s="742"/>
      <c r="C14" s="782"/>
      <c r="D14" s="782"/>
      <c r="E14" s="773"/>
      <c r="F14" s="435" t="s">
        <v>161</v>
      </c>
      <c r="G14" s="435" t="s">
        <v>160</v>
      </c>
      <c r="H14" s="434" t="s">
        <v>159</v>
      </c>
      <c r="I14" s="166" t="s">
        <v>158</v>
      </c>
      <c r="J14" s="433" t="s">
        <v>157</v>
      </c>
      <c r="K14" s="773"/>
      <c r="L14" s="432" t="s">
        <v>156</v>
      </c>
      <c r="M14" s="432" t="s">
        <v>155</v>
      </c>
      <c r="N14" s="431" t="s">
        <v>154</v>
      </c>
      <c r="O14" s="431" t="s">
        <v>153</v>
      </c>
      <c r="P14" s="164" t="s">
        <v>152</v>
      </c>
      <c r="Q14" s="740"/>
    </row>
    <row r="15" spans="1:20" s="64" customFormat="1" ht="19.5" customHeight="1" x14ac:dyDescent="0.25">
      <c r="A15" s="427" t="s">
        <v>151</v>
      </c>
      <c r="B15" s="427" t="s">
        <v>243</v>
      </c>
      <c r="C15" s="430" t="s">
        <v>150</v>
      </c>
      <c r="D15" s="430" t="s">
        <v>230</v>
      </c>
      <c r="E15" s="428" t="s">
        <v>149</v>
      </c>
      <c r="F15" s="430" t="s">
        <v>148</v>
      </c>
      <c r="G15" s="430" t="s">
        <v>147</v>
      </c>
      <c r="H15" s="429" t="s">
        <v>146</v>
      </c>
      <c r="I15" s="427" t="s">
        <v>145</v>
      </c>
      <c r="J15" s="428" t="s">
        <v>144</v>
      </c>
      <c r="K15" s="428" t="s">
        <v>143</v>
      </c>
      <c r="L15" s="428" t="s">
        <v>142</v>
      </c>
      <c r="M15" s="428" t="s">
        <v>141</v>
      </c>
      <c r="N15" s="428" t="s">
        <v>140</v>
      </c>
      <c r="O15" s="428" t="s">
        <v>139</v>
      </c>
      <c r="P15" s="427" t="s">
        <v>138</v>
      </c>
      <c r="Q15" s="426" t="s">
        <v>229</v>
      </c>
      <c r="T15" s="425"/>
    </row>
    <row r="16" spans="1:20" s="538" customFormat="1" ht="25.5" customHeight="1" x14ac:dyDescent="0.25">
      <c r="A16" s="543" t="s">
        <v>135</v>
      </c>
      <c r="B16" s="542"/>
      <c r="C16" s="541" t="e">
        <f>#REF!+#REF!+#REF!+#REF!+#REF!</f>
        <v>#REF!</v>
      </c>
      <c r="D16" s="541" t="e">
        <f>#REF!+#REF!+#REF!+#REF!+#REF!</f>
        <v>#REF!</v>
      </c>
      <c r="E16" s="541"/>
      <c r="F16" s="541" t="e">
        <f>#REF!+#REF!+#REF!+#REF!+#REF!</f>
        <v>#REF!</v>
      </c>
      <c r="G16" s="541" t="e">
        <f>#REF!+#REF!+#REF!+#REF!+#REF!</f>
        <v>#REF!</v>
      </c>
      <c r="H16" s="541" t="e">
        <f>#REF!+#REF!+#REF!+#REF!+#REF!</f>
        <v>#REF!</v>
      </c>
      <c r="I16" s="541"/>
      <c r="J16" s="541"/>
      <c r="K16" s="541"/>
      <c r="L16" s="541"/>
      <c r="M16" s="541"/>
      <c r="N16" s="541" t="e">
        <f>#REF!+#REF!+#REF!+#REF!+#REF!</f>
        <v>#REF!</v>
      </c>
      <c r="O16" s="541"/>
      <c r="P16" s="541" t="e">
        <f>#REF!+#REF!+#REF!+#REF!+#REF!</f>
        <v>#REF!</v>
      </c>
      <c r="Q16" s="540"/>
      <c r="T16" s="539"/>
    </row>
    <row r="17" spans="1:20" s="64" customFormat="1" ht="24.95" customHeight="1" x14ac:dyDescent="0.25">
      <c r="A17" s="537" t="s">
        <v>134</v>
      </c>
      <c r="B17" s="535"/>
      <c r="C17" s="371"/>
      <c r="D17" s="369"/>
      <c r="E17" s="370"/>
      <c r="F17" s="369"/>
      <c r="G17" s="368"/>
      <c r="H17" s="367"/>
      <c r="I17" s="366"/>
      <c r="J17" s="365"/>
      <c r="K17" s="364"/>
      <c r="L17" s="363"/>
      <c r="M17" s="362"/>
      <c r="N17" s="361"/>
      <c r="O17" s="361"/>
      <c r="P17" s="360"/>
      <c r="Q17" s="359"/>
      <c r="T17" s="310"/>
    </row>
    <row r="18" spans="1:20" s="64" customFormat="1" ht="24.95" customHeight="1" x14ac:dyDescent="0.25">
      <c r="A18" s="532" t="s">
        <v>7</v>
      </c>
      <c r="B18" s="533"/>
      <c r="C18" s="335">
        <v>800</v>
      </c>
      <c r="D18" s="333">
        <v>784.99990000000003</v>
      </c>
      <c r="E18" s="334" t="s">
        <v>122</v>
      </c>
      <c r="F18" s="333"/>
      <c r="G18" s="333">
        <v>784.99990000000003</v>
      </c>
      <c r="H18" s="332">
        <f>SUM(F18:G18)</f>
        <v>784.99990000000003</v>
      </c>
      <c r="I18" s="534">
        <v>3.51</v>
      </c>
      <c r="J18" s="330">
        <f>3.51*0.8</f>
        <v>2.8079999999999998</v>
      </c>
      <c r="K18" s="329">
        <f>(I18-J18)/I18</f>
        <v>0.2</v>
      </c>
      <c r="L18" s="328">
        <v>43768</v>
      </c>
      <c r="M18" s="327">
        <f>(H18*L18)*K18</f>
        <v>6871575.1246400001</v>
      </c>
      <c r="N18" s="383">
        <f>H18*I18*K18</f>
        <v>551.06992979999995</v>
      </c>
      <c r="O18" s="383">
        <v>17</v>
      </c>
      <c r="P18" s="384">
        <f>N18*1000*17</f>
        <v>9368188.8065999988</v>
      </c>
      <c r="Q18" s="532"/>
      <c r="T18" s="310"/>
    </row>
    <row r="19" spans="1:20" s="461" customFormat="1" ht="24.95" customHeight="1" x14ac:dyDescent="0.25">
      <c r="A19" s="546" t="s">
        <v>264</v>
      </c>
      <c r="B19" s="547"/>
      <c r="C19" s="448">
        <v>300</v>
      </c>
      <c r="D19" s="449">
        <v>250</v>
      </c>
      <c r="E19" s="450">
        <v>0</v>
      </c>
      <c r="F19" s="449">
        <v>151</v>
      </c>
      <c r="G19" s="449">
        <v>99</v>
      </c>
      <c r="H19" s="451">
        <v>250</v>
      </c>
      <c r="I19" s="548">
        <v>7.02</v>
      </c>
      <c r="J19" s="454">
        <v>5.2649999999999997</v>
      </c>
      <c r="K19" s="455">
        <v>0.5</v>
      </c>
      <c r="L19" s="456">
        <v>51238</v>
      </c>
      <c r="M19" s="457">
        <v>3371188</v>
      </c>
      <c r="N19" s="465">
        <v>287.82</v>
      </c>
      <c r="O19" s="465">
        <v>34</v>
      </c>
      <c r="P19" s="466">
        <v>4892940</v>
      </c>
      <c r="Q19" s="546"/>
      <c r="T19" s="462"/>
    </row>
    <row r="20" spans="1:20" s="64" customFormat="1" ht="24.95" customHeight="1" x14ac:dyDescent="0.25">
      <c r="A20" s="532" t="s">
        <v>9</v>
      </c>
      <c r="B20" s="533"/>
      <c r="C20" s="335">
        <v>10</v>
      </c>
      <c r="D20" s="333">
        <v>12.5</v>
      </c>
      <c r="E20" s="334" t="s">
        <v>125</v>
      </c>
      <c r="F20" s="333"/>
      <c r="G20" s="333">
        <v>12.5</v>
      </c>
      <c r="H20" s="332">
        <f>SUM(F20:G20)</f>
        <v>12.5</v>
      </c>
      <c r="I20" s="534">
        <v>3.51</v>
      </c>
      <c r="J20" s="330">
        <f>3.51*0.6</f>
        <v>2.1059999999999999</v>
      </c>
      <c r="K20" s="329">
        <f>(I20-J20)/I20</f>
        <v>0.4</v>
      </c>
      <c r="L20" s="328">
        <v>43768</v>
      </c>
      <c r="M20" s="327">
        <f>(H20*L20)*K20</f>
        <v>218840</v>
      </c>
      <c r="N20" s="383">
        <f>H20*I20*K20</f>
        <v>17.55</v>
      </c>
      <c r="O20" s="383">
        <v>17</v>
      </c>
      <c r="P20" s="384">
        <f>N20*1000*17</f>
        <v>298350</v>
      </c>
      <c r="Q20" s="532"/>
      <c r="T20" s="310"/>
    </row>
    <row r="21" spans="1:20" s="461" customFormat="1" ht="24.95" customHeight="1" x14ac:dyDescent="0.25">
      <c r="A21" s="546" t="s">
        <v>11</v>
      </c>
      <c r="B21" s="547"/>
      <c r="C21" s="448">
        <v>961</v>
      </c>
      <c r="D21" s="448">
        <v>843</v>
      </c>
      <c r="E21" s="448">
        <v>0</v>
      </c>
      <c r="F21" s="448">
        <v>726</v>
      </c>
      <c r="G21" s="448">
        <v>117</v>
      </c>
      <c r="H21" s="448">
        <v>843</v>
      </c>
      <c r="I21" s="448">
        <v>7.02</v>
      </c>
      <c r="J21" s="448">
        <v>5.2649999999999997</v>
      </c>
      <c r="K21" s="448">
        <v>0.5</v>
      </c>
      <c r="L21" s="448">
        <v>51238</v>
      </c>
      <c r="M21" s="448">
        <v>14088161.600000001</v>
      </c>
      <c r="N21" s="448">
        <v>1141.452</v>
      </c>
      <c r="O21" s="448">
        <v>34</v>
      </c>
      <c r="P21" s="448">
        <v>19404684</v>
      </c>
      <c r="Q21" s="546"/>
      <c r="T21" s="462"/>
    </row>
    <row r="22" spans="1:20" s="64" customFormat="1" ht="24.95" customHeight="1" x14ac:dyDescent="0.25">
      <c r="A22" s="532" t="s">
        <v>263</v>
      </c>
      <c r="B22" s="533"/>
      <c r="C22" s="335">
        <v>73</v>
      </c>
      <c r="D22" s="333">
        <v>69</v>
      </c>
      <c r="E22" s="334" t="s">
        <v>123</v>
      </c>
      <c r="F22" s="333">
        <v>27.2</v>
      </c>
      <c r="G22" s="333">
        <v>41.3</v>
      </c>
      <c r="H22" s="332">
        <f>SUM(F22:G22)</f>
        <v>68.5</v>
      </c>
      <c r="I22" s="534">
        <v>3.51</v>
      </c>
      <c r="J22" s="330">
        <f>3.51*0.9</f>
        <v>3.1589999999999998</v>
      </c>
      <c r="K22" s="329">
        <f>(I22-J22)/I22</f>
        <v>0.1</v>
      </c>
      <c r="L22" s="328">
        <v>7470</v>
      </c>
      <c r="M22" s="327">
        <f>(H22*L22)*K22</f>
        <v>51169.5</v>
      </c>
      <c r="N22" s="383">
        <f>H22*I22*K22</f>
        <v>24.043499999999998</v>
      </c>
      <c r="O22" s="383">
        <v>17</v>
      </c>
      <c r="P22" s="384">
        <f>N22*1000*17</f>
        <v>408739.49999999994</v>
      </c>
      <c r="Q22" s="532"/>
      <c r="T22" s="310"/>
    </row>
    <row r="23" spans="1:20" s="64" customFormat="1" ht="24.95" customHeight="1" x14ac:dyDescent="0.25">
      <c r="A23" s="532" t="s">
        <v>12</v>
      </c>
      <c r="B23" s="533"/>
      <c r="C23" s="335">
        <v>60</v>
      </c>
      <c r="D23" s="333">
        <v>35</v>
      </c>
      <c r="E23" s="334" t="s">
        <v>123</v>
      </c>
      <c r="F23" s="333">
        <v>21</v>
      </c>
      <c r="G23" s="333">
        <v>14</v>
      </c>
      <c r="H23" s="332">
        <f>SUM(F23:G23)</f>
        <v>35</v>
      </c>
      <c r="I23" s="534">
        <v>3.51</v>
      </c>
      <c r="J23" s="330">
        <f>3.51*0.9</f>
        <v>3.1589999999999998</v>
      </c>
      <c r="K23" s="329">
        <f>(I23-J23)/I23</f>
        <v>0.1</v>
      </c>
      <c r="L23" s="328">
        <v>7470</v>
      </c>
      <c r="M23" s="327">
        <f>(H23*L23)*K23</f>
        <v>26145</v>
      </c>
      <c r="N23" s="383">
        <f>H23*I23*K23</f>
        <v>12.285</v>
      </c>
      <c r="O23" s="383">
        <v>17</v>
      </c>
      <c r="P23" s="384">
        <f>N23*1000*17</f>
        <v>208845</v>
      </c>
      <c r="Q23" s="532"/>
      <c r="T23" s="310"/>
    </row>
    <row r="24" spans="1:20" s="461" customFormat="1" ht="24.95" customHeight="1" x14ac:dyDescent="0.25">
      <c r="A24" s="546" t="s">
        <v>18</v>
      </c>
      <c r="B24" s="547"/>
      <c r="C24" s="448">
        <v>93</v>
      </c>
      <c r="D24" s="448">
        <v>84</v>
      </c>
      <c r="E24" s="448">
        <v>0</v>
      </c>
      <c r="F24" s="448">
        <v>12.05</v>
      </c>
      <c r="G24" s="448">
        <v>72.2</v>
      </c>
      <c r="H24" s="448">
        <v>84.25</v>
      </c>
      <c r="I24" s="448">
        <v>7.02</v>
      </c>
      <c r="J24" s="448">
        <v>5.2649999999999997</v>
      </c>
      <c r="K24" s="448">
        <v>0.5</v>
      </c>
      <c r="L24" s="448">
        <v>51238</v>
      </c>
      <c r="M24" s="448">
        <v>1370230.35</v>
      </c>
      <c r="N24" s="448">
        <v>111.70574999999999</v>
      </c>
      <c r="O24" s="448">
        <v>34</v>
      </c>
      <c r="P24" s="448">
        <v>1898997.75</v>
      </c>
      <c r="Q24" s="546"/>
      <c r="T24" s="462"/>
    </row>
    <row r="25" spans="1:20" s="461" customFormat="1" ht="24.95" customHeight="1" x14ac:dyDescent="0.25">
      <c r="A25" s="546" t="s">
        <v>21</v>
      </c>
      <c r="B25" s="547"/>
      <c r="C25" s="448">
        <v>320</v>
      </c>
      <c r="D25" s="448">
        <v>303</v>
      </c>
      <c r="E25" s="448">
        <v>0</v>
      </c>
      <c r="F25" s="448">
        <v>89</v>
      </c>
      <c r="G25" s="448">
        <v>214</v>
      </c>
      <c r="H25" s="448">
        <v>303</v>
      </c>
      <c r="I25" s="448">
        <v>7.02</v>
      </c>
      <c r="J25" s="448">
        <v>5.2649999999999997</v>
      </c>
      <c r="K25" s="448">
        <v>0.5</v>
      </c>
      <c r="L25" s="448">
        <v>51238</v>
      </c>
      <c r="M25" s="448">
        <v>3796263.6</v>
      </c>
      <c r="N25" s="448">
        <v>330.642</v>
      </c>
      <c r="O25" s="448">
        <v>34</v>
      </c>
      <c r="P25" s="448">
        <v>5620914</v>
      </c>
      <c r="Q25" s="546"/>
      <c r="T25" s="462"/>
    </row>
    <row r="26" spans="1:20" s="461" customFormat="1" ht="24.95" customHeight="1" x14ac:dyDescent="0.25">
      <c r="A26" s="546" t="s">
        <v>24</v>
      </c>
      <c r="B26" s="547"/>
      <c r="C26" s="448">
        <v>33.5</v>
      </c>
      <c r="D26" s="449">
        <v>64</v>
      </c>
      <c r="E26" s="450">
        <v>0</v>
      </c>
      <c r="F26" s="449">
        <v>55.7</v>
      </c>
      <c r="G26" s="449">
        <v>8.8000000000000007</v>
      </c>
      <c r="H26" s="451">
        <v>64.5</v>
      </c>
      <c r="I26" s="548">
        <v>10.53</v>
      </c>
      <c r="J26" s="454">
        <v>8.0730000000000004</v>
      </c>
      <c r="K26" s="455">
        <v>0.70000000000000007</v>
      </c>
      <c r="L26" s="456">
        <v>84702</v>
      </c>
      <c r="M26" s="457">
        <v>382028.4</v>
      </c>
      <c r="N26" s="465">
        <v>43.524000000000001</v>
      </c>
      <c r="O26" s="465">
        <v>51</v>
      </c>
      <c r="P26" s="466">
        <v>739908</v>
      </c>
      <c r="Q26" s="546"/>
      <c r="T26" s="462"/>
    </row>
    <row r="27" spans="1:20" s="64" customFormat="1" ht="24.95" customHeight="1" x14ac:dyDescent="0.25">
      <c r="A27" s="532" t="s">
        <v>26</v>
      </c>
      <c r="B27" s="533"/>
      <c r="C27" s="335">
        <v>13</v>
      </c>
      <c r="D27" s="333">
        <v>13.1</v>
      </c>
      <c r="E27" s="334" t="s">
        <v>123</v>
      </c>
      <c r="F27" s="333">
        <v>9</v>
      </c>
      <c r="G27" s="333">
        <v>4</v>
      </c>
      <c r="H27" s="332">
        <f>SUM(F27:G27)</f>
        <v>13</v>
      </c>
      <c r="I27" s="534">
        <v>3.51</v>
      </c>
      <c r="J27" s="330">
        <f>3.51*0.9</f>
        <v>3.1589999999999998</v>
      </c>
      <c r="K27" s="329">
        <f>(I27-J27)/I27</f>
        <v>0.1</v>
      </c>
      <c r="L27" s="328">
        <v>43768</v>
      </c>
      <c r="M27" s="327">
        <f>(H27*L27)*K27</f>
        <v>56898.400000000001</v>
      </c>
      <c r="N27" s="383">
        <f>H27*I27*K27</f>
        <v>4.5629999999999997</v>
      </c>
      <c r="O27" s="383">
        <v>17</v>
      </c>
      <c r="P27" s="384">
        <f>N27*1000*17</f>
        <v>77571</v>
      </c>
      <c r="Q27" s="532"/>
      <c r="T27" s="310"/>
    </row>
    <row r="28" spans="1:20" s="64" customFormat="1" ht="24.95" customHeight="1" x14ac:dyDescent="0.25">
      <c r="A28" s="532" t="s">
        <v>30</v>
      </c>
      <c r="B28" s="533"/>
      <c r="C28" s="335">
        <v>489</v>
      </c>
      <c r="D28" s="333">
        <v>573.99999990000003</v>
      </c>
      <c r="E28" s="334" t="s">
        <v>125</v>
      </c>
      <c r="F28" s="333">
        <v>21.771000000000001</v>
      </c>
      <c r="G28" s="333">
        <v>552</v>
      </c>
      <c r="H28" s="332">
        <f>SUM(F28:G28)</f>
        <v>573.77099999999996</v>
      </c>
      <c r="I28" s="534">
        <v>3.51</v>
      </c>
      <c r="J28" s="330">
        <f>3.51*0.6</f>
        <v>2.1059999999999999</v>
      </c>
      <c r="K28" s="329">
        <f>(I28-J28)/I28</f>
        <v>0.4</v>
      </c>
      <c r="L28" s="328">
        <v>43768</v>
      </c>
      <c r="M28" s="327">
        <f>(H28*L28)*K28</f>
        <v>10045123.6512</v>
      </c>
      <c r="N28" s="383">
        <f>H28*I28*K28</f>
        <v>805.57448399999987</v>
      </c>
      <c r="O28" s="383">
        <v>17</v>
      </c>
      <c r="P28" s="384">
        <f>N28*1000*17</f>
        <v>13694766.227999996</v>
      </c>
      <c r="Q28" s="532"/>
      <c r="T28" s="310"/>
    </row>
    <row r="29" spans="1:20" s="64" customFormat="1" ht="24.95" customHeight="1" x14ac:dyDescent="0.25">
      <c r="A29" s="532" t="s">
        <v>29</v>
      </c>
      <c r="B29" s="533"/>
      <c r="C29" s="335">
        <v>49</v>
      </c>
      <c r="D29" s="333">
        <v>52.5</v>
      </c>
      <c r="E29" s="334" t="s">
        <v>122</v>
      </c>
      <c r="F29" s="333">
        <v>5.36</v>
      </c>
      <c r="G29" s="333">
        <v>1.34</v>
      </c>
      <c r="H29" s="332">
        <f>SUM(F29:G29)</f>
        <v>6.7</v>
      </c>
      <c r="I29" s="534">
        <v>3.51</v>
      </c>
      <c r="J29" s="330">
        <f>3.51*0.8</f>
        <v>2.8079999999999998</v>
      </c>
      <c r="K29" s="329">
        <f>(I29-J29)/I29</f>
        <v>0.2</v>
      </c>
      <c r="L29" s="328">
        <v>43768</v>
      </c>
      <c r="M29" s="327">
        <f>(H29*L29)*K29</f>
        <v>58649.12000000001</v>
      </c>
      <c r="N29" s="383">
        <f>H29*I29*K29</f>
        <v>4.7034000000000002</v>
      </c>
      <c r="O29" s="383">
        <v>17</v>
      </c>
      <c r="P29" s="384">
        <f>N29*1000*17</f>
        <v>79957.8</v>
      </c>
      <c r="Q29" s="532"/>
      <c r="T29" s="310"/>
    </row>
    <row r="30" spans="1:20" s="461" customFormat="1" ht="24.95" customHeight="1" x14ac:dyDescent="0.25">
      <c r="A30" s="546" t="s">
        <v>13</v>
      </c>
      <c r="B30" s="547"/>
      <c r="C30" s="448">
        <v>273</v>
      </c>
      <c r="D30" s="449">
        <v>275.55555555555497</v>
      </c>
      <c r="E30" s="450">
        <v>0</v>
      </c>
      <c r="F30" s="449">
        <v>35</v>
      </c>
      <c r="G30" s="449">
        <v>240.555555555555</v>
      </c>
      <c r="H30" s="451">
        <v>275.55555555555497</v>
      </c>
      <c r="I30" s="548">
        <v>7.02</v>
      </c>
      <c r="J30" s="454">
        <v>5.9669999999999996</v>
      </c>
      <c r="K30" s="455">
        <v>0.30000000000000004</v>
      </c>
      <c r="L30" s="456">
        <v>51238</v>
      </c>
      <c r="M30" s="457">
        <v>1851641.1111111064</v>
      </c>
      <c r="N30" s="465">
        <v>168.86999999999961</v>
      </c>
      <c r="O30" s="465">
        <v>34</v>
      </c>
      <c r="P30" s="466">
        <v>2870789.9999999935</v>
      </c>
      <c r="Q30" s="546"/>
      <c r="T30" s="462"/>
    </row>
    <row r="31" spans="1:20" s="64" customFormat="1" ht="24.95" customHeight="1" x14ac:dyDescent="0.25">
      <c r="A31" s="532" t="s">
        <v>14</v>
      </c>
      <c r="B31" s="533"/>
      <c r="C31" s="335">
        <v>750</v>
      </c>
      <c r="D31" s="333">
        <v>744</v>
      </c>
      <c r="E31" s="334" t="s">
        <v>122</v>
      </c>
      <c r="F31" s="333"/>
      <c r="G31" s="333">
        <v>744</v>
      </c>
      <c r="H31" s="332">
        <f>SUM(F31:G31)</f>
        <v>744</v>
      </c>
      <c r="I31" s="534">
        <v>3.51</v>
      </c>
      <c r="J31" s="330">
        <f>3.51*0.8</f>
        <v>2.8079999999999998</v>
      </c>
      <c r="K31" s="329">
        <f>(I31-J31)/I31</f>
        <v>0.2</v>
      </c>
      <c r="L31" s="328">
        <v>43768</v>
      </c>
      <c r="M31" s="327">
        <f>(H31*L31)*K31</f>
        <v>6512678.4000000004</v>
      </c>
      <c r="N31" s="383">
        <f>H31*I31*K31</f>
        <v>522.28800000000001</v>
      </c>
      <c r="O31" s="383">
        <v>17</v>
      </c>
      <c r="P31" s="384">
        <f>N31*1000*17</f>
        <v>8878896</v>
      </c>
      <c r="Q31" s="532"/>
      <c r="T31" s="310"/>
    </row>
    <row r="32" spans="1:20" s="461" customFormat="1" ht="24.95" customHeight="1" x14ac:dyDescent="0.25">
      <c r="A32" s="546" t="s">
        <v>15</v>
      </c>
      <c r="B32" s="547"/>
      <c r="C32" s="448">
        <v>62</v>
      </c>
      <c r="D32" s="448">
        <v>61</v>
      </c>
      <c r="E32" s="448">
        <v>0</v>
      </c>
      <c r="F32" s="448">
        <v>0</v>
      </c>
      <c r="G32" s="448">
        <v>61</v>
      </c>
      <c r="H32" s="448">
        <v>61</v>
      </c>
      <c r="I32" s="448">
        <v>7.02</v>
      </c>
      <c r="J32" s="448">
        <v>5.9669999999999996</v>
      </c>
      <c r="K32" s="448">
        <v>0.30000000000000004</v>
      </c>
      <c r="L32" s="448">
        <v>51238</v>
      </c>
      <c r="M32" s="448">
        <v>413870.60000000003</v>
      </c>
      <c r="N32" s="448">
        <v>37.556999999999995</v>
      </c>
      <c r="O32" s="448">
        <v>34</v>
      </c>
      <c r="P32" s="448">
        <v>638468.99999999988</v>
      </c>
      <c r="Q32" s="546"/>
      <c r="T32" s="462"/>
    </row>
    <row r="33" spans="1:20" s="64" customFormat="1" ht="24.95" customHeight="1" x14ac:dyDescent="0.25">
      <c r="A33" s="532" t="s">
        <v>28</v>
      </c>
      <c r="B33" s="533"/>
      <c r="C33" s="335">
        <v>7</v>
      </c>
      <c r="D33" s="333">
        <v>6</v>
      </c>
      <c r="E33" s="334" t="s">
        <v>122</v>
      </c>
      <c r="F33" s="333"/>
      <c r="G33" s="333">
        <v>6</v>
      </c>
      <c r="H33" s="332">
        <f t="shared" ref="H33:H38" si="0">SUM(F33:G33)</f>
        <v>6</v>
      </c>
      <c r="I33" s="534">
        <v>3.51</v>
      </c>
      <c r="J33" s="330">
        <f t="shared" ref="J33:J38" si="1">3.51*0.8</f>
        <v>2.8079999999999998</v>
      </c>
      <c r="K33" s="329">
        <f t="shared" ref="K33:K38" si="2">(I33-J33)/I33</f>
        <v>0.2</v>
      </c>
      <c r="L33" s="328">
        <v>43768</v>
      </c>
      <c r="M33" s="327">
        <f t="shared" ref="M33:M38" si="3">(H33*L33)*K33</f>
        <v>52521.600000000006</v>
      </c>
      <c r="N33" s="383">
        <f t="shared" ref="N33:N38" si="4">H33*I33*K33</f>
        <v>4.2119999999999997</v>
      </c>
      <c r="O33" s="383">
        <v>17</v>
      </c>
      <c r="P33" s="384">
        <f t="shared" ref="P33:P38" si="5">N33*1000*17</f>
        <v>71604</v>
      </c>
      <c r="Q33" s="532"/>
      <c r="T33" s="310"/>
    </row>
    <row r="34" spans="1:20" s="64" customFormat="1" ht="24.95" customHeight="1" x14ac:dyDescent="0.25">
      <c r="A34" s="532" t="s">
        <v>20</v>
      </c>
      <c r="B34" s="533"/>
      <c r="C34" s="335">
        <v>350</v>
      </c>
      <c r="D34" s="333">
        <v>300</v>
      </c>
      <c r="E34" s="334" t="s">
        <v>122</v>
      </c>
      <c r="F34" s="333"/>
      <c r="G34" s="333">
        <v>300</v>
      </c>
      <c r="H34" s="332">
        <f t="shared" si="0"/>
        <v>300</v>
      </c>
      <c r="I34" s="534">
        <v>3.51</v>
      </c>
      <c r="J34" s="330">
        <f t="shared" si="1"/>
        <v>2.8079999999999998</v>
      </c>
      <c r="K34" s="329">
        <f t="shared" si="2"/>
        <v>0.2</v>
      </c>
      <c r="L34" s="328">
        <v>43768</v>
      </c>
      <c r="M34" s="327">
        <f t="shared" si="3"/>
        <v>2626080</v>
      </c>
      <c r="N34" s="383">
        <f t="shared" si="4"/>
        <v>210.60000000000002</v>
      </c>
      <c r="O34" s="383">
        <v>17</v>
      </c>
      <c r="P34" s="384">
        <f t="shared" si="5"/>
        <v>3580200.0000000005</v>
      </c>
      <c r="Q34" s="532"/>
      <c r="T34" s="310"/>
    </row>
    <row r="35" spans="1:20" s="64" customFormat="1" ht="24.95" customHeight="1" x14ac:dyDescent="0.25">
      <c r="A35" s="532" t="s">
        <v>262</v>
      </c>
      <c r="B35" s="533"/>
      <c r="C35" s="335">
        <v>6</v>
      </c>
      <c r="D35" s="333">
        <v>12</v>
      </c>
      <c r="E35" s="334" t="s">
        <v>122</v>
      </c>
      <c r="F35" s="333">
        <v>0.97499999999999998</v>
      </c>
      <c r="G35" s="333">
        <v>2.2799999999999998</v>
      </c>
      <c r="H35" s="332">
        <f t="shared" si="0"/>
        <v>3.2549999999999999</v>
      </c>
      <c r="I35" s="534">
        <v>3.51</v>
      </c>
      <c r="J35" s="330">
        <f t="shared" si="1"/>
        <v>2.8079999999999998</v>
      </c>
      <c r="K35" s="329">
        <f t="shared" si="2"/>
        <v>0.2</v>
      </c>
      <c r="L35" s="328">
        <v>43768</v>
      </c>
      <c r="M35" s="327">
        <f t="shared" si="3"/>
        <v>28492.968000000001</v>
      </c>
      <c r="N35" s="383">
        <f t="shared" si="4"/>
        <v>2.2850099999999998</v>
      </c>
      <c r="O35" s="383">
        <v>17</v>
      </c>
      <c r="P35" s="384">
        <f t="shared" si="5"/>
        <v>38845.17</v>
      </c>
      <c r="Q35" s="532"/>
      <c r="T35" s="310"/>
    </row>
    <row r="36" spans="1:20" s="64" customFormat="1" ht="24.95" customHeight="1" x14ac:dyDescent="0.25">
      <c r="A36" s="532" t="s">
        <v>27</v>
      </c>
      <c r="B36" s="533"/>
      <c r="C36" s="335">
        <v>15</v>
      </c>
      <c r="D36" s="333">
        <v>17.5</v>
      </c>
      <c r="E36" s="334" t="s">
        <v>122</v>
      </c>
      <c r="F36" s="333"/>
      <c r="G36" s="333">
        <v>17.5</v>
      </c>
      <c r="H36" s="332">
        <f t="shared" si="0"/>
        <v>17.5</v>
      </c>
      <c r="I36" s="534">
        <v>3.51</v>
      </c>
      <c r="J36" s="330">
        <f t="shared" si="1"/>
        <v>2.8079999999999998</v>
      </c>
      <c r="K36" s="329">
        <f t="shared" si="2"/>
        <v>0.2</v>
      </c>
      <c r="L36" s="328">
        <v>43768</v>
      </c>
      <c r="M36" s="327">
        <f t="shared" si="3"/>
        <v>153188</v>
      </c>
      <c r="N36" s="383">
        <f t="shared" si="4"/>
        <v>12.285</v>
      </c>
      <c r="O36" s="383">
        <v>17</v>
      </c>
      <c r="P36" s="384">
        <f t="shared" si="5"/>
        <v>208845</v>
      </c>
      <c r="Q36" s="532"/>
      <c r="T36" s="310"/>
    </row>
    <row r="37" spans="1:20" s="64" customFormat="1" ht="24.95" customHeight="1" x14ac:dyDescent="0.25">
      <c r="A37" s="532" t="s">
        <v>100</v>
      </c>
      <c r="B37" s="533"/>
      <c r="C37" s="335">
        <v>1450</v>
      </c>
      <c r="D37" s="333">
        <v>1426.4</v>
      </c>
      <c r="E37" s="334" t="s">
        <v>122</v>
      </c>
      <c r="F37" s="333"/>
      <c r="G37" s="333">
        <v>1426.4</v>
      </c>
      <c r="H37" s="332">
        <f t="shared" si="0"/>
        <v>1426.4</v>
      </c>
      <c r="I37" s="534">
        <v>3.51</v>
      </c>
      <c r="J37" s="330">
        <f t="shared" si="1"/>
        <v>2.8079999999999998</v>
      </c>
      <c r="K37" s="329">
        <f t="shared" si="2"/>
        <v>0.2</v>
      </c>
      <c r="L37" s="328">
        <v>43768</v>
      </c>
      <c r="M37" s="327">
        <f t="shared" si="3"/>
        <v>12486135.040000001</v>
      </c>
      <c r="N37" s="383">
        <f t="shared" si="4"/>
        <v>1001.3328</v>
      </c>
      <c r="O37" s="383">
        <v>17</v>
      </c>
      <c r="P37" s="384">
        <f t="shared" si="5"/>
        <v>17022657.600000001</v>
      </c>
      <c r="Q37" s="532"/>
      <c r="T37" s="310"/>
    </row>
    <row r="38" spans="1:20" s="64" customFormat="1" ht="24.95" customHeight="1" x14ac:dyDescent="0.25">
      <c r="A38" s="532" t="s">
        <v>22</v>
      </c>
      <c r="B38" s="533"/>
      <c r="C38" s="335">
        <v>400</v>
      </c>
      <c r="D38" s="333">
        <v>404</v>
      </c>
      <c r="E38" s="334" t="s">
        <v>122</v>
      </c>
      <c r="F38" s="333"/>
      <c r="G38" s="333">
        <v>404</v>
      </c>
      <c r="H38" s="332">
        <f t="shared" si="0"/>
        <v>404</v>
      </c>
      <c r="I38" s="534">
        <v>3.51</v>
      </c>
      <c r="J38" s="330">
        <f t="shared" si="1"/>
        <v>2.8079999999999998</v>
      </c>
      <c r="K38" s="329">
        <f t="shared" si="2"/>
        <v>0.2</v>
      </c>
      <c r="L38" s="328">
        <v>43768</v>
      </c>
      <c r="M38" s="327">
        <f t="shared" si="3"/>
        <v>3536454.4000000004</v>
      </c>
      <c r="N38" s="383">
        <f t="shared" si="4"/>
        <v>283.608</v>
      </c>
      <c r="O38" s="383">
        <v>17</v>
      </c>
      <c r="P38" s="384">
        <f t="shared" si="5"/>
        <v>4821336</v>
      </c>
      <c r="Q38" s="532"/>
      <c r="T38" s="310"/>
    </row>
    <row r="39" spans="1:20" s="461" customFormat="1" ht="24.95" customHeight="1" x14ac:dyDescent="0.25">
      <c r="A39" s="546" t="s">
        <v>23</v>
      </c>
      <c r="B39" s="547"/>
      <c r="C39" s="448">
        <v>0</v>
      </c>
      <c r="D39" s="448">
        <v>297</v>
      </c>
      <c r="E39" s="448">
        <v>0</v>
      </c>
      <c r="F39" s="448">
        <v>113.5</v>
      </c>
      <c r="G39" s="448">
        <v>183.5</v>
      </c>
      <c r="H39" s="448">
        <v>297</v>
      </c>
      <c r="I39" s="448">
        <v>10.53</v>
      </c>
      <c r="J39" s="448">
        <v>8.7749999999999986</v>
      </c>
      <c r="K39" s="448">
        <v>0.5</v>
      </c>
      <c r="L39" s="448">
        <v>84702</v>
      </c>
      <c r="M39" s="448">
        <v>691172.60000000009</v>
      </c>
      <c r="N39" s="448">
        <v>129.51900000000001</v>
      </c>
      <c r="O39" s="448">
        <v>51</v>
      </c>
      <c r="P39" s="448">
        <v>2201823</v>
      </c>
      <c r="Q39" s="546"/>
      <c r="T39" s="462"/>
    </row>
    <row r="40" spans="1:20" s="64" customFormat="1" ht="24.95" customHeight="1" x14ac:dyDescent="0.25">
      <c r="A40" s="536" t="s">
        <v>261</v>
      </c>
      <c r="B40" s="533"/>
      <c r="C40" s="335">
        <v>1205</v>
      </c>
      <c r="D40" s="333">
        <v>1202</v>
      </c>
      <c r="E40" s="334" t="s">
        <v>122</v>
      </c>
      <c r="F40" s="333"/>
      <c r="G40" s="333">
        <v>1202</v>
      </c>
      <c r="H40" s="332">
        <f>SUM(F40:G40)</f>
        <v>1202</v>
      </c>
      <c r="I40" s="534">
        <v>3.51</v>
      </c>
      <c r="J40" s="330">
        <f>3.51*0.8</f>
        <v>2.8079999999999998</v>
      </c>
      <c r="K40" s="329">
        <f>(I40-J40)/I40</f>
        <v>0.2</v>
      </c>
      <c r="L40" s="328">
        <v>43768</v>
      </c>
      <c r="M40" s="327">
        <f>(H40*L40)*K40</f>
        <v>10521827.200000001</v>
      </c>
      <c r="N40" s="383">
        <f>H40*I40*K40</f>
        <v>843.80399999999997</v>
      </c>
      <c r="O40" s="383">
        <v>17</v>
      </c>
      <c r="P40" s="384">
        <f>N40*1000*17</f>
        <v>14344668</v>
      </c>
      <c r="Q40" s="532"/>
      <c r="T40" s="310"/>
    </row>
    <row r="41" spans="1:20" s="64" customFormat="1" ht="24.95" customHeight="1" x14ac:dyDescent="0.25">
      <c r="A41" s="532" t="s">
        <v>260</v>
      </c>
      <c r="B41" s="533"/>
      <c r="C41" s="335">
        <v>45</v>
      </c>
      <c r="D41" s="333">
        <v>44</v>
      </c>
      <c r="E41" s="334" t="s">
        <v>122</v>
      </c>
      <c r="F41" s="333"/>
      <c r="G41" s="333">
        <v>44</v>
      </c>
      <c r="H41" s="332">
        <f>SUM(F41:G41)</f>
        <v>44</v>
      </c>
      <c r="I41" s="534">
        <v>3.51</v>
      </c>
      <c r="J41" s="330">
        <f>3.51*0.8</f>
        <v>2.8079999999999998</v>
      </c>
      <c r="K41" s="329">
        <f>(I41-J41)/I41</f>
        <v>0.2</v>
      </c>
      <c r="L41" s="328">
        <v>43768</v>
      </c>
      <c r="M41" s="327">
        <f>(H41*L41)*K41</f>
        <v>385158.40000000002</v>
      </c>
      <c r="N41" s="383">
        <f>H41*I41*K41</f>
        <v>30.888000000000002</v>
      </c>
      <c r="O41" s="383">
        <v>17</v>
      </c>
      <c r="P41" s="384">
        <f>N41*1000*17</f>
        <v>525096</v>
      </c>
      <c r="Q41" s="776"/>
      <c r="T41" s="310"/>
    </row>
    <row r="42" spans="1:20" s="64" customFormat="1" ht="24.95" customHeight="1" x14ac:dyDescent="0.25">
      <c r="A42" s="532" t="s">
        <v>259</v>
      </c>
      <c r="B42" s="533"/>
      <c r="C42" s="335">
        <v>1619</v>
      </c>
      <c r="D42" s="333">
        <v>2254.4299999999998</v>
      </c>
      <c r="E42" s="334" t="s">
        <v>123</v>
      </c>
      <c r="F42" s="333">
        <v>834.11</v>
      </c>
      <c r="G42" s="333">
        <f>2254-834</f>
        <v>1420</v>
      </c>
      <c r="H42" s="332">
        <f>SUM(F42:G42)</f>
        <v>2254.11</v>
      </c>
      <c r="I42" s="534">
        <v>3.51</v>
      </c>
      <c r="J42" s="330">
        <f>3.51*0.9</f>
        <v>3.1589999999999998</v>
      </c>
      <c r="K42" s="329">
        <f>(I42-J42)/I42</f>
        <v>0.1</v>
      </c>
      <c r="L42" s="328">
        <v>7470</v>
      </c>
      <c r="M42" s="327">
        <f>(H42*L42)*K42</f>
        <v>1683820.17</v>
      </c>
      <c r="N42" s="383">
        <f>H42*I42*K42</f>
        <v>791.19261000000006</v>
      </c>
      <c r="O42" s="383">
        <v>17</v>
      </c>
      <c r="P42" s="384">
        <f>N42*1000*17</f>
        <v>13450274.370000001</v>
      </c>
      <c r="Q42" s="776"/>
      <c r="T42" s="310"/>
    </row>
    <row r="43" spans="1:20" s="64" customFormat="1" ht="19.5" customHeight="1" x14ac:dyDescent="0.25">
      <c r="A43" s="377"/>
      <c r="B43" s="533"/>
      <c r="C43" s="378"/>
      <c r="D43" s="378"/>
      <c r="E43" s="380"/>
      <c r="F43" s="378"/>
      <c r="G43" s="378"/>
      <c r="H43" s="379"/>
      <c r="I43" s="375"/>
      <c r="J43" s="330"/>
      <c r="K43" s="329"/>
      <c r="L43" s="378"/>
      <c r="M43" s="378"/>
      <c r="N43" s="378"/>
      <c r="O43" s="381"/>
      <c r="P43" s="378"/>
      <c r="Q43" s="337"/>
      <c r="T43" s="310"/>
    </row>
    <row r="44" spans="1:20" s="64" customFormat="1" ht="24.95" customHeight="1" x14ac:dyDescent="0.25">
      <c r="A44" s="385" t="s">
        <v>48</v>
      </c>
      <c r="B44" s="535"/>
      <c r="C44" s="371"/>
      <c r="D44" s="369"/>
      <c r="E44" s="370"/>
      <c r="F44" s="369"/>
      <c r="G44" s="368"/>
      <c r="H44" s="367"/>
      <c r="I44" s="366"/>
      <c r="J44" s="365"/>
      <c r="K44" s="364"/>
      <c r="L44" s="363"/>
      <c r="M44" s="362"/>
      <c r="N44" s="361"/>
      <c r="O44" s="361"/>
      <c r="P44" s="360"/>
      <c r="Q44" s="359"/>
      <c r="T44" s="310"/>
    </row>
    <row r="45" spans="1:20" s="461" customFormat="1" ht="24.95" customHeight="1" x14ac:dyDescent="0.25">
      <c r="A45" s="447" t="s">
        <v>49</v>
      </c>
      <c r="B45" s="547"/>
      <c r="C45" s="448">
        <v>171</v>
      </c>
      <c r="D45" s="448">
        <v>119</v>
      </c>
      <c r="E45" s="448">
        <v>0</v>
      </c>
      <c r="F45" s="448">
        <v>119</v>
      </c>
      <c r="G45" s="448">
        <v>0</v>
      </c>
      <c r="H45" s="448">
        <v>119</v>
      </c>
      <c r="I45" s="448">
        <v>7.02</v>
      </c>
      <c r="J45" s="448">
        <v>5.9669999999999996</v>
      </c>
      <c r="K45" s="448">
        <v>0.30000000000000004</v>
      </c>
      <c r="L45" s="448">
        <v>77232</v>
      </c>
      <c r="M45" s="448">
        <v>603695.20000000007</v>
      </c>
      <c r="N45" s="448">
        <v>55.106999999999999</v>
      </c>
      <c r="O45" s="448">
        <v>34</v>
      </c>
      <c r="P45" s="448">
        <v>936819</v>
      </c>
      <c r="Q45" s="460"/>
      <c r="T45" s="462"/>
    </row>
    <row r="46" spans="1:20" s="64" customFormat="1" ht="24.95" customHeight="1" x14ac:dyDescent="0.25">
      <c r="A46" s="532" t="s">
        <v>50</v>
      </c>
      <c r="B46" s="533"/>
      <c r="C46" s="335">
        <v>579</v>
      </c>
      <c r="D46" s="333">
        <v>791</v>
      </c>
      <c r="E46" s="334" t="s">
        <v>123</v>
      </c>
      <c r="F46" s="333">
        <v>791</v>
      </c>
      <c r="G46" s="333"/>
      <c r="H46" s="332">
        <f>SUM(F46:G46)</f>
        <v>791</v>
      </c>
      <c r="I46" s="534">
        <v>3.51</v>
      </c>
      <c r="J46" s="330">
        <f>3.51*0.9</f>
        <v>3.1589999999999998</v>
      </c>
      <c r="K46" s="329">
        <f>(I46-J46)/I46</f>
        <v>0.1</v>
      </c>
      <c r="L46" s="328">
        <v>7470</v>
      </c>
      <c r="M46" s="327">
        <f>(H46*L46)*K46</f>
        <v>590877</v>
      </c>
      <c r="N46" s="383">
        <f>H46*I46*K46</f>
        <v>277.64100000000002</v>
      </c>
      <c r="O46" s="383">
        <v>17</v>
      </c>
      <c r="P46" s="384">
        <f>N46*1000*17</f>
        <v>4719897</v>
      </c>
      <c r="Q46" s="532"/>
      <c r="T46" s="310"/>
    </row>
    <row r="47" spans="1:20" s="64" customFormat="1" ht="24.95" customHeight="1" x14ac:dyDescent="0.25">
      <c r="A47" s="532" t="s">
        <v>51</v>
      </c>
      <c r="B47" s="533"/>
      <c r="C47" s="335">
        <v>218</v>
      </c>
      <c r="D47" s="333">
        <v>94</v>
      </c>
      <c r="E47" s="334" t="s">
        <v>123</v>
      </c>
      <c r="F47" s="333">
        <v>94</v>
      </c>
      <c r="G47" s="333"/>
      <c r="H47" s="332">
        <f>SUM(F47:G47)</f>
        <v>94</v>
      </c>
      <c r="I47" s="534">
        <v>3.51</v>
      </c>
      <c r="J47" s="330">
        <f>3.51*0.9</f>
        <v>3.1589999999999998</v>
      </c>
      <c r="K47" s="329">
        <f>(I47-J47)/I47</f>
        <v>0.1</v>
      </c>
      <c r="L47" s="328">
        <v>7470</v>
      </c>
      <c r="M47" s="327">
        <f>(H47*L47)*K47</f>
        <v>70218</v>
      </c>
      <c r="N47" s="383">
        <f>H47*I47*K47</f>
        <v>32.994</v>
      </c>
      <c r="O47" s="383">
        <v>17</v>
      </c>
      <c r="P47" s="384">
        <f>N47*1000*17</f>
        <v>560898</v>
      </c>
      <c r="Q47" s="532"/>
      <c r="T47" s="310"/>
    </row>
    <row r="48" spans="1:20" s="64" customFormat="1" ht="24.95" customHeight="1" x14ac:dyDescent="0.25">
      <c r="A48" s="532" t="s">
        <v>47</v>
      </c>
      <c r="B48" s="533"/>
      <c r="C48" s="335">
        <v>3</v>
      </c>
      <c r="D48" s="333">
        <v>5</v>
      </c>
      <c r="E48" s="334" t="s">
        <v>123</v>
      </c>
      <c r="F48" s="333">
        <v>5</v>
      </c>
      <c r="G48" s="333"/>
      <c r="H48" s="332">
        <f>SUM(F48:G48)</f>
        <v>5</v>
      </c>
      <c r="I48" s="534">
        <v>3.51</v>
      </c>
      <c r="J48" s="330">
        <f>3.51*0.9</f>
        <v>3.1589999999999998</v>
      </c>
      <c r="K48" s="329">
        <f>(I48-J48)/I48</f>
        <v>0.1</v>
      </c>
      <c r="L48" s="328">
        <v>43768</v>
      </c>
      <c r="M48" s="327">
        <f>(H48*L48)*K48</f>
        <v>21884</v>
      </c>
      <c r="N48" s="383">
        <f>H48*I48*K48</f>
        <v>1.7549999999999999</v>
      </c>
      <c r="O48" s="383">
        <v>17</v>
      </c>
      <c r="P48" s="384">
        <f>N48*1000*17</f>
        <v>29835</v>
      </c>
      <c r="Q48" s="532"/>
      <c r="T48" s="310"/>
    </row>
    <row r="49" spans="1:20" s="64" customFormat="1" ht="24.95" customHeight="1" x14ac:dyDescent="0.25">
      <c r="A49" s="532" t="s">
        <v>48</v>
      </c>
      <c r="B49" s="533"/>
      <c r="C49" s="335">
        <v>52</v>
      </c>
      <c r="D49" s="333">
        <v>40</v>
      </c>
      <c r="E49" s="334" t="s">
        <v>123</v>
      </c>
      <c r="F49" s="333">
        <v>40</v>
      </c>
      <c r="G49" s="333"/>
      <c r="H49" s="332">
        <f>SUM(F49:G49)</f>
        <v>40</v>
      </c>
      <c r="I49" s="534">
        <v>3.51</v>
      </c>
      <c r="J49" s="330">
        <f>3.51*0.9</f>
        <v>3.1589999999999998</v>
      </c>
      <c r="K49" s="329">
        <f>(I49-J49)/I49</f>
        <v>0.1</v>
      </c>
      <c r="L49" s="328">
        <v>7470</v>
      </c>
      <c r="M49" s="327">
        <f>(H49*L49)*K49</f>
        <v>29880</v>
      </c>
      <c r="N49" s="383">
        <f>H49*I49*K49</f>
        <v>14.04</v>
      </c>
      <c r="O49" s="383">
        <v>17</v>
      </c>
      <c r="P49" s="384">
        <f>N49*1000*17</f>
        <v>238680</v>
      </c>
      <c r="Q49" s="532"/>
      <c r="T49" s="310"/>
    </row>
    <row r="50" spans="1:20" s="64" customFormat="1" ht="24.95" customHeight="1" x14ac:dyDescent="0.25">
      <c r="A50" s="532" t="s">
        <v>52</v>
      </c>
      <c r="B50" s="533"/>
      <c r="C50" s="335">
        <v>15</v>
      </c>
      <c r="D50" s="333">
        <v>5.25</v>
      </c>
      <c r="E50" s="334" t="s">
        <v>123</v>
      </c>
      <c r="F50" s="333">
        <v>5.25</v>
      </c>
      <c r="G50" s="333"/>
      <c r="H50" s="332">
        <f>SUM(F50:G50)</f>
        <v>5.25</v>
      </c>
      <c r="I50" s="534">
        <v>3.51</v>
      </c>
      <c r="J50" s="330">
        <f>3.51*0.9</f>
        <v>3.1589999999999998</v>
      </c>
      <c r="K50" s="329">
        <f>(I50-J50)/I50</f>
        <v>0.1</v>
      </c>
      <c r="L50" s="328">
        <v>7470</v>
      </c>
      <c r="M50" s="327">
        <f>(H50*L50)*K50</f>
        <v>3921.75</v>
      </c>
      <c r="N50" s="383">
        <f>H50*I50*K50</f>
        <v>1.8427499999999999</v>
      </c>
      <c r="O50" s="383">
        <v>17</v>
      </c>
      <c r="P50" s="384">
        <f>N50*1000*17</f>
        <v>31326.75</v>
      </c>
      <c r="Q50" s="532"/>
      <c r="T50" s="310"/>
    </row>
    <row r="51" spans="1:20" s="461" customFormat="1" ht="24.95" customHeight="1" x14ac:dyDescent="0.25">
      <c r="A51" s="546" t="s">
        <v>53</v>
      </c>
      <c r="B51" s="547"/>
      <c r="C51" s="448">
        <v>1210</v>
      </c>
      <c r="D51" s="448">
        <v>983</v>
      </c>
      <c r="E51" s="448">
        <v>0</v>
      </c>
      <c r="F51" s="448">
        <v>879.83</v>
      </c>
      <c r="G51" s="448">
        <v>102.67</v>
      </c>
      <c r="H51" s="448">
        <v>982.5</v>
      </c>
      <c r="I51" s="448">
        <v>7.02</v>
      </c>
      <c r="J51" s="448">
        <v>5.9669999999999996</v>
      </c>
      <c r="K51" s="448">
        <v>0.30000000000000004</v>
      </c>
      <c r="L51" s="448">
        <v>40934</v>
      </c>
      <c r="M51" s="448">
        <v>2856578.1</v>
      </c>
      <c r="N51" s="448">
        <v>470.16449999999998</v>
      </c>
      <c r="O51" s="448">
        <v>34</v>
      </c>
      <c r="P51" s="448">
        <v>7992796.5</v>
      </c>
      <c r="Q51" s="546"/>
      <c r="T51" s="462"/>
    </row>
    <row r="52" spans="1:20" s="64" customFormat="1" ht="19.5" customHeight="1" x14ac:dyDescent="0.25">
      <c r="A52" s="377"/>
      <c r="B52" s="533"/>
      <c r="C52" s="378"/>
      <c r="D52" s="378"/>
      <c r="E52" s="380"/>
      <c r="F52" s="378"/>
      <c r="G52" s="378"/>
      <c r="H52" s="379"/>
      <c r="I52" s="375"/>
      <c r="J52" s="330"/>
      <c r="K52" s="329"/>
      <c r="L52" s="378"/>
      <c r="M52" s="378"/>
      <c r="N52" s="378"/>
      <c r="O52" s="381"/>
      <c r="P52" s="378"/>
      <c r="Q52" s="337"/>
      <c r="T52" s="310"/>
    </row>
    <row r="53" spans="1:20" s="64" customFormat="1" ht="19.5" customHeight="1" x14ac:dyDescent="0.25">
      <c r="A53" s="385" t="s">
        <v>242</v>
      </c>
      <c r="B53" s="535"/>
      <c r="C53" s="371"/>
      <c r="D53" s="369"/>
      <c r="E53" s="370"/>
      <c r="F53" s="369"/>
      <c r="G53" s="368"/>
      <c r="H53" s="367"/>
      <c r="I53" s="366"/>
      <c r="J53" s="365"/>
      <c r="K53" s="364"/>
      <c r="L53" s="363"/>
      <c r="M53" s="362"/>
      <c r="N53" s="361"/>
      <c r="O53" s="361"/>
      <c r="P53" s="360"/>
      <c r="Q53" s="359"/>
      <c r="T53" s="310"/>
    </row>
    <row r="54" spans="1:20" s="461" customFormat="1" ht="19.5" customHeight="1" x14ac:dyDescent="0.25">
      <c r="A54" s="447" t="s">
        <v>55</v>
      </c>
      <c r="B54" s="547"/>
      <c r="C54" s="448">
        <v>2620</v>
      </c>
      <c r="D54" s="448">
        <v>2606.5</v>
      </c>
      <c r="E54" s="448">
        <v>0</v>
      </c>
      <c r="F54" s="448">
        <v>1063</v>
      </c>
      <c r="G54" s="448">
        <v>1543.5</v>
      </c>
      <c r="H54" s="448">
        <v>2606.5</v>
      </c>
      <c r="I54" s="448">
        <v>7.02</v>
      </c>
      <c r="J54" s="448">
        <v>5.6159999999999997</v>
      </c>
      <c r="K54" s="448">
        <v>0.4</v>
      </c>
      <c r="L54" s="448">
        <v>51238</v>
      </c>
      <c r="M54" s="448">
        <v>21060833.399999999</v>
      </c>
      <c r="N54" s="448">
        <v>1998.4184999999998</v>
      </c>
      <c r="O54" s="448">
        <v>34</v>
      </c>
      <c r="P54" s="448">
        <v>33973114.5</v>
      </c>
      <c r="Q54" s="460"/>
      <c r="T54" s="462"/>
    </row>
    <row r="55" spans="1:20" s="461" customFormat="1" ht="24.95" customHeight="1" x14ac:dyDescent="0.25">
      <c r="A55" s="546" t="s">
        <v>102</v>
      </c>
      <c r="B55" s="547"/>
      <c r="C55" s="448">
        <v>1462</v>
      </c>
      <c r="D55" s="448">
        <v>1596.62</v>
      </c>
      <c r="E55" s="448">
        <v>0</v>
      </c>
      <c r="F55" s="448">
        <v>337</v>
      </c>
      <c r="G55" s="448">
        <v>1259.6199999999999</v>
      </c>
      <c r="H55" s="448">
        <v>1596.62</v>
      </c>
      <c r="I55" s="448">
        <v>14.04</v>
      </c>
      <c r="J55" s="448">
        <v>10.179</v>
      </c>
      <c r="K55" s="448">
        <v>1.1000000000000001</v>
      </c>
      <c r="L55" s="448">
        <v>128470</v>
      </c>
      <c r="M55" s="448">
        <v>13763841.939999999</v>
      </c>
      <c r="N55" s="448">
        <v>1331.2096200000001</v>
      </c>
      <c r="O55" s="448">
        <v>68</v>
      </c>
      <c r="P55" s="448">
        <v>22630563.539999999</v>
      </c>
      <c r="Q55" s="546"/>
      <c r="T55" s="462"/>
    </row>
    <row r="56" spans="1:20" s="64" customFormat="1" ht="24.95" customHeight="1" x14ac:dyDescent="0.25">
      <c r="A56" s="532" t="s">
        <v>56</v>
      </c>
      <c r="B56" s="533"/>
      <c r="C56" s="335"/>
      <c r="D56" s="333">
        <v>200</v>
      </c>
      <c r="E56" s="334" t="s">
        <v>123</v>
      </c>
      <c r="F56" s="333">
        <v>200</v>
      </c>
      <c r="G56" s="333"/>
      <c r="H56" s="332">
        <f>SUM(F56:G56)</f>
        <v>200</v>
      </c>
      <c r="I56" s="534">
        <v>3.51</v>
      </c>
      <c r="J56" s="330">
        <f>3.51*0.9</f>
        <v>3.1589999999999998</v>
      </c>
      <c r="K56" s="329">
        <f>(I56-J56)/I56</f>
        <v>0.1</v>
      </c>
      <c r="L56" s="328">
        <v>7470</v>
      </c>
      <c r="M56" s="327">
        <f>(H56*L56)*K56</f>
        <v>149400</v>
      </c>
      <c r="N56" s="383">
        <f>H56*I56*K56</f>
        <v>70.2</v>
      </c>
      <c r="O56" s="383">
        <v>17</v>
      </c>
      <c r="P56" s="384">
        <f>N56*1000*17</f>
        <v>1193400</v>
      </c>
      <c r="Q56" s="532"/>
      <c r="T56" s="310"/>
    </row>
    <row r="57" spans="1:20" s="64" customFormat="1" ht="24.95" customHeight="1" x14ac:dyDescent="0.25">
      <c r="A57" s="532" t="s">
        <v>124</v>
      </c>
      <c r="B57" s="533"/>
      <c r="C57" s="335">
        <v>165</v>
      </c>
      <c r="D57" s="333">
        <v>171</v>
      </c>
      <c r="E57" s="334" t="s">
        <v>123</v>
      </c>
      <c r="F57" s="333">
        <v>131</v>
      </c>
      <c r="G57" s="333">
        <v>40</v>
      </c>
      <c r="H57" s="332">
        <f>SUM(F57:G57)</f>
        <v>171</v>
      </c>
      <c r="I57" s="534">
        <v>3.51</v>
      </c>
      <c r="J57" s="330">
        <f>3.51*0.9</f>
        <v>3.1589999999999998</v>
      </c>
      <c r="K57" s="329">
        <f>(I57-J57)/I57</f>
        <v>0.1</v>
      </c>
      <c r="L57" s="328">
        <v>33464</v>
      </c>
      <c r="M57" s="327">
        <f>(H57*L57)*K57</f>
        <v>572234.4</v>
      </c>
      <c r="N57" s="383">
        <f>H57*I57*K57</f>
        <v>60.020999999999994</v>
      </c>
      <c r="O57" s="383">
        <v>17</v>
      </c>
      <c r="P57" s="384">
        <f>N57*1000*17</f>
        <v>1020356.9999999999</v>
      </c>
      <c r="Q57" s="532"/>
      <c r="T57" s="310"/>
    </row>
    <row r="58" spans="1:20" s="461" customFormat="1" ht="24.95" customHeight="1" x14ac:dyDescent="0.25">
      <c r="A58" s="546" t="s">
        <v>59</v>
      </c>
      <c r="B58" s="547"/>
      <c r="C58" s="448">
        <v>801</v>
      </c>
      <c r="D58" s="448">
        <v>777.64</v>
      </c>
      <c r="E58" s="448">
        <v>0</v>
      </c>
      <c r="F58" s="448">
        <v>405</v>
      </c>
      <c r="G58" s="448">
        <v>373</v>
      </c>
      <c r="H58" s="448">
        <v>778</v>
      </c>
      <c r="I58" s="448">
        <v>14.04</v>
      </c>
      <c r="J58" s="448">
        <v>9.8279999999999994</v>
      </c>
      <c r="K58" s="448">
        <v>1.2000000000000002</v>
      </c>
      <c r="L58" s="448">
        <v>133470</v>
      </c>
      <c r="M58" s="448">
        <v>5440002</v>
      </c>
      <c r="N58" s="448">
        <v>683.39699999999993</v>
      </c>
      <c r="O58" s="448">
        <v>68</v>
      </c>
      <c r="P58" s="448">
        <v>11617749</v>
      </c>
      <c r="Q58" s="546"/>
      <c r="T58" s="462"/>
    </row>
    <row r="59" spans="1:20" s="64" customFormat="1" ht="24.95" customHeight="1" x14ac:dyDescent="0.25">
      <c r="A59" s="532" t="s">
        <v>61</v>
      </c>
      <c r="B59" s="533"/>
      <c r="C59" s="335">
        <v>250</v>
      </c>
      <c r="D59" s="333">
        <v>274.2</v>
      </c>
      <c r="E59" s="334" t="s">
        <v>123</v>
      </c>
      <c r="F59" s="333"/>
      <c r="G59" s="333">
        <v>274.2</v>
      </c>
      <c r="H59" s="332">
        <f>SUM(F59:G59)</f>
        <v>274.2</v>
      </c>
      <c r="I59" s="534">
        <v>3.51</v>
      </c>
      <c r="J59" s="330">
        <f>3.51*0.9</f>
        <v>3.1589999999999998</v>
      </c>
      <c r="K59" s="329">
        <f>(I59-J59)/I59</f>
        <v>0.1</v>
      </c>
      <c r="L59" s="328">
        <v>7470</v>
      </c>
      <c r="M59" s="327">
        <f>(H59*L59)*K59</f>
        <v>204827.40000000002</v>
      </c>
      <c r="N59" s="383">
        <f>H59*I59*K59</f>
        <v>96.244199999999992</v>
      </c>
      <c r="O59" s="383">
        <v>17</v>
      </c>
      <c r="P59" s="384">
        <f>N59*1000*17</f>
        <v>1636151.4</v>
      </c>
      <c r="Q59" s="410"/>
      <c r="T59" s="310"/>
    </row>
    <row r="60" spans="1:20" s="64" customFormat="1" ht="24.95" customHeight="1" x14ac:dyDescent="0.25">
      <c r="A60" s="532" t="s">
        <v>128</v>
      </c>
      <c r="B60" s="533"/>
      <c r="C60" s="335">
        <v>6</v>
      </c>
      <c r="D60" s="333">
        <v>4</v>
      </c>
      <c r="E60" s="334" t="s">
        <v>123</v>
      </c>
      <c r="F60" s="333">
        <v>4</v>
      </c>
      <c r="G60" s="333"/>
      <c r="H60" s="332">
        <v>4</v>
      </c>
      <c r="I60" s="534">
        <v>3.51</v>
      </c>
      <c r="J60" s="330">
        <f>3.51*0.9</f>
        <v>3.1589999999999998</v>
      </c>
      <c r="K60" s="329">
        <f>(I60-J60)/I60</f>
        <v>0.1</v>
      </c>
      <c r="L60" s="328">
        <v>7470</v>
      </c>
      <c r="M60" s="327">
        <f>(H60*L60)*K60</f>
        <v>2988</v>
      </c>
      <c r="N60" s="383">
        <f>H60*I60*K60</f>
        <v>1.4039999999999999</v>
      </c>
      <c r="O60" s="383">
        <v>17</v>
      </c>
      <c r="P60" s="384">
        <f>N60*1000*17</f>
        <v>23868</v>
      </c>
      <c r="Q60" s="410"/>
      <c r="T60" s="310"/>
    </row>
    <row r="61" spans="1:20" s="461" customFormat="1" ht="24.95" customHeight="1" x14ac:dyDescent="0.25">
      <c r="A61" s="546" t="s">
        <v>63</v>
      </c>
      <c r="B61" s="547"/>
      <c r="C61" s="448">
        <v>265</v>
      </c>
      <c r="D61" s="448">
        <v>249</v>
      </c>
      <c r="E61" s="448">
        <v>0</v>
      </c>
      <c r="F61" s="448">
        <v>248.5</v>
      </c>
      <c r="G61" s="448">
        <v>0</v>
      </c>
      <c r="H61" s="448">
        <v>248.5</v>
      </c>
      <c r="I61" s="448">
        <v>10.53</v>
      </c>
      <c r="J61" s="448">
        <v>8.0730000000000004</v>
      </c>
      <c r="K61" s="448">
        <v>0.7</v>
      </c>
      <c r="L61" s="448">
        <v>84702</v>
      </c>
      <c r="M61" s="448">
        <v>1569553.5</v>
      </c>
      <c r="N61" s="448">
        <v>168.65549999999999</v>
      </c>
      <c r="O61" s="448">
        <v>51</v>
      </c>
      <c r="P61" s="448">
        <v>2867143.5</v>
      </c>
      <c r="Q61" s="549"/>
      <c r="T61" s="462"/>
    </row>
    <row r="62" spans="1:20" s="64" customFormat="1" ht="24.95" customHeight="1" x14ac:dyDescent="0.25">
      <c r="A62" s="532" t="s">
        <v>223</v>
      </c>
      <c r="B62" s="533"/>
      <c r="C62" s="335">
        <v>200</v>
      </c>
      <c r="D62" s="333">
        <v>191</v>
      </c>
      <c r="E62" s="334" t="s">
        <v>123</v>
      </c>
      <c r="F62" s="333">
        <v>191</v>
      </c>
      <c r="G62" s="333"/>
      <c r="H62" s="332">
        <f>SUM(F62:G62)</f>
        <v>191</v>
      </c>
      <c r="I62" s="534">
        <v>3.51</v>
      </c>
      <c r="J62" s="330">
        <f>3.51*0.9</f>
        <v>3.1589999999999998</v>
      </c>
      <c r="K62" s="329">
        <f>(I62-J62)/I62</f>
        <v>0.1</v>
      </c>
      <c r="L62" s="328">
        <v>7470</v>
      </c>
      <c r="M62" s="327">
        <f>(H62*L62)*K62</f>
        <v>142677</v>
      </c>
      <c r="N62" s="383">
        <f>H62*I62*K62</f>
        <v>67.040999999999997</v>
      </c>
      <c r="O62" s="383">
        <v>17</v>
      </c>
      <c r="P62" s="384">
        <f>N62*1000*17</f>
        <v>1139697</v>
      </c>
      <c r="Q62" s="410"/>
      <c r="T62" s="310"/>
    </row>
    <row r="63" spans="1:20" s="64" customFormat="1" ht="24.95" customHeight="1" x14ac:dyDescent="0.25">
      <c r="A63" s="532" t="s">
        <v>64</v>
      </c>
      <c r="B63" s="533"/>
      <c r="C63" s="335">
        <v>58</v>
      </c>
      <c r="D63" s="333">
        <v>48</v>
      </c>
      <c r="E63" s="334" t="s">
        <v>123</v>
      </c>
      <c r="F63" s="333"/>
      <c r="G63" s="333">
        <v>48</v>
      </c>
      <c r="H63" s="332">
        <f>SUM(F63:G63)</f>
        <v>48</v>
      </c>
      <c r="I63" s="534">
        <v>3.51</v>
      </c>
      <c r="J63" s="330">
        <f>3.51*0.9</f>
        <v>3.1589999999999998</v>
      </c>
      <c r="K63" s="329">
        <f>(I63-J63)/I63</f>
        <v>0.1</v>
      </c>
      <c r="L63" s="328">
        <v>7470</v>
      </c>
      <c r="M63" s="327">
        <f>(H63*L63)*K63</f>
        <v>35856</v>
      </c>
      <c r="N63" s="383">
        <f>H63*I63*K63</f>
        <v>16.847999999999999</v>
      </c>
      <c r="O63" s="383">
        <v>17</v>
      </c>
      <c r="P63" s="384">
        <f>N63*1000*17</f>
        <v>286416</v>
      </c>
      <c r="Q63" s="410"/>
      <c r="T63" s="310"/>
    </row>
    <row r="64" spans="1:20" s="461" customFormat="1" ht="24.95" customHeight="1" x14ac:dyDescent="0.25">
      <c r="A64" s="546" t="s">
        <v>127</v>
      </c>
      <c r="B64" s="547"/>
      <c r="C64" s="448">
        <v>1131</v>
      </c>
      <c r="D64" s="448">
        <v>1245.0999999999999</v>
      </c>
      <c r="E64" s="448">
        <v>0</v>
      </c>
      <c r="F64" s="448">
        <v>944.30000000000007</v>
      </c>
      <c r="G64" s="448">
        <v>305</v>
      </c>
      <c r="H64" s="448">
        <v>1249.3</v>
      </c>
      <c r="I64" s="448">
        <v>28.079999999999991</v>
      </c>
      <c r="J64" s="448">
        <v>20.358000000000004</v>
      </c>
      <c r="K64" s="448">
        <v>2.2000000000000002</v>
      </c>
      <c r="L64" s="448">
        <v>256940</v>
      </c>
      <c r="M64" s="448">
        <v>9998751.0799999982</v>
      </c>
      <c r="N64" s="448">
        <v>1014.2671499999999</v>
      </c>
      <c r="O64" s="448">
        <v>136</v>
      </c>
      <c r="P64" s="448">
        <v>17242541.550000001</v>
      </c>
      <c r="Q64" s="549"/>
      <c r="T64" s="462"/>
    </row>
    <row r="65" spans="1:20" s="64" customFormat="1" ht="33.75" customHeight="1" x14ac:dyDescent="0.25">
      <c r="A65" s="532" t="s">
        <v>65</v>
      </c>
      <c r="B65" s="533"/>
      <c r="C65" s="335">
        <v>40</v>
      </c>
      <c r="D65" s="333">
        <v>32</v>
      </c>
      <c r="E65" s="334" t="s">
        <v>123</v>
      </c>
      <c r="F65" s="333">
        <v>32</v>
      </c>
      <c r="G65" s="333"/>
      <c r="H65" s="332">
        <f>SUM(F65:G65)</f>
        <v>32</v>
      </c>
      <c r="I65" s="534">
        <v>3.51</v>
      </c>
      <c r="J65" s="330">
        <f>3.51*0.9</f>
        <v>3.1589999999999998</v>
      </c>
      <c r="K65" s="329">
        <f>(I65-J65)/I65</f>
        <v>0.1</v>
      </c>
      <c r="L65" s="328">
        <v>7470</v>
      </c>
      <c r="M65" s="327">
        <f>(H65*L65)*K65</f>
        <v>23904</v>
      </c>
      <c r="N65" s="383">
        <f>H65*I65*K65</f>
        <v>11.231999999999999</v>
      </c>
      <c r="O65" s="383">
        <v>17</v>
      </c>
      <c r="P65" s="384">
        <f>N65*1000*17</f>
        <v>190944</v>
      </c>
      <c r="Q65" s="532"/>
      <c r="T65" s="310"/>
    </row>
    <row r="66" spans="1:20" s="64" customFormat="1" ht="24.95" customHeight="1" x14ac:dyDescent="0.25">
      <c r="A66" s="532" t="s">
        <v>129</v>
      </c>
      <c r="B66" s="533"/>
      <c r="C66" s="335">
        <v>70</v>
      </c>
      <c r="D66" s="333">
        <v>62</v>
      </c>
      <c r="E66" s="334" t="s">
        <v>123</v>
      </c>
      <c r="F66" s="333"/>
      <c r="G66" s="333">
        <v>62</v>
      </c>
      <c r="H66" s="332">
        <f>SUM(F66:G66)</f>
        <v>62</v>
      </c>
      <c r="I66" s="534">
        <v>3.51</v>
      </c>
      <c r="J66" s="330">
        <f>3.51*0.9</f>
        <v>3.1589999999999998</v>
      </c>
      <c r="K66" s="329">
        <f>(I66-J66)/I66</f>
        <v>0.1</v>
      </c>
      <c r="L66" s="328">
        <v>7470</v>
      </c>
      <c r="M66" s="327">
        <f>(H66*L66)*K66</f>
        <v>46314</v>
      </c>
      <c r="N66" s="383">
        <f>H66*I66*K66</f>
        <v>21.762</v>
      </c>
      <c r="O66" s="383">
        <v>17</v>
      </c>
      <c r="P66" s="384">
        <f>N66*1000*17</f>
        <v>369954</v>
      </c>
      <c r="Q66" s="532"/>
      <c r="T66" s="310"/>
    </row>
    <row r="67" spans="1:20" s="64" customFormat="1" ht="24.95" customHeight="1" x14ac:dyDescent="0.25">
      <c r="A67" s="532" t="s">
        <v>258</v>
      </c>
      <c r="B67" s="533"/>
      <c r="C67" s="335">
        <v>16</v>
      </c>
      <c r="D67" s="333">
        <v>14</v>
      </c>
      <c r="E67" s="334" t="s">
        <v>219</v>
      </c>
      <c r="F67" s="333"/>
      <c r="G67" s="333">
        <v>14</v>
      </c>
      <c r="H67" s="332">
        <f>SUM(F67:G67)</f>
        <v>14</v>
      </c>
      <c r="I67" s="534">
        <v>3.51</v>
      </c>
      <c r="J67" s="330">
        <f>3.51*0.7</f>
        <v>2.4569999999999999</v>
      </c>
      <c r="K67" s="329">
        <f>(I67-J67)/I67</f>
        <v>0.3</v>
      </c>
      <c r="L67" s="328">
        <v>33464</v>
      </c>
      <c r="M67" s="327">
        <f>(H67*L67)*K67</f>
        <v>140548.79999999999</v>
      </c>
      <c r="N67" s="383">
        <f>H67*I67*K67</f>
        <v>14.741999999999999</v>
      </c>
      <c r="O67" s="383">
        <v>17</v>
      </c>
      <c r="P67" s="384">
        <f>N67*1000*17</f>
        <v>250614</v>
      </c>
      <c r="Q67" s="532"/>
      <c r="T67" s="310"/>
    </row>
    <row r="68" spans="1:20" s="461" customFormat="1" ht="24.95" customHeight="1" x14ac:dyDescent="0.25">
      <c r="A68" s="546" t="s">
        <v>66</v>
      </c>
      <c r="B68" s="547"/>
      <c r="C68" s="448">
        <v>523</v>
      </c>
      <c r="D68" s="448">
        <v>541.25</v>
      </c>
      <c r="E68" s="448">
        <v>0</v>
      </c>
      <c r="F68" s="448">
        <v>195.5</v>
      </c>
      <c r="G68" s="448">
        <v>345.75</v>
      </c>
      <c r="H68" s="448">
        <v>541.25</v>
      </c>
      <c r="I68" s="448">
        <v>7.02</v>
      </c>
      <c r="J68" s="448">
        <v>5.6159999999999997</v>
      </c>
      <c r="K68" s="448">
        <v>0.4</v>
      </c>
      <c r="L68" s="448">
        <v>51238</v>
      </c>
      <c r="M68" s="448">
        <v>2264919.5999999996</v>
      </c>
      <c r="N68" s="448">
        <v>295.45425</v>
      </c>
      <c r="O68" s="448">
        <v>34</v>
      </c>
      <c r="P68" s="448">
        <v>5022722.25</v>
      </c>
      <c r="Q68" s="546"/>
      <c r="T68" s="462"/>
    </row>
    <row r="69" spans="1:20" s="461" customFormat="1" ht="24.95" customHeight="1" x14ac:dyDescent="0.25">
      <c r="A69" s="546" t="s">
        <v>67</v>
      </c>
      <c r="B69" s="547"/>
      <c r="C69" s="448">
        <v>495</v>
      </c>
      <c r="D69" s="448">
        <v>612</v>
      </c>
      <c r="E69" s="448">
        <v>0</v>
      </c>
      <c r="F69" s="448">
        <v>225</v>
      </c>
      <c r="G69" s="448">
        <v>387</v>
      </c>
      <c r="H69" s="448">
        <v>612</v>
      </c>
      <c r="I69" s="448">
        <v>7.02</v>
      </c>
      <c r="J69" s="448">
        <v>5.6159999999999997</v>
      </c>
      <c r="K69" s="448">
        <v>0.4</v>
      </c>
      <c r="L69" s="448">
        <v>51238</v>
      </c>
      <c r="M69" s="448">
        <v>6487879.7999999998</v>
      </c>
      <c r="N69" s="448">
        <v>556.68599999999992</v>
      </c>
      <c r="O69" s="448">
        <v>34</v>
      </c>
      <c r="P69" s="448">
        <v>9463661.9999999981</v>
      </c>
      <c r="Q69" s="546"/>
      <c r="T69" s="462"/>
    </row>
    <row r="70" spans="1:20" s="64" customFormat="1" ht="24.95" customHeight="1" x14ac:dyDescent="0.25">
      <c r="A70" s="532" t="s">
        <v>257</v>
      </c>
      <c r="B70" s="533"/>
      <c r="C70" s="335">
        <v>2</v>
      </c>
      <c r="D70" s="333">
        <v>2</v>
      </c>
      <c r="E70" s="334" t="s">
        <v>122</v>
      </c>
      <c r="F70" s="333"/>
      <c r="G70" s="333">
        <v>2</v>
      </c>
      <c r="H70" s="332">
        <f>SUM(F70:G70)</f>
        <v>2</v>
      </c>
      <c r="I70" s="534">
        <v>3.51</v>
      </c>
      <c r="J70" s="330">
        <f>3.51*0.7</f>
        <v>2.4569999999999999</v>
      </c>
      <c r="K70" s="329">
        <f>(I70-J70)/I70</f>
        <v>0.3</v>
      </c>
      <c r="L70" s="328">
        <v>7470</v>
      </c>
      <c r="M70" s="327">
        <f>(H70*L70)*K70</f>
        <v>4482</v>
      </c>
      <c r="N70" s="383">
        <f>H70*I70*K70</f>
        <v>2.1059999999999999</v>
      </c>
      <c r="O70" s="383">
        <v>17</v>
      </c>
      <c r="P70" s="384">
        <f>N70*1000*17</f>
        <v>35802</v>
      </c>
      <c r="Q70" s="532"/>
      <c r="T70" s="310"/>
    </row>
    <row r="71" spans="1:20" s="64" customFormat="1" ht="24.95" customHeight="1" x14ac:dyDescent="0.25">
      <c r="A71" s="532" t="s">
        <v>68</v>
      </c>
      <c r="B71" s="533"/>
      <c r="C71" s="335"/>
      <c r="D71" s="333">
        <v>62.2</v>
      </c>
      <c r="E71" s="334" t="s">
        <v>123</v>
      </c>
      <c r="F71" s="333">
        <v>62</v>
      </c>
      <c r="G71" s="333"/>
      <c r="H71" s="332">
        <f>SUM(F71:G71)</f>
        <v>62</v>
      </c>
      <c r="I71" s="534">
        <v>3.51</v>
      </c>
      <c r="J71" s="330">
        <f>3.51*0.9</f>
        <v>3.1589999999999998</v>
      </c>
      <c r="K71" s="329">
        <f>(I71-J71)/I71</f>
        <v>0.1</v>
      </c>
      <c r="L71" s="328">
        <v>7470</v>
      </c>
      <c r="M71" s="327">
        <f>(H71*L71)*K71</f>
        <v>46314</v>
      </c>
      <c r="N71" s="383">
        <f>H71*I71*K71</f>
        <v>21.762</v>
      </c>
      <c r="O71" s="383">
        <v>17</v>
      </c>
      <c r="P71" s="384">
        <f>N71*1000*17</f>
        <v>369954</v>
      </c>
      <c r="Q71" s="532"/>
      <c r="T71" s="310"/>
    </row>
    <row r="72" spans="1:20" s="64" customFormat="1" ht="24.95" customHeight="1" x14ac:dyDescent="0.25">
      <c r="A72" s="532" t="s">
        <v>69</v>
      </c>
      <c r="B72" s="533"/>
      <c r="C72" s="335">
        <v>50</v>
      </c>
      <c r="D72" s="333">
        <v>50</v>
      </c>
      <c r="E72" s="334" t="s">
        <v>122</v>
      </c>
      <c r="F72" s="333"/>
      <c r="G72" s="333">
        <v>50</v>
      </c>
      <c r="H72" s="332">
        <f>SUM(F72:G72)</f>
        <v>50</v>
      </c>
      <c r="I72" s="534">
        <v>3.51</v>
      </c>
      <c r="J72" s="330">
        <f>3.51*0.7</f>
        <v>2.4569999999999999</v>
      </c>
      <c r="K72" s="329">
        <f>(I72-J72)/I72</f>
        <v>0.3</v>
      </c>
      <c r="L72" s="328">
        <v>43768</v>
      </c>
      <c r="M72" s="327">
        <f>(H72*L72)*K72</f>
        <v>656520</v>
      </c>
      <c r="N72" s="383">
        <f>H72*I72*K72</f>
        <v>52.65</v>
      </c>
      <c r="O72" s="383">
        <v>17</v>
      </c>
      <c r="P72" s="384">
        <f>N72*1000*17</f>
        <v>895050</v>
      </c>
      <c r="Q72" s="532"/>
      <c r="T72" s="310"/>
    </row>
    <row r="73" spans="1:20" s="64" customFormat="1" ht="24.95" customHeight="1" x14ac:dyDescent="0.25">
      <c r="A73" s="532" t="s">
        <v>70</v>
      </c>
      <c r="B73" s="533"/>
      <c r="C73" s="335">
        <v>10</v>
      </c>
      <c r="D73" s="333">
        <v>10</v>
      </c>
      <c r="E73" s="334" t="s">
        <v>123</v>
      </c>
      <c r="F73" s="333">
        <v>10</v>
      </c>
      <c r="G73" s="333"/>
      <c r="H73" s="332">
        <f>SUM(F73:G73)</f>
        <v>10</v>
      </c>
      <c r="I73" s="534">
        <v>3.51</v>
      </c>
      <c r="J73" s="330">
        <f>3.51*0.9</f>
        <v>3.1589999999999998</v>
      </c>
      <c r="K73" s="329">
        <f>(I73-J73)/I73</f>
        <v>0.1</v>
      </c>
      <c r="L73" s="328">
        <v>7470</v>
      </c>
      <c r="M73" s="327">
        <f>(H73*L73)*K73</f>
        <v>7470</v>
      </c>
      <c r="N73" s="383">
        <f>H73*I73*K73</f>
        <v>3.51</v>
      </c>
      <c r="O73" s="383">
        <v>17</v>
      </c>
      <c r="P73" s="384">
        <f>N73*1000*17</f>
        <v>59670</v>
      </c>
      <c r="Q73" s="532"/>
      <c r="T73" s="310"/>
    </row>
    <row r="74" spans="1:20" s="64" customFormat="1" ht="19.5" customHeight="1" x14ac:dyDescent="0.25">
      <c r="A74" s="377"/>
      <c r="B74" s="533"/>
      <c r="C74" s="378"/>
      <c r="D74" s="378"/>
      <c r="E74" s="380"/>
      <c r="F74" s="378"/>
      <c r="G74" s="378"/>
      <c r="H74" s="378"/>
      <c r="I74" s="375"/>
      <c r="J74" s="330"/>
      <c r="K74" s="329"/>
      <c r="L74" s="378"/>
      <c r="M74" s="378"/>
      <c r="N74" s="378"/>
      <c r="O74" s="381"/>
      <c r="P74" s="378"/>
      <c r="Q74" s="337"/>
      <c r="T74" s="310"/>
    </row>
    <row r="75" spans="1:20" s="64" customFormat="1" ht="19.5" customHeight="1" x14ac:dyDescent="0.25">
      <c r="A75" s="385" t="s">
        <v>256</v>
      </c>
      <c r="B75" s="535"/>
      <c r="C75" s="371"/>
      <c r="D75" s="369"/>
      <c r="E75" s="370"/>
      <c r="F75" s="369"/>
      <c r="G75" s="368"/>
      <c r="H75" s="367"/>
      <c r="I75" s="366"/>
      <c r="J75" s="365"/>
      <c r="K75" s="364"/>
      <c r="L75" s="363"/>
      <c r="M75" s="362"/>
      <c r="N75" s="361"/>
      <c r="O75" s="361"/>
      <c r="P75" s="360"/>
      <c r="Q75" s="359"/>
      <c r="T75" s="310"/>
    </row>
    <row r="76" spans="1:20" s="64" customFormat="1" ht="24.95" customHeight="1" x14ac:dyDescent="0.25">
      <c r="A76" s="532" t="s">
        <v>255</v>
      </c>
      <c r="B76" s="533"/>
      <c r="C76" s="335">
        <v>45</v>
      </c>
      <c r="D76" s="333">
        <v>36</v>
      </c>
      <c r="E76" s="334" t="s">
        <v>122</v>
      </c>
      <c r="F76" s="333"/>
      <c r="G76" s="333">
        <v>36</v>
      </c>
      <c r="H76" s="332">
        <f>SUM(F76:G76)</f>
        <v>36</v>
      </c>
      <c r="I76" s="534">
        <v>3.51</v>
      </c>
      <c r="J76" s="330">
        <f>3.51*0.7</f>
        <v>2.4569999999999999</v>
      </c>
      <c r="K76" s="329">
        <f>(I76-J76)/I76</f>
        <v>0.3</v>
      </c>
      <c r="L76" s="328">
        <v>43768</v>
      </c>
      <c r="M76" s="327">
        <f>(H76*L76)*K76</f>
        <v>472694.39999999997</v>
      </c>
      <c r="N76" s="383">
        <f>H76*I76*K76</f>
        <v>37.907999999999994</v>
      </c>
      <c r="O76" s="383">
        <v>17</v>
      </c>
      <c r="P76" s="384">
        <f>N76*1000*17</f>
        <v>644435.99999999988</v>
      </c>
      <c r="Q76" s="532"/>
      <c r="T76" s="310"/>
    </row>
    <row r="77" spans="1:20" s="64" customFormat="1" ht="24.95" customHeight="1" x14ac:dyDescent="0.25">
      <c r="A77" s="532" t="s">
        <v>72</v>
      </c>
      <c r="B77" s="533"/>
      <c r="C77" s="335">
        <v>47</v>
      </c>
      <c r="D77" s="333">
        <v>52</v>
      </c>
      <c r="E77" s="334" t="s">
        <v>123</v>
      </c>
      <c r="F77" s="333">
        <v>42</v>
      </c>
      <c r="G77" s="333">
        <v>10</v>
      </c>
      <c r="H77" s="332">
        <f>SUM(F77:G77)</f>
        <v>52</v>
      </c>
      <c r="I77" s="534">
        <v>3.51</v>
      </c>
      <c r="J77" s="330">
        <f>3.51*0.9</f>
        <v>3.1589999999999998</v>
      </c>
      <c r="K77" s="329">
        <f>(I77-J77)/I77</f>
        <v>0.1</v>
      </c>
      <c r="L77" s="328">
        <v>7470</v>
      </c>
      <c r="M77" s="327">
        <f>(H77*L77)*K77</f>
        <v>38844</v>
      </c>
      <c r="N77" s="383">
        <f>H77*I77*K77</f>
        <v>18.251999999999999</v>
      </c>
      <c r="O77" s="383">
        <v>17</v>
      </c>
      <c r="P77" s="384">
        <f>N77*1000*17</f>
        <v>310284</v>
      </c>
      <c r="Q77" s="532"/>
      <c r="T77" s="310"/>
    </row>
    <row r="78" spans="1:20" s="64" customFormat="1" ht="24.95" customHeight="1" x14ac:dyDescent="0.25">
      <c r="A78" s="532" t="s">
        <v>73</v>
      </c>
      <c r="B78" s="533"/>
      <c r="C78" s="335">
        <v>1200</v>
      </c>
      <c r="D78" s="333">
        <v>1071</v>
      </c>
      <c r="E78" s="334" t="s">
        <v>123</v>
      </c>
      <c r="F78" s="333">
        <v>1071</v>
      </c>
      <c r="G78" s="333"/>
      <c r="H78" s="332">
        <f>SUM(F78:G78)</f>
        <v>1071</v>
      </c>
      <c r="I78" s="534">
        <v>3.51</v>
      </c>
      <c r="J78" s="330">
        <f>3.51*0.9</f>
        <v>3.1589999999999998</v>
      </c>
      <c r="K78" s="329">
        <f>(I78-J78)/I78</f>
        <v>0.1</v>
      </c>
      <c r="L78" s="328">
        <v>7470</v>
      </c>
      <c r="M78" s="327">
        <f>(H78*L78)*K78</f>
        <v>800037</v>
      </c>
      <c r="N78" s="383">
        <f>H78*I78*K78</f>
        <v>375.92099999999999</v>
      </c>
      <c r="O78" s="383">
        <v>17</v>
      </c>
      <c r="P78" s="384">
        <f>N78*1000*17</f>
        <v>6390657</v>
      </c>
      <c r="Q78" s="532"/>
      <c r="T78" s="310"/>
    </row>
    <row r="79" spans="1:20" s="461" customFormat="1" ht="24.95" customHeight="1" x14ac:dyDescent="0.25">
      <c r="A79" s="546" t="s">
        <v>103</v>
      </c>
      <c r="B79" s="547"/>
      <c r="C79" s="448">
        <v>295</v>
      </c>
      <c r="D79" s="448">
        <v>1030.0900000000001</v>
      </c>
      <c r="E79" s="448">
        <v>0</v>
      </c>
      <c r="F79" s="448">
        <v>824</v>
      </c>
      <c r="G79" s="448">
        <v>206</v>
      </c>
      <c r="H79" s="448">
        <v>1030</v>
      </c>
      <c r="I79" s="448">
        <v>7.02</v>
      </c>
      <c r="J79" s="448">
        <v>5.6159999999999997</v>
      </c>
      <c r="K79" s="448">
        <v>0.4</v>
      </c>
      <c r="L79" s="448">
        <v>51238</v>
      </c>
      <c r="M79" s="448">
        <v>4385362.8</v>
      </c>
      <c r="N79" s="448">
        <v>566.5139999999999</v>
      </c>
      <c r="O79" s="448">
        <v>34</v>
      </c>
      <c r="P79" s="448">
        <v>9630737.9999999981</v>
      </c>
      <c r="Q79" s="546"/>
      <c r="T79" s="462"/>
    </row>
    <row r="80" spans="1:20" s="64" customFormat="1" ht="24.95" customHeight="1" x14ac:dyDescent="0.25">
      <c r="A80" s="532" t="s">
        <v>74</v>
      </c>
      <c r="B80" s="533"/>
      <c r="C80" s="335">
        <v>2982</v>
      </c>
      <c r="D80" s="333">
        <v>6429</v>
      </c>
      <c r="E80" s="334" t="s">
        <v>123</v>
      </c>
      <c r="F80" s="333">
        <v>4628.25</v>
      </c>
      <c r="G80" s="333">
        <v>1800.75</v>
      </c>
      <c r="H80" s="332">
        <f t="shared" ref="H80:H87" si="6">SUM(F80:G80)</f>
        <v>6429</v>
      </c>
      <c r="I80" s="534">
        <v>3.51</v>
      </c>
      <c r="J80" s="330">
        <f>3.51*0.9</f>
        <v>3.1589999999999998</v>
      </c>
      <c r="K80" s="329">
        <f t="shared" ref="K80:K87" si="7">(I80-J80)/I80</f>
        <v>0.1</v>
      </c>
      <c r="L80" s="328">
        <v>7470</v>
      </c>
      <c r="M80" s="327">
        <f t="shared" ref="M80:M87" si="8">(H80*L80)*K80</f>
        <v>4802463</v>
      </c>
      <c r="N80" s="383">
        <f t="shared" ref="N80:N87" si="9">H80*I80*K80</f>
        <v>2256.5789999999997</v>
      </c>
      <c r="O80" s="383">
        <v>17</v>
      </c>
      <c r="P80" s="384">
        <f t="shared" ref="P80:P87" si="10">N80*1000*17</f>
        <v>38361842.999999993</v>
      </c>
      <c r="Q80" s="532"/>
      <c r="T80" s="310"/>
    </row>
    <row r="81" spans="1:20" s="64" customFormat="1" ht="24.95" customHeight="1" x14ac:dyDescent="0.25">
      <c r="A81" s="532" t="s">
        <v>254</v>
      </c>
      <c r="B81" s="533"/>
      <c r="C81" s="335">
        <v>2</v>
      </c>
      <c r="D81" s="333">
        <v>2</v>
      </c>
      <c r="E81" s="334" t="s">
        <v>123</v>
      </c>
      <c r="F81" s="333">
        <v>2</v>
      </c>
      <c r="G81" s="333"/>
      <c r="H81" s="332">
        <f t="shared" si="6"/>
        <v>2</v>
      </c>
      <c r="I81" s="534">
        <v>3.51</v>
      </c>
      <c r="J81" s="330">
        <f>3.51*0.9</f>
        <v>3.1589999999999998</v>
      </c>
      <c r="K81" s="329">
        <f t="shared" si="7"/>
        <v>0.1</v>
      </c>
      <c r="L81" s="328">
        <v>7470</v>
      </c>
      <c r="M81" s="327">
        <f t="shared" si="8"/>
        <v>1494</v>
      </c>
      <c r="N81" s="383">
        <f t="shared" si="9"/>
        <v>0.70199999999999996</v>
      </c>
      <c r="O81" s="383">
        <v>17</v>
      </c>
      <c r="P81" s="384">
        <f t="shared" si="10"/>
        <v>11934</v>
      </c>
      <c r="Q81" s="532"/>
      <c r="T81" s="310"/>
    </row>
    <row r="82" spans="1:20" s="64" customFormat="1" ht="24.95" customHeight="1" x14ac:dyDescent="0.25">
      <c r="A82" s="410" t="s">
        <v>75</v>
      </c>
      <c r="B82" s="533"/>
      <c r="C82" s="335">
        <v>3</v>
      </c>
      <c r="D82" s="333">
        <v>3</v>
      </c>
      <c r="E82" s="334" t="s">
        <v>219</v>
      </c>
      <c r="F82" s="333"/>
      <c r="G82" s="333">
        <v>2.5</v>
      </c>
      <c r="H82" s="332">
        <f t="shared" si="6"/>
        <v>2.5</v>
      </c>
      <c r="I82" s="534">
        <v>3.51</v>
      </c>
      <c r="J82" s="330">
        <f>3.51*0.7</f>
        <v>2.4569999999999999</v>
      </c>
      <c r="K82" s="329">
        <f t="shared" si="7"/>
        <v>0.3</v>
      </c>
      <c r="L82" s="328">
        <v>33464</v>
      </c>
      <c r="M82" s="327">
        <f t="shared" si="8"/>
        <v>25098</v>
      </c>
      <c r="N82" s="383">
        <f t="shared" si="9"/>
        <v>2.6324999999999994</v>
      </c>
      <c r="O82" s="383">
        <v>17</v>
      </c>
      <c r="P82" s="384">
        <f t="shared" si="10"/>
        <v>44752.499999999993</v>
      </c>
      <c r="Q82" s="532"/>
      <c r="T82" s="310"/>
    </row>
    <row r="83" spans="1:20" s="64" customFormat="1" ht="24.95" customHeight="1" x14ac:dyDescent="0.25">
      <c r="A83" s="532" t="s">
        <v>76</v>
      </c>
      <c r="B83" s="533"/>
      <c r="C83" s="335">
        <v>25</v>
      </c>
      <c r="D83" s="333">
        <v>15</v>
      </c>
      <c r="E83" s="334" t="s">
        <v>219</v>
      </c>
      <c r="F83" s="333"/>
      <c r="G83" s="333">
        <v>15</v>
      </c>
      <c r="H83" s="332">
        <f t="shared" si="6"/>
        <v>15</v>
      </c>
      <c r="I83" s="534">
        <v>3.51</v>
      </c>
      <c r="J83" s="330">
        <f>3.51*0.7</f>
        <v>2.4569999999999999</v>
      </c>
      <c r="K83" s="329">
        <f t="shared" si="7"/>
        <v>0.3</v>
      </c>
      <c r="L83" s="328">
        <v>43768</v>
      </c>
      <c r="M83" s="327">
        <f t="shared" si="8"/>
        <v>196956</v>
      </c>
      <c r="N83" s="383">
        <f t="shared" si="9"/>
        <v>15.794999999999998</v>
      </c>
      <c r="O83" s="383">
        <v>17</v>
      </c>
      <c r="P83" s="384">
        <f t="shared" si="10"/>
        <v>268514.99999999994</v>
      </c>
      <c r="Q83" s="532"/>
      <c r="T83" s="310"/>
    </row>
    <row r="84" spans="1:20" s="64" customFormat="1" ht="24.95" customHeight="1" x14ac:dyDescent="0.25">
      <c r="A84" s="532" t="s">
        <v>253</v>
      </c>
      <c r="B84" s="533"/>
      <c r="C84" s="335">
        <v>165</v>
      </c>
      <c r="D84" s="333">
        <v>188</v>
      </c>
      <c r="E84" s="334" t="s">
        <v>123</v>
      </c>
      <c r="F84" s="333">
        <v>188</v>
      </c>
      <c r="G84" s="333"/>
      <c r="H84" s="332">
        <f t="shared" si="6"/>
        <v>188</v>
      </c>
      <c r="I84" s="534">
        <v>3.51</v>
      </c>
      <c r="J84" s="330">
        <f>3.51*0.9</f>
        <v>3.1589999999999998</v>
      </c>
      <c r="K84" s="329">
        <f t="shared" si="7"/>
        <v>0.1</v>
      </c>
      <c r="L84" s="328">
        <v>7470</v>
      </c>
      <c r="M84" s="327">
        <f t="shared" si="8"/>
        <v>140436</v>
      </c>
      <c r="N84" s="383">
        <f t="shared" si="9"/>
        <v>65.988</v>
      </c>
      <c r="O84" s="383">
        <v>17</v>
      </c>
      <c r="P84" s="384">
        <f t="shared" si="10"/>
        <v>1121796</v>
      </c>
      <c r="Q84" s="532"/>
      <c r="T84" s="310"/>
    </row>
    <row r="85" spans="1:20" s="64" customFormat="1" ht="24.95" customHeight="1" x14ac:dyDescent="0.25">
      <c r="A85" s="532" t="s">
        <v>77</v>
      </c>
      <c r="B85" s="533"/>
      <c r="C85" s="335">
        <v>10</v>
      </c>
      <c r="D85" s="333">
        <v>8</v>
      </c>
      <c r="E85" s="334" t="s">
        <v>123</v>
      </c>
      <c r="F85" s="333">
        <v>4</v>
      </c>
      <c r="G85" s="333">
        <v>4</v>
      </c>
      <c r="H85" s="332">
        <f t="shared" si="6"/>
        <v>8</v>
      </c>
      <c r="I85" s="534">
        <v>3.51</v>
      </c>
      <c r="J85" s="330">
        <f>3.51*0.9</f>
        <v>3.1589999999999998</v>
      </c>
      <c r="K85" s="329">
        <f t="shared" si="7"/>
        <v>0.1</v>
      </c>
      <c r="L85" s="328">
        <v>7470</v>
      </c>
      <c r="M85" s="327">
        <f t="shared" si="8"/>
        <v>5976</v>
      </c>
      <c r="N85" s="383">
        <f t="shared" si="9"/>
        <v>2.8079999999999998</v>
      </c>
      <c r="O85" s="383">
        <v>17</v>
      </c>
      <c r="P85" s="384">
        <f t="shared" si="10"/>
        <v>47736</v>
      </c>
      <c r="Q85" s="532"/>
      <c r="T85" s="310"/>
    </row>
    <row r="86" spans="1:20" s="64" customFormat="1" ht="24.95" customHeight="1" x14ac:dyDescent="0.25">
      <c r="A86" s="532" t="s">
        <v>2</v>
      </c>
      <c r="B86" s="533"/>
      <c r="C86" s="335">
        <v>5</v>
      </c>
      <c r="D86" s="333">
        <v>5</v>
      </c>
      <c r="E86" s="334" t="s">
        <v>123</v>
      </c>
      <c r="F86" s="333">
        <v>5</v>
      </c>
      <c r="G86" s="333"/>
      <c r="H86" s="332">
        <f t="shared" si="6"/>
        <v>5</v>
      </c>
      <c r="I86" s="534">
        <v>3.51</v>
      </c>
      <c r="J86" s="330">
        <f>3.51*0.9</f>
        <v>3.1589999999999998</v>
      </c>
      <c r="K86" s="329">
        <f t="shared" si="7"/>
        <v>0.1</v>
      </c>
      <c r="L86" s="328">
        <v>7470</v>
      </c>
      <c r="M86" s="327">
        <f t="shared" si="8"/>
        <v>3735</v>
      </c>
      <c r="N86" s="383">
        <f t="shared" si="9"/>
        <v>1.7549999999999999</v>
      </c>
      <c r="O86" s="383">
        <v>17</v>
      </c>
      <c r="P86" s="384">
        <f t="shared" si="10"/>
        <v>29835</v>
      </c>
      <c r="Q86" s="532"/>
      <c r="T86" s="310"/>
    </row>
    <row r="87" spans="1:20" s="64" customFormat="1" ht="24.95" customHeight="1" x14ac:dyDescent="0.25">
      <c r="A87" s="532" t="s">
        <v>252</v>
      </c>
      <c r="B87" s="533"/>
      <c r="C87" s="335">
        <v>384</v>
      </c>
      <c r="D87" s="333">
        <v>199</v>
      </c>
      <c r="E87" s="334" t="s">
        <v>123</v>
      </c>
      <c r="F87" s="333">
        <v>199</v>
      </c>
      <c r="G87" s="333"/>
      <c r="H87" s="332">
        <f t="shared" si="6"/>
        <v>199</v>
      </c>
      <c r="I87" s="534">
        <v>3.51</v>
      </c>
      <c r="J87" s="330">
        <f>3.51*0.9</f>
        <v>3.1589999999999998</v>
      </c>
      <c r="K87" s="329">
        <f t="shared" si="7"/>
        <v>0.1</v>
      </c>
      <c r="L87" s="328">
        <v>33464</v>
      </c>
      <c r="M87" s="327">
        <f t="shared" si="8"/>
        <v>665933.60000000009</v>
      </c>
      <c r="N87" s="383">
        <f t="shared" si="9"/>
        <v>69.849000000000004</v>
      </c>
      <c r="O87" s="383">
        <v>17</v>
      </c>
      <c r="P87" s="384">
        <f t="shared" si="10"/>
        <v>1187433</v>
      </c>
      <c r="Q87" s="532"/>
      <c r="T87" s="310"/>
    </row>
    <row r="88" spans="1:20" s="461" customFormat="1" ht="24.95" customHeight="1" x14ac:dyDescent="0.25">
      <c r="A88" s="546" t="s">
        <v>79</v>
      </c>
      <c r="B88" s="547"/>
      <c r="C88" s="448">
        <v>275</v>
      </c>
      <c r="D88" s="448">
        <v>270</v>
      </c>
      <c r="E88" s="448">
        <v>0</v>
      </c>
      <c r="F88" s="448">
        <v>200</v>
      </c>
      <c r="G88" s="448">
        <v>70</v>
      </c>
      <c r="H88" s="448">
        <v>270</v>
      </c>
      <c r="I88" s="448">
        <v>7.02</v>
      </c>
      <c r="J88" s="448">
        <v>5.6159999999999997</v>
      </c>
      <c r="K88" s="448">
        <v>0.4</v>
      </c>
      <c r="L88" s="448">
        <v>77232</v>
      </c>
      <c r="M88" s="448">
        <v>2860328</v>
      </c>
      <c r="N88" s="448">
        <v>235.17</v>
      </c>
      <c r="O88" s="448">
        <v>34</v>
      </c>
      <c r="P88" s="448">
        <v>3997890</v>
      </c>
      <c r="Q88" s="546"/>
      <c r="T88" s="462"/>
    </row>
    <row r="89" spans="1:20" s="64" customFormat="1" ht="24.95" customHeight="1" x14ac:dyDescent="0.25">
      <c r="A89" s="532" t="s">
        <v>80</v>
      </c>
      <c r="B89" s="533"/>
      <c r="C89" s="335">
        <v>155</v>
      </c>
      <c r="D89" s="333">
        <v>152</v>
      </c>
      <c r="E89" s="334" t="s">
        <v>122</v>
      </c>
      <c r="F89" s="333">
        <v>152</v>
      </c>
      <c r="G89" s="333"/>
      <c r="H89" s="332">
        <f>SUM(F89:G89)</f>
        <v>152</v>
      </c>
      <c r="I89" s="534">
        <v>3.51</v>
      </c>
      <c r="J89" s="330">
        <f>3.51*0.7</f>
        <v>2.4569999999999999</v>
      </c>
      <c r="K89" s="329">
        <f>(I89-J89)/I89</f>
        <v>0.3</v>
      </c>
      <c r="L89" s="328">
        <v>43768</v>
      </c>
      <c r="M89" s="327">
        <f>(H89*L89)*K89</f>
        <v>1995820.7999999998</v>
      </c>
      <c r="N89" s="383">
        <f>H89*I89*K89</f>
        <v>160.05599999999998</v>
      </c>
      <c r="O89" s="383">
        <v>17</v>
      </c>
      <c r="P89" s="384">
        <f>N89*1000*17</f>
        <v>2720951.9999999995</v>
      </c>
      <c r="Q89" s="532"/>
      <c r="T89" s="310"/>
    </row>
    <row r="90" spans="1:20" s="64" customFormat="1" ht="24.95" customHeight="1" x14ac:dyDescent="0.25">
      <c r="A90" s="532" t="s">
        <v>251</v>
      </c>
      <c r="B90" s="533"/>
      <c r="C90" s="335">
        <v>34</v>
      </c>
      <c r="D90" s="333">
        <v>36</v>
      </c>
      <c r="E90" s="334" t="s">
        <v>123</v>
      </c>
      <c r="F90" s="333">
        <v>36</v>
      </c>
      <c r="G90" s="332"/>
      <c r="H90" s="332">
        <f>SUM(F90:G90)</f>
        <v>36</v>
      </c>
      <c r="I90" s="534">
        <v>3.51</v>
      </c>
      <c r="J90" s="330">
        <f>3.51*0.9</f>
        <v>3.1589999999999998</v>
      </c>
      <c r="K90" s="329">
        <f>(I90-J90)/I90</f>
        <v>0.1</v>
      </c>
      <c r="L90" s="328">
        <v>33464</v>
      </c>
      <c r="M90" s="327">
        <f>(H90*L90)*K90</f>
        <v>120470.40000000001</v>
      </c>
      <c r="N90" s="383">
        <f>H90*I90*K90</f>
        <v>12.635999999999999</v>
      </c>
      <c r="O90" s="383">
        <v>17</v>
      </c>
      <c r="P90" s="384">
        <f>N90*1000*17</f>
        <v>214812</v>
      </c>
      <c r="Q90" s="532"/>
      <c r="T90" s="310"/>
    </row>
    <row r="91" spans="1:20" s="461" customFormat="1" ht="24.95" customHeight="1" x14ac:dyDescent="0.25">
      <c r="A91" s="546" t="s">
        <v>250</v>
      </c>
      <c r="B91" s="547"/>
      <c r="C91" s="448">
        <v>428</v>
      </c>
      <c r="D91" s="448">
        <v>415.5</v>
      </c>
      <c r="E91" s="448">
        <v>0</v>
      </c>
      <c r="F91" s="448">
        <v>350</v>
      </c>
      <c r="G91" s="448">
        <v>65.5</v>
      </c>
      <c r="H91" s="448">
        <v>415.5</v>
      </c>
      <c r="I91" s="448">
        <v>7.02</v>
      </c>
      <c r="J91" s="448">
        <v>5.6159999999999997</v>
      </c>
      <c r="K91" s="448">
        <v>0.4</v>
      </c>
      <c r="L91" s="448">
        <v>77232</v>
      </c>
      <c r="M91" s="448">
        <v>2031281.2</v>
      </c>
      <c r="N91" s="448">
        <v>191.82150000000001</v>
      </c>
      <c r="O91" s="448">
        <v>34</v>
      </c>
      <c r="P91" s="448">
        <v>3260965.5</v>
      </c>
      <c r="Q91" s="546"/>
      <c r="T91" s="462"/>
    </row>
    <row r="92" spans="1:20" s="461" customFormat="1" ht="24.95" customHeight="1" x14ac:dyDescent="0.25">
      <c r="A92" s="546" t="s">
        <v>116</v>
      </c>
      <c r="B92" s="547"/>
      <c r="C92" s="448">
        <v>557</v>
      </c>
      <c r="D92" s="448">
        <v>542.5</v>
      </c>
      <c r="E92" s="448">
        <v>0</v>
      </c>
      <c r="F92" s="448">
        <v>490.5</v>
      </c>
      <c r="G92" s="448">
        <v>52</v>
      </c>
      <c r="H92" s="448">
        <v>542.5</v>
      </c>
      <c r="I92" s="448">
        <v>7.02</v>
      </c>
      <c r="J92" s="448">
        <v>5.6159999999999997</v>
      </c>
      <c r="K92" s="448">
        <v>0.4</v>
      </c>
      <c r="L92" s="448">
        <v>66928</v>
      </c>
      <c r="M92" s="448">
        <v>2163447.6</v>
      </c>
      <c r="N92" s="448">
        <v>226.92150000000001</v>
      </c>
      <c r="O92" s="448">
        <v>34</v>
      </c>
      <c r="P92" s="448">
        <v>3857665.5</v>
      </c>
      <c r="Q92" s="546"/>
      <c r="T92" s="462"/>
    </row>
    <row r="93" spans="1:20" s="64" customFormat="1" ht="24.95" customHeight="1" x14ac:dyDescent="0.25">
      <c r="A93" s="532" t="s">
        <v>82</v>
      </c>
      <c r="B93" s="533"/>
      <c r="C93" s="335">
        <v>1341</v>
      </c>
      <c r="D93" s="333">
        <v>1283</v>
      </c>
      <c r="E93" s="334" t="s">
        <v>123</v>
      </c>
      <c r="F93" s="333">
        <v>1283</v>
      </c>
      <c r="G93" s="333"/>
      <c r="H93" s="332">
        <f>SUM(F93:G93)</f>
        <v>1283</v>
      </c>
      <c r="I93" s="534">
        <v>3.51</v>
      </c>
      <c r="J93" s="330">
        <f>3.51*0.9</f>
        <v>3.1589999999999998</v>
      </c>
      <c r="K93" s="329">
        <f>(I93-J93)/I93</f>
        <v>0.1</v>
      </c>
      <c r="L93" s="328">
        <v>33464</v>
      </c>
      <c r="M93" s="327">
        <f>(H93*L93)*K93</f>
        <v>4293431.2</v>
      </c>
      <c r="N93" s="383">
        <f>H93*I93*K93</f>
        <v>450.33300000000003</v>
      </c>
      <c r="O93" s="383">
        <v>17</v>
      </c>
      <c r="P93" s="384">
        <f>N93*1000*17</f>
        <v>7655661</v>
      </c>
      <c r="Q93" s="532"/>
      <c r="T93" s="310"/>
    </row>
    <row r="94" spans="1:20" s="64" customFormat="1" ht="24.95" customHeight="1" x14ac:dyDescent="0.25">
      <c r="A94" s="377"/>
      <c r="B94" s="533"/>
      <c r="C94" s="378"/>
      <c r="D94" s="378"/>
      <c r="E94" s="380"/>
      <c r="F94" s="378"/>
      <c r="G94" s="378"/>
      <c r="H94" s="378"/>
      <c r="I94" s="375"/>
      <c r="J94" s="330"/>
      <c r="K94" s="329"/>
      <c r="L94" s="378"/>
      <c r="M94" s="378"/>
      <c r="N94" s="378"/>
      <c r="O94" s="381"/>
      <c r="P94" s="378"/>
      <c r="Q94" s="337"/>
      <c r="T94" s="310"/>
    </row>
    <row r="95" spans="1:20" s="64" customFormat="1" ht="19.5" customHeight="1" x14ac:dyDescent="0.25">
      <c r="A95" s="385" t="s">
        <v>249</v>
      </c>
      <c r="B95" s="535"/>
      <c r="C95" s="371"/>
      <c r="D95" s="369"/>
      <c r="E95" s="370"/>
      <c r="F95" s="369"/>
      <c r="G95" s="368"/>
      <c r="H95" s="367"/>
      <c r="I95" s="366"/>
      <c r="J95" s="365"/>
      <c r="K95" s="364"/>
      <c r="L95" s="363"/>
      <c r="M95" s="362"/>
      <c r="N95" s="361"/>
      <c r="O95" s="361"/>
      <c r="P95" s="360"/>
      <c r="Q95" s="359"/>
      <c r="T95" s="310"/>
    </row>
    <row r="96" spans="1:20" s="64" customFormat="1" ht="24.95" customHeight="1" x14ac:dyDescent="0.25">
      <c r="A96" s="532" t="s">
        <v>85</v>
      </c>
      <c r="B96" s="533"/>
      <c r="C96" s="335">
        <v>13</v>
      </c>
      <c r="D96" s="333">
        <v>13</v>
      </c>
      <c r="E96" s="334" t="s">
        <v>122</v>
      </c>
      <c r="F96" s="333">
        <v>13</v>
      </c>
      <c r="G96" s="333"/>
      <c r="H96" s="332">
        <f t="shared" ref="H96:H106" si="11">SUM(F96:G96)</f>
        <v>13</v>
      </c>
      <c r="I96" s="534">
        <v>3.51</v>
      </c>
      <c r="J96" s="330">
        <f>3.51*0.8</f>
        <v>2.8079999999999998</v>
      </c>
      <c r="K96" s="329">
        <f t="shared" ref="K96:K106" si="12">(I96-J96)/I96</f>
        <v>0.2</v>
      </c>
      <c r="L96" s="328">
        <v>43768</v>
      </c>
      <c r="M96" s="327">
        <f t="shared" ref="M96:M106" si="13">(H96*L96)*K96</f>
        <v>113796.8</v>
      </c>
      <c r="N96" s="383">
        <f t="shared" ref="N96:N106" si="14">H96*I96*K96</f>
        <v>9.1259999999999994</v>
      </c>
      <c r="O96" s="383">
        <v>17</v>
      </c>
      <c r="P96" s="384">
        <f t="shared" ref="P96:P106" si="15">N96*1000*17</f>
        <v>155142</v>
      </c>
      <c r="Q96" s="532"/>
      <c r="T96" s="310"/>
    </row>
    <row r="97" spans="1:20" s="64" customFormat="1" ht="24.95" customHeight="1" x14ac:dyDescent="0.25">
      <c r="A97" s="532" t="s">
        <v>188</v>
      </c>
      <c r="B97" s="533"/>
      <c r="C97" s="335">
        <v>314</v>
      </c>
      <c r="D97" s="333">
        <v>515</v>
      </c>
      <c r="E97" s="334" t="s">
        <v>123</v>
      </c>
      <c r="F97" s="333">
        <v>252.35</v>
      </c>
      <c r="G97" s="333">
        <v>262.64999999999998</v>
      </c>
      <c r="H97" s="332">
        <f t="shared" si="11"/>
        <v>515</v>
      </c>
      <c r="I97" s="534">
        <v>3.51</v>
      </c>
      <c r="J97" s="330">
        <f t="shared" ref="J97:J106" si="16">3.51*0.9</f>
        <v>3.1589999999999998</v>
      </c>
      <c r="K97" s="329">
        <f t="shared" si="12"/>
        <v>0.1</v>
      </c>
      <c r="L97" s="328">
        <v>7470</v>
      </c>
      <c r="M97" s="327">
        <f t="shared" si="13"/>
        <v>384705</v>
      </c>
      <c r="N97" s="383">
        <f t="shared" si="14"/>
        <v>180.76499999999999</v>
      </c>
      <c r="O97" s="383">
        <v>17</v>
      </c>
      <c r="P97" s="384">
        <f t="shared" si="15"/>
        <v>3073005</v>
      </c>
      <c r="Q97" s="532"/>
      <c r="T97" s="310"/>
    </row>
    <row r="98" spans="1:20" s="64" customFormat="1" ht="24.95" customHeight="1" x14ac:dyDescent="0.25">
      <c r="A98" s="532" t="s">
        <v>87</v>
      </c>
      <c r="B98" s="533"/>
      <c r="C98" s="335">
        <v>123</v>
      </c>
      <c r="D98" s="333">
        <v>100</v>
      </c>
      <c r="E98" s="334" t="s">
        <v>123</v>
      </c>
      <c r="F98" s="333">
        <v>100</v>
      </c>
      <c r="G98" s="333"/>
      <c r="H98" s="332">
        <f t="shared" si="11"/>
        <v>100</v>
      </c>
      <c r="I98" s="534">
        <v>3.51</v>
      </c>
      <c r="J98" s="330">
        <f t="shared" si="16"/>
        <v>3.1589999999999998</v>
      </c>
      <c r="K98" s="329">
        <f t="shared" si="12"/>
        <v>0.1</v>
      </c>
      <c r="L98" s="328">
        <v>7470</v>
      </c>
      <c r="M98" s="327">
        <f t="shared" si="13"/>
        <v>74700</v>
      </c>
      <c r="N98" s="383">
        <f t="shared" si="14"/>
        <v>35.1</v>
      </c>
      <c r="O98" s="383">
        <v>17</v>
      </c>
      <c r="P98" s="384">
        <f t="shared" si="15"/>
        <v>596700</v>
      </c>
      <c r="Q98" s="532"/>
      <c r="T98" s="310"/>
    </row>
    <row r="99" spans="1:20" s="64" customFormat="1" ht="24.95" customHeight="1" x14ac:dyDescent="0.25">
      <c r="A99" s="532" t="s">
        <v>86</v>
      </c>
      <c r="B99" s="533"/>
      <c r="C99" s="335">
        <v>58</v>
      </c>
      <c r="D99" s="333">
        <v>55</v>
      </c>
      <c r="E99" s="334" t="s">
        <v>123</v>
      </c>
      <c r="F99" s="333">
        <v>55</v>
      </c>
      <c r="G99" s="333"/>
      <c r="H99" s="332">
        <f t="shared" si="11"/>
        <v>55</v>
      </c>
      <c r="I99" s="534">
        <v>3.51</v>
      </c>
      <c r="J99" s="330">
        <f t="shared" si="16"/>
        <v>3.1589999999999998</v>
      </c>
      <c r="K99" s="329">
        <f t="shared" si="12"/>
        <v>0.1</v>
      </c>
      <c r="L99" s="328">
        <v>7470</v>
      </c>
      <c r="M99" s="327">
        <f t="shared" si="13"/>
        <v>41085</v>
      </c>
      <c r="N99" s="383">
        <f t="shared" si="14"/>
        <v>19.305</v>
      </c>
      <c r="O99" s="383">
        <v>17</v>
      </c>
      <c r="P99" s="384">
        <f t="shared" si="15"/>
        <v>328185</v>
      </c>
      <c r="Q99" s="532"/>
      <c r="T99" s="310"/>
    </row>
    <row r="100" spans="1:20" s="64" customFormat="1" ht="24.95" customHeight="1" x14ac:dyDescent="0.25">
      <c r="A100" s="532" t="s">
        <v>101</v>
      </c>
      <c r="B100" s="533"/>
      <c r="C100" s="335">
        <v>104</v>
      </c>
      <c r="D100" s="333">
        <v>134</v>
      </c>
      <c r="E100" s="334" t="s">
        <v>123</v>
      </c>
      <c r="F100" s="333">
        <v>97</v>
      </c>
      <c r="G100" s="333">
        <v>37</v>
      </c>
      <c r="H100" s="332">
        <f t="shared" si="11"/>
        <v>134</v>
      </c>
      <c r="I100" s="534">
        <v>3.51</v>
      </c>
      <c r="J100" s="330">
        <f t="shared" si="16"/>
        <v>3.1589999999999998</v>
      </c>
      <c r="K100" s="329">
        <f t="shared" si="12"/>
        <v>0.1</v>
      </c>
      <c r="L100" s="328">
        <v>7470</v>
      </c>
      <c r="M100" s="327">
        <f t="shared" si="13"/>
        <v>100098</v>
      </c>
      <c r="N100" s="383">
        <f t="shared" si="14"/>
        <v>47.033999999999999</v>
      </c>
      <c r="O100" s="383">
        <v>17</v>
      </c>
      <c r="P100" s="384">
        <f t="shared" si="15"/>
        <v>799578</v>
      </c>
      <c r="Q100" s="532"/>
      <c r="T100" s="310"/>
    </row>
    <row r="101" spans="1:20" s="64" customFormat="1" ht="24.95" customHeight="1" x14ac:dyDescent="0.25">
      <c r="A101" s="532" t="s">
        <v>112</v>
      </c>
      <c r="B101" s="533"/>
      <c r="C101" s="335">
        <v>298</v>
      </c>
      <c r="D101" s="333">
        <v>310</v>
      </c>
      <c r="E101" s="334" t="s">
        <v>123</v>
      </c>
      <c r="F101" s="333">
        <v>270</v>
      </c>
      <c r="G101" s="333">
        <v>40</v>
      </c>
      <c r="H101" s="332">
        <f t="shared" si="11"/>
        <v>310</v>
      </c>
      <c r="I101" s="534">
        <v>3.51</v>
      </c>
      <c r="J101" s="330">
        <f t="shared" si="16"/>
        <v>3.1589999999999998</v>
      </c>
      <c r="K101" s="329">
        <f t="shared" si="12"/>
        <v>0.1</v>
      </c>
      <c r="L101" s="328">
        <v>7470</v>
      </c>
      <c r="M101" s="327">
        <f t="shared" si="13"/>
        <v>231570</v>
      </c>
      <c r="N101" s="383">
        <f t="shared" si="14"/>
        <v>108.81</v>
      </c>
      <c r="O101" s="383">
        <v>17</v>
      </c>
      <c r="P101" s="384">
        <f t="shared" si="15"/>
        <v>1849770</v>
      </c>
      <c r="Q101" s="532"/>
      <c r="T101" s="310"/>
    </row>
    <row r="102" spans="1:20" s="64" customFormat="1" ht="24.95" customHeight="1" x14ac:dyDescent="0.25">
      <c r="A102" s="532" t="s">
        <v>248</v>
      </c>
      <c r="B102" s="533"/>
      <c r="C102" s="335">
        <v>69</v>
      </c>
      <c r="D102" s="333">
        <v>83</v>
      </c>
      <c r="E102" s="334" t="s">
        <v>123</v>
      </c>
      <c r="F102" s="333">
        <v>83</v>
      </c>
      <c r="G102" s="333"/>
      <c r="H102" s="332">
        <f t="shared" si="11"/>
        <v>83</v>
      </c>
      <c r="I102" s="534">
        <v>3.51</v>
      </c>
      <c r="J102" s="330">
        <f t="shared" si="16"/>
        <v>3.1589999999999998</v>
      </c>
      <c r="K102" s="329">
        <f t="shared" si="12"/>
        <v>0.1</v>
      </c>
      <c r="L102" s="328">
        <v>7470</v>
      </c>
      <c r="M102" s="327">
        <f t="shared" si="13"/>
        <v>62001</v>
      </c>
      <c r="N102" s="383">
        <f t="shared" si="14"/>
        <v>29.132999999999999</v>
      </c>
      <c r="O102" s="383">
        <v>17</v>
      </c>
      <c r="P102" s="384">
        <f t="shared" si="15"/>
        <v>495261</v>
      </c>
      <c r="Q102" s="532"/>
      <c r="T102" s="310"/>
    </row>
    <row r="103" spans="1:20" s="64" customFormat="1" ht="24.95" customHeight="1" x14ac:dyDescent="0.25">
      <c r="A103" s="532" t="s">
        <v>106</v>
      </c>
      <c r="B103" s="533"/>
      <c r="C103" s="335">
        <v>90</v>
      </c>
      <c r="D103" s="333">
        <v>75</v>
      </c>
      <c r="E103" s="334" t="s">
        <v>123</v>
      </c>
      <c r="F103" s="333">
        <v>75</v>
      </c>
      <c r="G103" s="333"/>
      <c r="H103" s="332">
        <f t="shared" si="11"/>
        <v>75</v>
      </c>
      <c r="I103" s="534">
        <v>3.51</v>
      </c>
      <c r="J103" s="330">
        <f t="shared" si="16"/>
        <v>3.1589999999999998</v>
      </c>
      <c r="K103" s="329">
        <f t="shared" si="12"/>
        <v>0.1</v>
      </c>
      <c r="L103" s="328">
        <v>7470</v>
      </c>
      <c r="M103" s="327">
        <f t="shared" si="13"/>
        <v>56025</v>
      </c>
      <c r="N103" s="383">
        <f t="shared" si="14"/>
        <v>26.325000000000003</v>
      </c>
      <c r="O103" s="383">
        <v>17</v>
      </c>
      <c r="P103" s="384">
        <f t="shared" si="15"/>
        <v>447525.00000000006</v>
      </c>
      <c r="Q103" s="532"/>
      <c r="T103" s="310"/>
    </row>
    <row r="104" spans="1:20" s="64" customFormat="1" ht="24.95" customHeight="1" x14ac:dyDescent="0.25">
      <c r="A104" s="532" t="s">
        <v>240</v>
      </c>
      <c r="B104" s="533"/>
      <c r="C104" s="335"/>
      <c r="D104" s="333">
        <v>693.5</v>
      </c>
      <c r="E104" s="334" t="s">
        <v>123</v>
      </c>
      <c r="F104" s="333">
        <v>104.02500000000001</v>
      </c>
      <c r="G104" s="333">
        <v>589.47500000000002</v>
      </c>
      <c r="H104" s="332">
        <f t="shared" si="11"/>
        <v>693.5</v>
      </c>
      <c r="I104" s="534">
        <v>3.51</v>
      </c>
      <c r="J104" s="330">
        <f t="shared" si="16"/>
        <v>3.1589999999999998</v>
      </c>
      <c r="K104" s="329">
        <f t="shared" si="12"/>
        <v>0.1</v>
      </c>
      <c r="L104" s="328">
        <v>7470</v>
      </c>
      <c r="M104" s="327">
        <f t="shared" si="13"/>
        <v>518044.5</v>
      </c>
      <c r="N104" s="383">
        <f t="shared" si="14"/>
        <v>243.41849999999999</v>
      </c>
      <c r="O104" s="383">
        <v>17</v>
      </c>
      <c r="P104" s="384">
        <f t="shared" si="15"/>
        <v>4138114.5</v>
      </c>
      <c r="Q104" s="532"/>
      <c r="T104" s="310"/>
    </row>
    <row r="105" spans="1:20" s="64" customFormat="1" ht="24.95" customHeight="1" x14ac:dyDescent="0.25">
      <c r="A105" s="532" t="s">
        <v>91</v>
      </c>
      <c r="B105" s="533"/>
      <c r="C105" s="335">
        <v>70</v>
      </c>
      <c r="D105" s="333">
        <v>480</v>
      </c>
      <c r="E105" s="334" t="s">
        <v>123</v>
      </c>
      <c r="F105" s="333">
        <v>360</v>
      </c>
      <c r="G105" s="333">
        <v>120</v>
      </c>
      <c r="H105" s="332">
        <f t="shared" si="11"/>
        <v>480</v>
      </c>
      <c r="I105" s="534">
        <v>3.51</v>
      </c>
      <c r="J105" s="330">
        <f t="shared" si="16"/>
        <v>3.1589999999999998</v>
      </c>
      <c r="K105" s="329">
        <f t="shared" si="12"/>
        <v>0.1</v>
      </c>
      <c r="L105" s="328">
        <v>7470</v>
      </c>
      <c r="M105" s="327">
        <f t="shared" si="13"/>
        <v>358560</v>
      </c>
      <c r="N105" s="383">
        <f t="shared" si="14"/>
        <v>168.48000000000002</v>
      </c>
      <c r="O105" s="383">
        <v>17</v>
      </c>
      <c r="P105" s="384">
        <f t="shared" si="15"/>
        <v>2864160.0000000005</v>
      </c>
      <c r="Q105" s="532"/>
      <c r="T105" s="310"/>
    </row>
    <row r="106" spans="1:20" s="64" customFormat="1" ht="24.95" customHeight="1" x14ac:dyDescent="0.25">
      <c r="A106" s="532" t="s">
        <v>110</v>
      </c>
      <c r="B106" s="533"/>
      <c r="C106" s="335">
        <v>190</v>
      </c>
      <c r="D106" s="333">
        <v>198</v>
      </c>
      <c r="E106" s="334" t="s">
        <v>123</v>
      </c>
      <c r="F106" s="333">
        <v>34</v>
      </c>
      <c r="G106" s="333">
        <v>42</v>
      </c>
      <c r="H106" s="332">
        <f t="shared" si="11"/>
        <v>76</v>
      </c>
      <c r="I106" s="534">
        <v>3.51</v>
      </c>
      <c r="J106" s="330">
        <f t="shared" si="16"/>
        <v>3.1589999999999998</v>
      </c>
      <c r="K106" s="329">
        <f t="shared" si="12"/>
        <v>0.1</v>
      </c>
      <c r="L106" s="328">
        <v>7470</v>
      </c>
      <c r="M106" s="327">
        <f t="shared" si="13"/>
        <v>56772</v>
      </c>
      <c r="N106" s="383">
        <f t="shared" si="14"/>
        <v>26.676000000000002</v>
      </c>
      <c r="O106" s="383">
        <v>17</v>
      </c>
      <c r="P106" s="384">
        <f t="shared" si="15"/>
        <v>453492.00000000006</v>
      </c>
      <c r="Q106" s="532"/>
      <c r="T106" s="310"/>
    </row>
    <row r="107" spans="1:20" s="461" customFormat="1" ht="24.95" customHeight="1" x14ac:dyDescent="0.25">
      <c r="A107" s="546" t="s">
        <v>220</v>
      </c>
      <c r="B107" s="547"/>
      <c r="C107" s="448">
        <v>105</v>
      </c>
      <c r="D107" s="448">
        <v>100</v>
      </c>
      <c r="E107" s="448">
        <v>0</v>
      </c>
      <c r="F107" s="448">
        <v>0</v>
      </c>
      <c r="G107" s="448">
        <v>100</v>
      </c>
      <c r="H107" s="448">
        <v>100</v>
      </c>
      <c r="I107" s="448">
        <v>7.02</v>
      </c>
      <c r="J107" s="448">
        <v>5.9669999999999996</v>
      </c>
      <c r="K107" s="448">
        <v>0.30000000000000004</v>
      </c>
      <c r="L107" s="448">
        <v>51238</v>
      </c>
      <c r="M107" s="448">
        <v>226825.40000000002</v>
      </c>
      <c r="N107" s="448">
        <v>41.769000000000005</v>
      </c>
      <c r="O107" s="448">
        <v>34</v>
      </c>
      <c r="P107" s="448">
        <v>710073</v>
      </c>
      <c r="Q107" s="546"/>
      <c r="T107" s="462"/>
    </row>
    <row r="108" spans="1:20" s="64" customFormat="1" ht="24.95" customHeight="1" x14ac:dyDescent="0.25">
      <c r="A108" s="532" t="s">
        <v>92</v>
      </c>
      <c r="B108" s="533"/>
      <c r="C108" s="335">
        <v>4</v>
      </c>
      <c r="D108" s="333">
        <v>6</v>
      </c>
      <c r="E108" s="334" t="s">
        <v>219</v>
      </c>
      <c r="F108" s="333">
        <v>3</v>
      </c>
      <c r="G108" s="332">
        <v>2.5</v>
      </c>
      <c r="H108" s="332">
        <f>G108+F108</f>
        <v>5.5</v>
      </c>
      <c r="I108" s="534">
        <v>3.51</v>
      </c>
      <c r="J108" s="330">
        <f>3.51*0.8</f>
        <v>2.8079999999999998</v>
      </c>
      <c r="K108" s="329">
        <f>(I108-J108)/I108</f>
        <v>0.2</v>
      </c>
      <c r="L108" s="328">
        <v>33464</v>
      </c>
      <c r="M108" s="327">
        <f>(H108*L108)*K108</f>
        <v>36810.400000000001</v>
      </c>
      <c r="N108" s="383">
        <f>H108*I108*K108</f>
        <v>3.8610000000000002</v>
      </c>
      <c r="O108" s="383">
        <v>17</v>
      </c>
      <c r="P108" s="384">
        <f>N108*1000*17</f>
        <v>65637</v>
      </c>
      <c r="Q108" s="532"/>
      <c r="T108" s="310"/>
    </row>
    <row r="109" spans="1:20" s="64" customFormat="1" ht="24.95" customHeight="1" x14ac:dyDescent="0.25">
      <c r="A109" s="532" t="s">
        <v>3</v>
      </c>
      <c r="B109" s="533"/>
      <c r="C109" s="335">
        <v>51</v>
      </c>
      <c r="D109" s="333">
        <v>35</v>
      </c>
      <c r="E109" s="334" t="s">
        <v>123</v>
      </c>
      <c r="F109" s="333">
        <v>26</v>
      </c>
      <c r="G109" s="332">
        <v>9</v>
      </c>
      <c r="H109" s="332">
        <f>SUM(F109:G109)</f>
        <v>35</v>
      </c>
      <c r="I109" s="534">
        <v>3.51</v>
      </c>
      <c r="J109" s="330">
        <f>3.51*0.9</f>
        <v>3.1589999999999998</v>
      </c>
      <c r="K109" s="329">
        <f>(I109-J109)/I109</f>
        <v>0.1</v>
      </c>
      <c r="L109" s="328">
        <v>7470</v>
      </c>
      <c r="M109" s="327">
        <f>(H109*L109)*K109</f>
        <v>26145</v>
      </c>
      <c r="N109" s="383">
        <f>H109*I109*K109</f>
        <v>12.285</v>
      </c>
      <c r="O109" s="383">
        <v>17</v>
      </c>
      <c r="P109" s="384">
        <f>N109*1000*17</f>
        <v>208845</v>
      </c>
      <c r="Q109" s="532"/>
      <c r="T109" s="310"/>
    </row>
    <row r="110" spans="1:20" s="64" customFormat="1" ht="24.95" customHeight="1" x14ac:dyDescent="0.25">
      <c r="A110" s="532" t="s">
        <v>109</v>
      </c>
      <c r="B110" s="533"/>
      <c r="C110" s="335">
        <v>591</v>
      </c>
      <c r="D110" s="333">
        <v>482.28</v>
      </c>
      <c r="E110" s="334" t="s">
        <v>123</v>
      </c>
      <c r="F110" s="333">
        <v>225</v>
      </c>
      <c r="G110" s="332">
        <f>482-225</f>
        <v>257</v>
      </c>
      <c r="H110" s="332">
        <f>SUM(F110:G110)</f>
        <v>482</v>
      </c>
      <c r="I110" s="534">
        <v>3.51</v>
      </c>
      <c r="J110" s="330">
        <f>3.51*0.9</f>
        <v>3.1589999999999998</v>
      </c>
      <c r="K110" s="329">
        <f>(I110-J110)/I110</f>
        <v>0.1</v>
      </c>
      <c r="L110" s="328">
        <v>7470</v>
      </c>
      <c r="M110" s="327">
        <f>(H110*L110)*K110</f>
        <v>360054</v>
      </c>
      <c r="N110" s="383">
        <f>H110*I110*K110</f>
        <v>169.18200000000002</v>
      </c>
      <c r="O110" s="383">
        <v>17</v>
      </c>
      <c r="P110" s="384">
        <f>N110*1000*17</f>
        <v>2876094.0000000005</v>
      </c>
      <c r="Q110" s="532"/>
      <c r="T110" s="310"/>
    </row>
    <row r="111" spans="1:20" s="64" customFormat="1" ht="24.95" customHeight="1" x14ac:dyDescent="0.25">
      <c r="A111" s="532" t="s">
        <v>94</v>
      </c>
      <c r="B111" s="533"/>
      <c r="C111" s="335">
        <v>17</v>
      </c>
      <c r="D111" s="333">
        <v>14.375</v>
      </c>
      <c r="E111" s="334" t="s">
        <v>123</v>
      </c>
      <c r="F111" s="333">
        <v>14.375</v>
      </c>
      <c r="G111" s="333"/>
      <c r="H111" s="332">
        <f>SUM(F111:G111)</f>
        <v>14.375</v>
      </c>
      <c r="I111" s="534">
        <v>3.51</v>
      </c>
      <c r="J111" s="330">
        <v>2.81</v>
      </c>
      <c r="K111" s="329">
        <f>(I111-J111)/I111</f>
        <v>0.19943019943019938</v>
      </c>
      <c r="L111" s="328">
        <v>7470</v>
      </c>
      <c r="M111" s="327">
        <f>(H111*L111)*K111</f>
        <v>21415.064102564098</v>
      </c>
      <c r="N111" s="383">
        <f>H111*I111*K111</f>
        <v>10.062499999999996</v>
      </c>
      <c r="O111" s="383">
        <v>17</v>
      </c>
      <c r="P111" s="384">
        <f>N111*1000*17</f>
        <v>171062.49999999994</v>
      </c>
      <c r="Q111" s="532"/>
      <c r="T111" s="310"/>
    </row>
    <row r="112" spans="1:20" s="461" customFormat="1" ht="24.95" customHeight="1" x14ac:dyDescent="0.25">
      <c r="A112" s="546" t="s">
        <v>88</v>
      </c>
      <c r="B112" s="547"/>
      <c r="C112" s="448">
        <v>287</v>
      </c>
      <c r="D112" s="448">
        <v>564.25</v>
      </c>
      <c r="E112" s="448">
        <v>0</v>
      </c>
      <c r="F112" s="448">
        <v>557.25</v>
      </c>
      <c r="G112" s="448">
        <v>7</v>
      </c>
      <c r="H112" s="448">
        <v>564.25</v>
      </c>
      <c r="I112" s="448">
        <v>7.02</v>
      </c>
      <c r="J112" s="448">
        <v>5.6180000000000003</v>
      </c>
      <c r="K112" s="448">
        <v>0.39943019943019942</v>
      </c>
      <c r="L112" s="448">
        <v>51238</v>
      </c>
      <c r="M112" s="448">
        <v>891434.8153846151</v>
      </c>
      <c r="N112" s="448">
        <v>394.98899999999986</v>
      </c>
      <c r="O112" s="448">
        <v>34</v>
      </c>
      <c r="P112" s="448">
        <v>6714812.9999999981</v>
      </c>
      <c r="Q112" s="546"/>
      <c r="T112" s="462"/>
    </row>
    <row r="113" spans="1:20" s="64" customFormat="1" ht="24.95" customHeight="1" x14ac:dyDescent="0.25">
      <c r="A113" s="532" t="s">
        <v>113</v>
      </c>
      <c r="B113" s="533"/>
      <c r="C113" s="335">
        <v>372</v>
      </c>
      <c r="D113" s="333">
        <v>238.5</v>
      </c>
      <c r="E113" s="334" t="s">
        <v>123</v>
      </c>
      <c r="F113" s="333">
        <v>35.25</v>
      </c>
      <c r="G113" s="333">
        <v>203.25</v>
      </c>
      <c r="H113" s="332">
        <f>SUM(F113:G113)</f>
        <v>238.5</v>
      </c>
      <c r="I113" s="534">
        <v>3.51</v>
      </c>
      <c r="J113" s="330">
        <f>3.51*0.9</f>
        <v>3.1589999999999998</v>
      </c>
      <c r="K113" s="329">
        <f>(I113-J113)/I113</f>
        <v>0.1</v>
      </c>
      <c r="L113" s="328">
        <v>7470</v>
      </c>
      <c r="M113" s="327">
        <f>(H113*L113)*K113</f>
        <v>178159.5</v>
      </c>
      <c r="N113" s="383">
        <f>H113*I113*K113</f>
        <v>83.71350000000001</v>
      </c>
      <c r="O113" s="383">
        <v>17</v>
      </c>
      <c r="P113" s="384">
        <f>N113*1000*17</f>
        <v>1423129.5000000002</v>
      </c>
      <c r="Q113" s="532"/>
      <c r="T113" s="310"/>
    </row>
    <row r="114" spans="1:20" s="64" customFormat="1" ht="24.95" customHeight="1" x14ac:dyDescent="0.25">
      <c r="A114" s="275"/>
      <c r="B114" s="526"/>
      <c r="C114" s="527"/>
      <c r="D114" s="527"/>
      <c r="E114" s="531"/>
      <c r="F114" s="529"/>
      <c r="G114" s="529"/>
      <c r="H114" s="527"/>
      <c r="I114" s="530"/>
      <c r="J114" s="269"/>
      <c r="K114" s="313"/>
      <c r="L114" s="529"/>
      <c r="M114" s="529"/>
      <c r="N114" s="529"/>
      <c r="O114" s="528"/>
      <c r="P114" s="527"/>
      <c r="Q114" s="264"/>
      <c r="T114" s="310"/>
    </row>
    <row r="115" spans="1:20" s="64" customFormat="1" ht="24.95" customHeight="1" x14ac:dyDescent="0.25">
      <c r="A115" s="275"/>
      <c r="B115" s="526"/>
      <c r="C115" s="527"/>
      <c r="D115" s="527"/>
      <c r="E115" s="531"/>
      <c r="F115" s="529"/>
      <c r="G115" s="529"/>
      <c r="H115" s="527"/>
      <c r="I115" s="530"/>
      <c r="J115" s="269"/>
      <c r="K115" s="313"/>
      <c r="L115" s="529"/>
      <c r="M115" s="529"/>
      <c r="N115" s="529"/>
      <c r="O115" s="528"/>
      <c r="P115" s="527"/>
      <c r="Q115" s="264"/>
      <c r="T115" s="310"/>
    </row>
    <row r="116" spans="1:20" s="64" customFormat="1" ht="19.5" customHeight="1" x14ac:dyDescent="0.25">
      <c r="A116" s="275"/>
      <c r="B116" s="526"/>
      <c r="C116" s="312"/>
      <c r="D116" s="312"/>
      <c r="E116" s="315"/>
      <c r="F116" s="312"/>
      <c r="G116" s="312"/>
      <c r="H116" s="312"/>
      <c r="I116" s="314"/>
      <c r="J116" s="269"/>
      <c r="K116" s="313"/>
      <c r="L116" s="312"/>
      <c r="M116" s="312"/>
      <c r="N116" s="312"/>
      <c r="O116" s="266"/>
      <c r="P116" s="312"/>
      <c r="Q116" s="311"/>
      <c r="T116" s="310"/>
    </row>
    <row r="117" spans="1:20" s="64" customFormat="1" ht="19.5" customHeight="1" x14ac:dyDescent="0.25">
      <c r="A117" s="789" t="s">
        <v>193</v>
      </c>
      <c r="B117" s="789"/>
      <c r="C117" s="789"/>
      <c r="D117" s="789"/>
      <c r="E117" s="278"/>
      <c r="F117" s="790" t="s">
        <v>192</v>
      </c>
      <c r="G117" s="790"/>
      <c r="H117" s="790"/>
      <c r="I117" s="790"/>
      <c r="J117" s="790"/>
      <c r="K117" s="278"/>
      <c r="L117" s="277"/>
      <c r="M117" s="790" t="s">
        <v>191</v>
      </c>
      <c r="N117" s="790"/>
      <c r="O117" s="790"/>
      <c r="P117" s="790"/>
      <c r="Q117" s="276"/>
    </row>
    <row r="118" spans="1:20" s="64" customFormat="1" ht="19.5" customHeight="1" x14ac:dyDescent="0.25">
      <c r="A118" s="791"/>
      <c r="B118" s="791"/>
      <c r="C118" s="791"/>
      <c r="D118" s="791"/>
      <c r="E118" s="278"/>
      <c r="F118" s="791" t="s">
        <v>190</v>
      </c>
      <c r="G118" s="791"/>
      <c r="H118" s="791"/>
      <c r="I118" s="791"/>
      <c r="J118" s="791"/>
      <c r="K118" s="278"/>
      <c r="L118" s="277"/>
      <c r="M118" s="791" t="s">
        <v>189</v>
      </c>
      <c r="N118" s="791"/>
      <c r="O118" s="791"/>
      <c r="P118" s="791"/>
      <c r="Q118" s="276"/>
    </row>
    <row r="119" spans="1:20" s="64" customFormat="1" ht="19.5" customHeight="1" x14ac:dyDescent="0.2">
      <c r="A119" s="275"/>
      <c r="B119" s="525"/>
      <c r="C119" s="273"/>
      <c r="D119" s="273"/>
      <c r="E119" s="274"/>
      <c r="F119" s="273"/>
      <c r="G119" s="272"/>
      <c r="H119" s="271"/>
      <c r="I119" s="270"/>
      <c r="J119" s="269"/>
      <c r="K119" s="266"/>
      <c r="L119" s="268"/>
      <c r="M119" s="267"/>
      <c r="N119" s="266"/>
      <c r="O119" s="266"/>
      <c r="P119" s="265"/>
      <c r="Q119" s="264"/>
    </row>
  </sheetData>
  <mergeCells count="24">
    <mergeCell ref="A117:D117"/>
    <mergeCell ref="F117:J117"/>
    <mergeCell ref="M117:P117"/>
    <mergeCell ref="A118:D118"/>
    <mergeCell ref="F118:J118"/>
    <mergeCell ref="M118:P118"/>
    <mergeCell ref="Q41:Q42"/>
    <mergeCell ref="A1:Q1"/>
    <mergeCell ref="A2:Q2"/>
    <mergeCell ref="A3:Q3"/>
    <mergeCell ref="A4:Q4"/>
    <mergeCell ref="A11:Q11"/>
    <mergeCell ref="A12:A14"/>
    <mergeCell ref="B12:B14"/>
    <mergeCell ref="C12:C14"/>
    <mergeCell ref="D12:D14"/>
    <mergeCell ref="E12:E14"/>
    <mergeCell ref="F12:H13"/>
    <mergeCell ref="I12:J13"/>
    <mergeCell ref="K12:K14"/>
    <mergeCell ref="L12:P12"/>
    <mergeCell ref="Q12:Q14"/>
    <mergeCell ref="L13:M13"/>
    <mergeCell ref="N13:P13"/>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1D68C-2F2C-E94B-968A-49A4C1CD6067}">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67" customWidth="1"/>
    <col min="2" max="2" width="19.42578125" style="467" customWidth="1"/>
    <col min="3" max="3" width="16.42578125" style="468" customWidth="1"/>
    <col min="4" max="4" width="15.85546875" style="468" customWidth="1"/>
    <col min="5" max="5" width="25.140625" style="468" customWidth="1"/>
    <col min="6" max="6" width="15.28515625" style="467" customWidth="1"/>
    <col min="7" max="7" width="16.85546875" style="467" customWidth="1"/>
    <col min="8" max="8" width="19.140625" style="467" customWidth="1"/>
    <col min="9" max="9" width="15" style="467" customWidth="1"/>
    <col min="10" max="10" width="13.42578125" style="467" customWidth="1"/>
    <col min="11" max="11" width="11.140625" style="467" customWidth="1"/>
    <col min="12" max="12" width="25.140625" style="467" customWidth="1"/>
    <col min="13" max="13" width="26.42578125" style="467" customWidth="1"/>
    <col min="14" max="14" width="16.28515625" style="467" customWidth="1"/>
    <col min="15" max="15" width="12.140625" style="467" customWidth="1"/>
    <col min="16" max="16" width="29.42578125" style="467" customWidth="1"/>
    <col min="17" max="17" width="21.85546875" style="467" customWidth="1"/>
    <col min="18" max="18" width="9.140625" style="252"/>
    <col min="19" max="19" width="22.7109375" style="252" customWidth="1"/>
    <col min="20" max="20" width="29.28515625" style="252" customWidth="1"/>
    <col min="21" max="16384" width="9.140625" style="252"/>
  </cols>
  <sheetData>
    <row r="1" spans="1:20" ht="26.25" customHeight="1" x14ac:dyDescent="0.25">
      <c r="A1" s="804" t="s">
        <v>247</v>
      </c>
      <c r="B1" s="804"/>
      <c r="C1" s="804"/>
      <c r="D1" s="804"/>
      <c r="E1" s="804"/>
      <c r="F1" s="804"/>
      <c r="G1" s="804"/>
      <c r="H1" s="804"/>
      <c r="I1" s="804"/>
      <c r="J1" s="804"/>
      <c r="K1" s="804"/>
      <c r="L1" s="804"/>
      <c r="M1" s="804"/>
      <c r="N1" s="804"/>
      <c r="O1" s="804"/>
      <c r="P1" s="804"/>
      <c r="Q1" s="804"/>
    </row>
    <row r="2" spans="1:20" ht="18.95" customHeight="1" x14ac:dyDescent="0.25">
      <c r="A2" s="804" t="s">
        <v>246</v>
      </c>
      <c r="B2" s="804"/>
      <c r="C2" s="804"/>
      <c r="D2" s="804"/>
      <c r="E2" s="804"/>
      <c r="F2" s="804"/>
      <c r="G2" s="804"/>
      <c r="H2" s="804"/>
      <c r="I2" s="804"/>
      <c r="J2" s="804"/>
      <c r="K2" s="804"/>
      <c r="L2" s="804"/>
      <c r="M2" s="804"/>
      <c r="N2" s="804"/>
      <c r="O2" s="804"/>
      <c r="P2" s="804"/>
      <c r="Q2" s="804"/>
    </row>
    <row r="3" spans="1:20" ht="18.95" customHeight="1" x14ac:dyDescent="0.25">
      <c r="A3" s="804" t="s">
        <v>245</v>
      </c>
      <c r="B3" s="804"/>
      <c r="C3" s="804"/>
      <c r="D3" s="804"/>
      <c r="E3" s="804"/>
      <c r="F3" s="804"/>
      <c r="G3" s="804"/>
      <c r="H3" s="804"/>
      <c r="I3" s="804"/>
      <c r="J3" s="804"/>
      <c r="K3" s="804"/>
      <c r="L3" s="804"/>
      <c r="M3" s="804"/>
      <c r="N3" s="804"/>
      <c r="O3" s="804"/>
      <c r="P3" s="804"/>
      <c r="Q3" s="804"/>
    </row>
    <row r="4" spans="1:20" ht="18.75" customHeight="1" x14ac:dyDescent="0.25">
      <c r="A4" s="805" t="s">
        <v>244</v>
      </c>
      <c r="B4" s="805"/>
      <c r="C4" s="805"/>
      <c r="D4" s="805"/>
      <c r="E4" s="805"/>
      <c r="F4" s="805"/>
      <c r="G4" s="805"/>
      <c r="H4" s="805"/>
      <c r="I4" s="805"/>
      <c r="J4" s="805"/>
      <c r="K4" s="805"/>
      <c r="L4" s="805"/>
      <c r="M4" s="805"/>
      <c r="N4" s="805"/>
      <c r="O4" s="805"/>
      <c r="P4" s="805"/>
      <c r="Q4" s="805"/>
    </row>
    <row r="5" spans="1:20" ht="6" customHeight="1" thickBot="1" x14ac:dyDescent="0.3">
      <c r="A5" s="484"/>
      <c r="B5" s="484"/>
      <c r="C5" s="484"/>
      <c r="D5" s="484"/>
      <c r="E5" s="484"/>
      <c r="F5" s="484"/>
      <c r="G5" s="484"/>
      <c r="H5" s="484"/>
      <c r="I5" s="484"/>
      <c r="J5" s="484"/>
      <c r="K5" s="484"/>
      <c r="L5" s="484"/>
      <c r="M5" s="484"/>
      <c r="N5" s="484"/>
      <c r="O5" s="484"/>
      <c r="P5" s="484"/>
      <c r="Q5" s="484"/>
    </row>
    <row r="6" spans="1:20" ht="18.95" customHeight="1" x14ac:dyDescent="0.25">
      <c r="A6" s="516" t="s">
        <v>232</v>
      </c>
      <c r="B6" s="515"/>
      <c r="C6" s="512"/>
      <c r="D6" s="512"/>
      <c r="E6" s="512"/>
      <c r="F6" s="512"/>
      <c r="G6" s="512"/>
      <c r="H6" s="512"/>
      <c r="I6" s="512"/>
      <c r="J6" s="512"/>
      <c r="K6" s="512"/>
      <c r="L6" s="514"/>
      <c r="M6" s="513" t="s">
        <v>183</v>
      </c>
      <c r="N6" s="512"/>
      <c r="O6" s="512"/>
      <c r="P6" s="512"/>
      <c r="Q6" s="511"/>
    </row>
    <row r="7" spans="1:20" ht="18.95" customHeight="1" x14ac:dyDescent="0.25">
      <c r="A7" s="507"/>
      <c r="B7" s="510"/>
      <c r="C7" s="502"/>
      <c r="D7" s="502"/>
      <c r="E7" s="502"/>
      <c r="F7" s="502"/>
      <c r="G7" s="502"/>
      <c r="H7" s="502"/>
      <c r="I7" s="502"/>
      <c r="J7" s="502"/>
      <c r="K7" s="502"/>
      <c r="L7" s="505"/>
      <c r="M7" s="509" t="s">
        <v>182</v>
      </c>
      <c r="N7" s="508"/>
      <c r="O7" s="508" t="s">
        <v>181</v>
      </c>
      <c r="P7" s="502"/>
      <c r="Q7" s="501"/>
    </row>
    <row r="8" spans="1:20" ht="18.95" customHeight="1" x14ac:dyDescent="0.25">
      <c r="A8" s="507"/>
      <c r="B8" s="506"/>
      <c r="C8" s="502"/>
      <c r="D8" s="502"/>
      <c r="E8" s="502"/>
      <c r="F8" s="502"/>
      <c r="G8" s="502"/>
      <c r="H8" s="502"/>
      <c r="I8" s="502"/>
      <c r="J8" s="502"/>
      <c r="K8" s="502"/>
      <c r="L8" s="505"/>
      <c r="M8" s="504" t="s">
        <v>180</v>
      </c>
      <c r="N8" s="503"/>
      <c r="O8" s="502"/>
      <c r="P8" s="502" t="s">
        <v>179</v>
      </c>
      <c r="Q8" s="501"/>
    </row>
    <row r="9" spans="1:20" ht="18.95" customHeight="1" x14ac:dyDescent="0.25">
      <c r="A9" s="507"/>
      <c r="B9" s="506"/>
      <c r="C9" s="502"/>
      <c r="D9" s="502"/>
      <c r="E9" s="502"/>
      <c r="F9" s="502"/>
      <c r="G9" s="502"/>
      <c r="H9" s="502"/>
      <c r="I9" s="502"/>
      <c r="J9" s="502"/>
      <c r="K9" s="502"/>
      <c r="L9" s="505"/>
      <c r="M9" s="504" t="s">
        <v>178</v>
      </c>
      <c r="N9" s="503"/>
      <c r="O9" s="502"/>
      <c r="P9" s="502" t="s">
        <v>177</v>
      </c>
      <c r="Q9" s="501"/>
    </row>
    <row r="10" spans="1:20" ht="18.95" customHeight="1" thickBot="1" x14ac:dyDescent="0.3">
      <c r="A10" s="507"/>
      <c r="B10" s="506"/>
      <c r="C10" s="502"/>
      <c r="D10" s="502"/>
      <c r="E10" s="502"/>
      <c r="F10" s="502"/>
      <c r="G10" s="502"/>
      <c r="H10" s="502"/>
      <c r="I10" s="502"/>
      <c r="J10" s="502"/>
      <c r="K10" s="502"/>
      <c r="L10" s="505"/>
      <c r="M10" s="504" t="s">
        <v>176</v>
      </c>
      <c r="N10" s="503"/>
      <c r="O10" s="502"/>
      <c r="P10" s="502" t="s">
        <v>175</v>
      </c>
      <c r="Q10" s="501"/>
    </row>
    <row r="11" spans="1:20" s="497" customFormat="1" ht="18.95" customHeight="1" thickBot="1" x14ac:dyDescent="0.3">
      <c r="A11" s="806" t="s">
        <v>174</v>
      </c>
      <c r="B11" s="807"/>
      <c r="C11" s="807"/>
      <c r="D11" s="807"/>
      <c r="E11" s="807"/>
      <c r="F11" s="807"/>
      <c r="G11" s="807"/>
      <c r="H11" s="807"/>
      <c r="I11" s="807"/>
      <c r="J11" s="807"/>
      <c r="K11" s="807"/>
      <c r="L11" s="807"/>
      <c r="M11" s="807"/>
      <c r="N11" s="807"/>
      <c r="O11" s="807"/>
      <c r="P11" s="807"/>
      <c r="Q11" s="808"/>
    </row>
    <row r="12" spans="1:20" s="497" customFormat="1" ht="18.95" customHeight="1" x14ac:dyDescent="0.25">
      <c r="A12" s="809" t="s">
        <v>173</v>
      </c>
      <c r="B12" s="798" t="s">
        <v>172</v>
      </c>
      <c r="C12" s="798" t="s">
        <v>171</v>
      </c>
      <c r="D12" s="798" t="s">
        <v>170</v>
      </c>
      <c r="E12" s="798" t="s">
        <v>169</v>
      </c>
      <c r="F12" s="792" t="s">
        <v>168</v>
      </c>
      <c r="G12" s="793"/>
      <c r="H12" s="794"/>
      <c r="I12" s="792" t="s">
        <v>167</v>
      </c>
      <c r="J12" s="794"/>
      <c r="K12" s="798" t="s">
        <v>166</v>
      </c>
      <c r="L12" s="798" t="s">
        <v>165</v>
      </c>
      <c r="M12" s="798"/>
      <c r="N12" s="798"/>
      <c r="O12" s="798"/>
      <c r="P12" s="798"/>
      <c r="Q12" s="801" t="s">
        <v>164</v>
      </c>
    </row>
    <row r="13" spans="1:20" s="497" customFormat="1" ht="30" customHeight="1" x14ac:dyDescent="0.25">
      <c r="A13" s="810"/>
      <c r="B13" s="799"/>
      <c r="C13" s="799"/>
      <c r="D13" s="799"/>
      <c r="E13" s="799"/>
      <c r="F13" s="795"/>
      <c r="G13" s="796"/>
      <c r="H13" s="797"/>
      <c r="I13" s="795"/>
      <c r="J13" s="797"/>
      <c r="K13" s="799"/>
      <c r="L13" s="799" t="s">
        <v>163</v>
      </c>
      <c r="M13" s="799"/>
      <c r="N13" s="799" t="s">
        <v>231</v>
      </c>
      <c r="O13" s="799"/>
      <c r="P13" s="799"/>
      <c r="Q13" s="802"/>
    </row>
    <row r="14" spans="1:20" s="497" customFormat="1" ht="45.75" customHeight="1" thickBot="1" x14ac:dyDescent="0.3">
      <c r="A14" s="811"/>
      <c r="B14" s="800"/>
      <c r="C14" s="800"/>
      <c r="D14" s="800"/>
      <c r="E14" s="800"/>
      <c r="F14" s="500" t="s">
        <v>161</v>
      </c>
      <c r="G14" s="500" t="s">
        <v>160</v>
      </c>
      <c r="H14" s="500" t="s">
        <v>159</v>
      </c>
      <c r="I14" s="500" t="s">
        <v>158</v>
      </c>
      <c r="J14" s="500" t="s">
        <v>157</v>
      </c>
      <c r="K14" s="800"/>
      <c r="L14" s="498" t="s">
        <v>156</v>
      </c>
      <c r="M14" s="498" t="s">
        <v>155</v>
      </c>
      <c r="N14" s="499" t="s">
        <v>154</v>
      </c>
      <c r="O14" s="499" t="s">
        <v>153</v>
      </c>
      <c r="P14" s="498" t="s">
        <v>152</v>
      </c>
      <c r="Q14" s="803"/>
    </row>
    <row r="15" spans="1:20" s="475" customFormat="1" ht="19.5" customHeight="1" x14ac:dyDescent="0.25">
      <c r="A15" s="496" t="s">
        <v>151</v>
      </c>
      <c r="B15" s="496" t="s">
        <v>243</v>
      </c>
      <c r="C15" s="496" t="s">
        <v>150</v>
      </c>
      <c r="D15" s="496" t="s">
        <v>230</v>
      </c>
      <c r="E15" s="496" t="s">
        <v>149</v>
      </c>
      <c r="F15" s="496" t="s">
        <v>148</v>
      </c>
      <c r="G15" s="496" t="s">
        <v>147</v>
      </c>
      <c r="H15" s="496" t="s">
        <v>146</v>
      </c>
      <c r="I15" s="496" t="s">
        <v>145</v>
      </c>
      <c r="J15" s="496" t="s">
        <v>144</v>
      </c>
      <c r="K15" s="496" t="s">
        <v>143</v>
      </c>
      <c r="L15" s="496" t="s">
        <v>142</v>
      </c>
      <c r="M15" s="496" t="s">
        <v>141</v>
      </c>
      <c r="N15" s="496" t="s">
        <v>140</v>
      </c>
      <c r="O15" s="496" t="s">
        <v>139</v>
      </c>
      <c r="P15" s="496" t="s">
        <v>138</v>
      </c>
      <c r="Q15" s="495" t="s">
        <v>229</v>
      </c>
      <c r="T15" s="476"/>
    </row>
    <row r="16" spans="1:20" s="490" customFormat="1" ht="25.5" customHeight="1" x14ac:dyDescent="0.25">
      <c r="A16" s="493" t="s">
        <v>135</v>
      </c>
      <c r="B16" s="494"/>
      <c r="C16" s="493">
        <f>C20+C24+C17+C27</f>
        <v>8250</v>
      </c>
      <c r="D16" s="493">
        <f>D20+D24+D17+D27</f>
        <v>10815.69</v>
      </c>
      <c r="E16" s="493"/>
      <c r="F16" s="493">
        <f>F20+F24+F17+F27</f>
        <v>7309.25</v>
      </c>
      <c r="G16" s="493">
        <f>G20+G24+G17+G27</f>
        <v>3418.5</v>
      </c>
      <c r="H16" s="493">
        <f>H20+H24+H17+H27</f>
        <v>10727.75</v>
      </c>
      <c r="I16" s="493"/>
      <c r="J16" s="493"/>
      <c r="K16" s="493"/>
      <c r="L16" s="493"/>
      <c r="M16" s="493">
        <f>M20+M24+M17+M27</f>
        <v>52375795.628496438</v>
      </c>
      <c r="N16" s="493">
        <f>N20+N24+N17+N27</f>
        <v>21282.391755000001</v>
      </c>
      <c r="O16" s="493"/>
      <c r="P16" s="493">
        <f>P20+P24+P17+P27</f>
        <v>361800659.83499998</v>
      </c>
      <c r="Q16" s="492"/>
      <c r="T16" s="491"/>
    </row>
    <row r="17" spans="1:20" s="483" customFormat="1" ht="19.5" customHeight="1" x14ac:dyDescent="0.25">
      <c r="A17" s="487" t="s">
        <v>48</v>
      </c>
      <c r="B17" s="487"/>
      <c r="C17" s="486">
        <f>SUM(C18:C19)</f>
        <v>63</v>
      </c>
      <c r="D17" s="486">
        <f>SUM(D18:D19)</f>
        <v>144.5</v>
      </c>
      <c r="E17" s="487"/>
      <c r="F17" s="486">
        <f>SUM(F18:F19)</f>
        <v>55</v>
      </c>
      <c r="G17" s="486">
        <f>SUM(G18:G19)</f>
        <v>12</v>
      </c>
      <c r="H17" s="486">
        <f>SUM(H18:H19)</f>
        <v>67</v>
      </c>
      <c r="I17" s="489"/>
      <c r="J17" s="489"/>
      <c r="K17" s="487"/>
      <c r="L17" s="485"/>
      <c r="M17" s="486">
        <f>SUM(M18:M19)</f>
        <v>2005741.7555205049</v>
      </c>
      <c r="N17" s="486">
        <f>SUM(N18:N19)</f>
        <v>210.33750000000001</v>
      </c>
      <c r="O17" s="487"/>
      <c r="P17" s="486">
        <f>SUM(P18:P19)</f>
        <v>3575737.5</v>
      </c>
      <c r="Q17" s="485"/>
      <c r="T17" s="484"/>
    </row>
    <row r="18" spans="1:20" s="475" customFormat="1" ht="18.75" customHeight="1" x14ac:dyDescent="0.25">
      <c r="A18" s="477" t="s">
        <v>52</v>
      </c>
      <c r="B18" s="477"/>
      <c r="C18" s="482">
        <v>40</v>
      </c>
      <c r="D18" s="477">
        <v>119.5</v>
      </c>
      <c r="E18" s="477" t="s">
        <v>241</v>
      </c>
      <c r="F18" s="477">
        <v>30</v>
      </c>
      <c r="G18" s="477">
        <v>12</v>
      </c>
      <c r="H18" s="478">
        <f>SUM(F18:G18)</f>
        <v>42</v>
      </c>
      <c r="I18" s="481">
        <v>3.17</v>
      </c>
      <c r="J18" s="480">
        <v>0.03</v>
      </c>
      <c r="K18" s="479">
        <f>(I18-J18)/I18</f>
        <v>0.99053627760252372</v>
      </c>
      <c r="L18" s="478">
        <v>43768</v>
      </c>
      <c r="M18" s="478">
        <f>(H18*L18)*K18</f>
        <v>1820859.2555205049</v>
      </c>
      <c r="N18" s="477">
        <f>H18*I18*K18</f>
        <v>131.88</v>
      </c>
      <c r="O18" s="477">
        <v>17</v>
      </c>
      <c r="P18" s="478">
        <f>N18*1000*17</f>
        <v>2241960</v>
      </c>
      <c r="Q18" s="477"/>
      <c r="T18" s="476"/>
    </row>
    <row r="19" spans="1:20" s="475" customFormat="1" ht="18.75" customHeight="1" x14ac:dyDescent="0.25">
      <c r="A19" s="477" t="s">
        <v>51</v>
      </c>
      <c r="B19" s="477"/>
      <c r="C19" s="482">
        <v>23</v>
      </c>
      <c r="D19" s="477">
        <v>25</v>
      </c>
      <c r="E19" s="477" t="s">
        <v>117</v>
      </c>
      <c r="F19" s="477">
        <v>25</v>
      </c>
      <c r="G19" s="477"/>
      <c r="H19" s="478">
        <f>SUM(F19:G19)</f>
        <v>25</v>
      </c>
      <c r="I19" s="481">
        <v>3.17</v>
      </c>
      <c r="J19" s="480">
        <f>3.17*0.01</f>
        <v>3.1699999999999999E-2</v>
      </c>
      <c r="K19" s="479">
        <f>(I19-J19)/I19</f>
        <v>0.9900000000000001</v>
      </c>
      <c r="L19" s="478">
        <v>7470</v>
      </c>
      <c r="M19" s="478">
        <f>(H19*L19)*K19</f>
        <v>184882.50000000003</v>
      </c>
      <c r="N19" s="477">
        <f>H19*I19*K19</f>
        <v>78.45750000000001</v>
      </c>
      <c r="O19" s="477">
        <v>17</v>
      </c>
      <c r="P19" s="478">
        <f>N19*1000*17</f>
        <v>1333777.5000000002</v>
      </c>
      <c r="Q19" s="477"/>
      <c r="T19" s="476"/>
    </row>
    <row r="20" spans="1:20" s="483" customFormat="1" ht="19.5" customHeight="1" x14ac:dyDescent="0.25">
      <c r="A20" s="487" t="s">
        <v>242</v>
      </c>
      <c r="B20" s="487"/>
      <c r="C20" s="486">
        <f>SUM(C21:C23)</f>
        <v>855</v>
      </c>
      <c r="D20" s="486">
        <f>SUM(D21:D23)</f>
        <v>869</v>
      </c>
      <c r="E20" s="487"/>
      <c r="F20" s="486">
        <f>SUM(F21:F23)</f>
        <v>0</v>
      </c>
      <c r="G20" s="486">
        <f>SUM(G21:G23)</f>
        <v>869</v>
      </c>
      <c r="H20" s="486">
        <f>SUM(H21:H23)</f>
        <v>869</v>
      </c>
      <c r="I20" s="489"/>
      <c r="J20" s="489"/>
      <c r="K20" s="488"/>
      <c r="L20" s="485"/>
      <c r="M20" s="486">
        <f>SUM(M21:M23)</f>
        <v>2208090.8000000003</v>
      </c>
      <c r="N20" s="486">
        <f>SUM(N21:N23)</f>
        <v>160.56050000000005</v>
      </c>
      <c r="O20" s="487"/>
      <c r="P20" s="486">
        <f>SUM(P21:P23)</f>
        <v>2729528.5000000009</v>
      </c>
      <c r="Q20" s="485"/>
      <c r="T20" s="484"/>
    </row>
    <row r="21" spans="1:20" s="475" customFormat="1" ht="18.75" customHeight="1" x14ac:dyDescent="0.25">
      <c r="A21" s="477" t="s">
        <v>129</v>
      </c>
      <c r="B21" s="477"/>
      <c r="C21" s="482">
        <v>150</v>
      </c>
      <c r="D21" s="477">
        <v>144</v>
      </c>
      <c r="E21" s="477" t="s">
        <v>241</v>
      </c>
      <c r="F21" s="477"/>
      <c r="G21" s="477">
        <v>144</v>
      </c>
      <c r="H21" s="478">
        <f>SUM(F21:G21)</f>
        <v>144</v>
      </c>
      <c r="I21" s="481">
        <v>3.17</v>
      </c>
      <c r="J21" s="480">
        <f>3.17*0.9</f>
        <v>2.8530000000000002</v>
      </c>
      <c r="K21" s="479">
        <f>(I21-J21)/I21</f>
        <v>9.9999999999999922E-2</v>
      </c>
      <c r="L21" s="478">
        <v>43768</v>
      </c>
      <c r="M21" s="478">
        <f>(H21*L21)*K21</f>
        <v>630259.19999999949</v>
      </c>
      <c r="N21" s="477">
        <f>H21*I21*K21</f>
        <v>45.647999999999968</v>
      </c>
      <c r="O21" s="477">
        <v>17</v>
      </c>
      <c r="P21" s="478">
        <f>N21*1000*17</f>
        <v>776015.99999999953</v>
      </c>
      <c r="Q21" s="477"/>
      <c r="T21" s="476"/>
    </row>
    <row r="22" spans="1:20" s="475" customFormat="1" ht="18.75" customHeight="1" x14ac:dyDescent="0.25">
      <c r="A22" s="477" t="s">
        <v>59</v>
      </c>
      <c r="B22" s="477"/>
      <c r="C22" s="482">
        <v>688</v>
      </c>
      <c r="D22" s="477">
        <v>708</v>
      </c>
      <c r="E22" s="477" t="s">
        <v>241</v>
      </c>
      <c r="F22" s="477"/>
      <c r="G22" s="477">
        <v>708</v>
      </c>
      <c r="H22" s="478">
        <f>SUM(F22:G22)</f>
        <v>708</v>
      </c>
      <c r="I22" s="481">
        <v>3.17</v>
      </c>
      <c r="J22" s="480">
        <f>3.17*0.95</f>
        <v>3.0114999999999998</v>
      </c>
      <c r="K22" s="479">
        <f>(I22-J22)/I22</f>
        <v>5.0000000000000031E-2</v>
      </c>
      <c r="L22" s="478">
        <v>43768</v>
      </c>
      <c r="M22" s="478">
        <f>(H22*L22)*K22</f>
        <v>1549387.2000000009</v>
      </c>
      <c r="N22" s="477">
        <f>H22*I22*K22</f>
        <v>112.21800000000007</v>
      </c>
      <c r="O22" s="477">
        <v>17</v>
      </c>
      <c r="P22" s="478">
        <f>N22*1000*17</f>
        <v>1907706.0000000012</v>
      </c>
      <c r="Q22" s="477"/>
      <c r="T22" s="476"/>
    </row>
    <row r="23" spans="1:20" s="475" customFormat="1" ht="18.75" customHeight="1" x14ac:dyDescent="0.25">
      <c r="A23" s="477" t="s">
        <v>127</v>
      </c>
      <c r="B23" s="477"/>
      <c r="C23" s="482">
        <v>17</v>
      </c>
      <c r="D23" s="477">
        <v>17</v>
      </c>
      <c r="E23" s="477" t="s">
        <v>241</v>
      </c>
      <c r="F23" s="477"/>
      <c r="G23" s="477">
        <v>17</v>
      </c>
      <c r="H23" s="478">
        <f>SUM(F23:G23)</f>
        <v>17</v>
      </c>
      <c r="I23" s="481">
        <v>3.17</v>
      </c>
      <c r="J23" s="480">
        <f>3.17*0.95</f>
        <v>3.0114999999999998</v>
      </c>
      <c r="K23" s="479">
        <f>(I23-J23)/I23</f>
        <v>5.0000000000000031E-2</v>
      </c>
      <c r="L23" s="478">
        <v>33464</v>
      </c>
      <c r="M23" s="478">
        <f>(H23*L23)*K23</f>
        <v>28444.400000000016</v>
      </c>
      <c r="N23" s="477">
        <f>H23*I23*K23</f>
        <v>2.6945000000000019</v>
      </c>
      <c r="O23" s="477">
        <v>17</v>
      </c>
      <c r="P23" s="478">
        <f>N23*1000*17</f>
        <v>45806.500000000029</v>
      </c>
      <c r="Q23" s="477"/>
      <c r="T23" s="476"/>
    </row>
    <row r="24" spans="1:20" s="483" customFormat="1" ht="19.5" customHeight="1" x14ac:dyDescent="0.25">
      <c r="A24" s="485" t="s">
        <v>121</v>
      </c>
      <c r="B24" s="487"/>
      <c r="C24" s="486">
        <f>SUM(C25:C26)</f>
        <v>322</v>
      </c>
      <c r="D24" s="486">
        <f>SUM(D25:D26)</f>
        <v>348</v>
      </c>
      <c r="E24" s="487"/>
      <c r="F24" s="486">
        <f>SUM(F25:F26)</f>
        <v>348</v>
      </c>
      <c r="G24" s="486">
        <f>G25</f>
        <v>0</v>
      </c>
      <c r="H24" s="486">
        <f>SUM(H25:H26)</f>
        <v>348</v>
      </c>
      <c r="I24" s="489"/>
      <c r="J24" s="489"/>
      <c r="K24" s="488"/>
      <c r="L24" s="486"/>
      <c r="M24" s="486">
        <f>SUM(M25:M26)</f>
        <v>2536214.4000000004</v>
      </c>
      <c r="N24" s="486">
        <f>SUM(N25:N26)</f>
        <v>1076.2784000000001</v>
      </c>
      <c r="O24" s="487"/>
      <c r="P24" s="486">
        <f>SUM(P25:P26)</f>
        <v>18296732.800000001</v>
      </c>
      <c r="Q24" s="485"/>
      <c r="T24" s="484"/>
    </row>
    <row r="25" spans="1:20" s="475" customFormat="1" ht="18.75" customHeight="1" x14ac:dyDescent="0.25">
      <c r="A25" s="477" t="s">
        <v>104</v>
      </c>
      <c r="B25" s="477"/>
      <c r="C25" s="482">
        <v>122</v>
      </c>
      <c r="D25" s="477">
        <v>125</v>
      </c>
      <c r="E25" s="477" t="s">
        <v>117</v>
      </c>
      <c r="F25" s="477">
        <v>125</v>
      </c>
      <c r="G25" s="477"/>
      <c r="H25" s="478">
        <f>SUM(F25:G25)</f>
        <v>125</v>
      </c>
      <c r="I25" s="481">
        <v>3.17</v>
      </c>
      <c r="J25" s="480">
        <f>3.17*0.05</f>
        <v>0.1585</v>
      </c>
      <c r="K25" s="479">
        <f>(I25-J25)/I25</f>
        <v>0.95</v>
      </c>
      <c r="L25" s="478">
        <v>7470</v>
      </c>
      <c r="M25" s="478">
        <f>(H25*L25)*K25</f>
        <v>887062.5</v>
      </c>
      <c r="N25" s="477">
        <f>H25*I25*K25</f>
        <v>376.4375</v>
      </c>
      <c r="O25" s="477">
        <v>17</v>
      </c>
      <c r="P25" s="478">
        <f>N25*1000*17</f>
        <v>6399437.5</v>
      </c>
      <c r="Q25" s="477"/>
      <c r="T25" s="476"/>
    </row>
    <row r="26" spans="1:20" s="475" customFormat="1" ht="18.75" customHeight="1" x14ac:dyDescent="0.25">
      <c r="A26" s="477" t="s">
        <v>105</v>
      </c>
      <c r="B26" s="477"/>
      <c r="C26" s="482">
        <v>200</v>
      </c>
      <c r="D26" s="477">
        <v>223</v>
      </c>
      <c r="E26" s="477" t="s">
        <v>117</v>
      </c>
      <c r="F26" s="477">
        <v>223</v>
      </c>
      <c r="G26" s="477"/>
      <c r="H26" s="478">
        <f>SUM(F26:G26)</f>
        <v>223</v>
      </c>
      <c r="I26" s="481">
        <v>3.17</v>
      </c>
      <c r="J26" s="480">
        <f>3.17*0.01</f>
        <v>3.1699999999999999E-2</v>
      </c>
      <c r="K26" s="479">
        <f>(I26-J26)/I26</f>
        <v>0.9900000000000001</v>
      </c>
      <c r="L26" s="478">
        <v>7470</v>
      </c>
      <c r="M26" s="478">
        <f>(H26*L26)*K26</f>
        <v>1649151.9000000001</v>
      </c>
      <c r="N26" s="477">
        <f>H26*I26*K26</f>
        <v>699.84090000000003</v>
      </c>
      <c r="O26" s="477">
        <v>17</v>
      </c>
      <c r="P26" s="478">
        <f>N26*1000*17</f>
        <v>11897295.300000001</v>
      </c>
      <c r="Q26" s="477"/>
      <c r="T26" s="476"/>
    </row>
    <row r="27" spans="1:20" s="483" customFormat="1" ht="19.5" customHeight="1" x14ac:dyDescent="0.25">
      <c r="A27" s="485" t="s">
        <v>115</v>
      </c>
      <c r="B27" s="487"/>
      <c r="C27" s="486">
        <f>SUM(C30:C46)</f>
        <v>7010</v>
      </c>
      <c r="D27" s="486">
        <f>SUM(D30:D46)</f>
        <v>9454.19</v>
      </c>
      <c r="E27" s="487"/>
      <c r="F27" s="486">
        <f>SUM(F28:F46)</f>
        <v>6906.25</v>
      </c>
      <c r="G27" s="486">
        <f>SUM(G28:G46)</f>
        <v>2537.5</v>
      </c>
      <c r="H27" s="486">
        <f>SUM(H28:H46)</f>
        <v>9443.75</v>
      </c>
      <c r="I27" s="489"/>
      <c r="J27" s="489"/>
      <c r="K27" s="488"/>
      <c r="L27" s="486"/>
      <c r="M27" s="486">
        <f>SUM(M30:M46)</f>
        <v>45625748.672975935</v>
      </c>
      <c r="N27" s="486">
        <f>SUM(N30:N46)</f>
        <v>19835.215355</v>
      </c>
      <c r="O27" s="487"/>
      <c r="P27" s="486">
        <f>SUM(P30:P46)</f>
        <v>337198661.03499997</v>
      </c>
      <c r="Q27" s="485"/>
      <c r="T27" s="484"/>
    </row>
    <row r="28" spans="1:20" s="475" customFormat="1" ht="19.5" customHeight="1" x14ac:dyDescent="0.25">
      <c r="A28" s="477" t="s">
        <v>87</v>
      </c>
      <c r="B28" s="477"/>
      <c r="C28" s="482">
        <v>600</v>
      </c>
      <c r="D28" s="482">
        <v>635</v>
      </c>
      <c r="E28" s="482" t="s">
        <v>117</v>
      </c>
      <c r="F28" s="482">
        <v>630</v>
      </c>
      <c r="G28" s="482">
        <v>35</v>
      </c>
      <c r="H28" s="478">
        <f>SUM(F28:G28)</f>
        <v>665</v>
      </c>
      <c r="I28" s="481">
        <v>3.17</v>
      </c>
      <c r="J28" s="480">
        <v>0.03</v>
      </c>
      <c r="K28" s="479">
        <f>(I28-J28)/I28</f>
        <v>0.99053627760252372</v>
      </c>
      <c r="L28" s="478">
        <v>7470</v>
      </c>
      <c r="M28" s="478">
        <f>(H28*L28)*K28</f>
        <v>4920538.4858044162</v>
      </c>
      <c r="N28" s="477">
        <f>H28*I28*K28</f>
        <v>2088.1</v>
      </c>
      <c r="O28" s="477">
        <v>17</v>
      </c>
      <c r="P28" s="478">
        <f>N28*1000*17</f>
        <v>35497700</v>
      </c>
      <c r="Q28" s="478"/>
      <c r="T28" s="476"/>
    </row>
    <row r="29" spans="1:20" s="523" customFormat="1" ht="19.5" customHeight="1" x14ac:dyDescent="0.25">
      <c r="A29" s="517" t="s">
        <v>92</v>
      </c>
      <c r="B29" s="517"/>
      <c r="C29" s="518">
        <v>13</v>
      </c>
      <c r="D29" s="518">
        <v>21</v>
      </c>
      <c r="E29" s="518">
        <v>0</v>
      </c>
      <c r="F29" s="518">
        <v>0</v>
      </c>
      <c r="G29" s="518">
        <v>14.9</v>
      </c>
      <c r="H29" s="519">
        <v>14.9</v>
      </c>
      <c r="I29" s="520">
        <v>6.34</v>
      </c>
      <c r="J29" s="521">
        <v>2.883</v>
      </c>
      <c r="K29" s="522">
        <v>1.0905362776025236</v>
      </c>
      <c r="L29" s="519">
        <v>14940</v>
      </c>
      <c r="M29" s="519">
        <v>76988.129337539431</v>
      </c>
      <c r="N29" s="517">
        <v>32.670999999999999</v>
      </c>
      <c r="O29" s="517">
        <v>34</v>
      </c>
      <c r="P29" s="519">
        <v>555407.00000000012</v>
      </c>
      <c r="Q29" s="519"/>
      <c r="T29" s="524"/>
    </row>
    <row r="30" spans="1:20" s="475" customFormat="1" ht="19.5" customHeight="1" x14ac:dyDescent="0.25">
      <c r="A30" s="477" t="s">
        <v>188</v>
      </c>
      <c r="B30" s="477"/>
      <c r="C30" s="482">
        <v>170</v>
      </c>
      <c r="D30" s="482">
        <v>50</v>
      </c>
      <c r="E30" s="482" t="s">
        <v>117</v>
      </c>
      <c r="F30" s="482">
        <v>49.9</v>
      </c>
      <c r="G30" s="482"/>
      <c r="H30" s="478">
        <f>SUM(F30:G30)</f>
        <v>49.9</v>
      </c>
      <c r="I30" s="481">
        <v>3.17</v>
      </c>
      <c r="J30" s="480">
        <v>0.03</v>
      </c>
      <c r="K30" s="479">
        <f>(I30-J30)/I30</f>
        <v>0.99053627760252372</v>
      </c>
      <c r="L30" s="478">
        <v>7470</v>
      </c>
      <c r="M30" s="478">
        <f>(H30*L30)*K30</f>
        <v>369225.36908517353</v>
      </c>
      <c r="N30" s="477">
        <f>H30*I30*K30</f>
        <v>156.68600000000001</v>
      </c>
      <c r="O30" s="477">
        <v>17</v>
      </c>
      <c r="P30" s="478">
        <f>N30*1000*17</f>
        <v>2663662</v>
      </c>
      <c r="Q30" s="478"/>
      <c r="T30" s="476"/>
    </row>
    <row r="31" spans="1:20" s="523" customFormat="1" ht="19.5" customHeight="1" x14ac:dyDescent="0.25">
      <c r="A31" s="517" t="s">
        <v>84</v>
      </c>
      <c r="B31" s="517"/>
      <c r="C31" s="518">
        <v>617</v>
      </c>
      <c r="D31" s="518">
        <v>403</v>
      </c>
      <c r="E31" s="518">
        <v>0</v>
      </c>
      <c r="F31" s="518">
        <v>202.8</v>
      </c>
      <c r="G31" s="518">
        <v>153.80000000000001</v>
      </c>
      <c r="H31" s="518">
        <v>356.6</v>
      </c>
      <c r="I31" s="518">
        <v>9.51</v>
      </c>
      <c r="J31" s="518">
        <v>9.1700000000000004E-2</v>
      </c>
      <c r="K31" s="518">
        <v>2.9710725552050476</v>
      </c>
      <c r="L31" s="518">
        <v>58708</v>
      </c>
      <c r="M31" s="518">
        <v>2832619.9929842278</v>
      </c>
      <c r="N31" s="518">
        <v>1119.7148200000001</v>
      </c>
      <c r="O31" s="518">
        <v>51</v>
      </c>
      <c r="P31" s="518">
        <v>19035151.940000005</v>
      </c>
      <c r="Q31" s="519"/>
      <c r="T31" s="524"/>
    </row>
    <row r="32" spans="1:20" s="475" customFormat="1" ht="19.5" customHeight="1" x14ac:dyDescent="0.25">
      <c r="A32" s="477" t="s">
        <v>220</v>
      </c>
      <c r="B32" s="477"/>
      <c r="C32" s="482"/>
      <c r="D32" s="482">
        <v>30</v>
      </c>
      <c r="E32" s="482" t="s">
        <v>117</v>
      </c>
      <c r="F32" s="482">
        <v>29.8</v>
      </c>
      <c r="G32" s="482"/>
      <c r="H32" s="478">
        <f>SUM(F32:G32)</f>
        <v>29.8</v>
      </c>
      <c r="I32" s="481">
        <v>3.17</v>
      </c>
      <c r="J32" s="480">
        <v>0.03</v>
      </c>
      <c r="K32" s="479">
        <f>(I32-J32)/I32</f>
        <v>0.99053627760252372</v>
      </c>
      <c r="L32" s="478">
        <v>7470</v>
      </c>
      <c r="M32" s="478">
        <f>(H32*L32)*K32</f>
        <v>220499.3186119874</v>
      </c>
      <c r="N32" s="477">
        <f>H32*I32*K32</f>
        <v>93.572000000000003</v>
      </c>
      <c r="O32" s="477">
        <v>17</v>
      </c>
      <c r="P32" s="478">
        <f>N32*1000*17</f>
        <v>1590724</v>
      </c>
      <c r="Q32" s="478"/>
      <c r="T32" s="476"/>
    </row>
    <row r="33" spans="1:20" s="475" customFormat="1" ht="19.5" customHeight="1" x14ac:dyDescent="0.25">
      <c r="A33" s="477" t="s">
        <v>3</v>
      </c>
      <c r="B33" s="477"/>
      <c r="C33" s="482">
        <v>250</v>
      </c>
      <c r="D33" s="482">
        <v>238</v>
      </c>
      <c r="E33" s="482" t="s">
        <v>117</v>
      </c>
      <c r="F33" s="482"/>
      <c r="G33" s="482">
        <v>237.9</v>
      </c>
      <c r="H33" s="478">
        <f>SUM(F33:G33)</f>
        <v>237.9</v>
      </c>
      <c r="I33" s="481">
        <v>3.17</v>
      </c>
      <c r="J33" s="480">
        <v>0.03</v>
      </c>
      <c r="K33" s="479">
        <f>(I33-J33)/I33</f>
        <v>0.99053627760252372</v>
      </c>
      <c r="L33" s="478">
        <v>7470</v>
      </c>
      <c r="M33" s="478">
        <f>(H33*L33)*K33</f>
        <v>1760294.8958990537</v>
      </c>
      <c r="N33" s="477">
        <f>H33*I33*K33</f>
        <v>747.00600000000009</v>
      </c>
      <c r="O33" s="477">
        <v>17</v>
      </c>
      <c r="P33" s="478">
        <f>N33*1000*17</f>
        <v>12699102.000000002</v>
      </c>
      <c r="Q33" s="478"/>
      <c r="T33" s="476"/>
    </row>
    <row r="34" spans="1:20" s="475" customFormat="1" ht="19.5" customHeight="1" x14ac:dyDescent="0.25">
      <c r="A34" s="477" t="s">
        <v>111</v>
      </c>
      <c r="B34" s="477"/>
      <c r="C34" s="482">
        <v>260</v>
      </c>
      <c r="D34" s="482">
        <v>243.6</v>
      </c>
      <c r="E34" s="482" t="s">
        <v>117</v>
      </c>
      <c r="F34" s="482">
        <v>224.4</v>
      </c>
      <c r="G34" s="482"/>
      <c r="H34" s="478">
        <f>SUM(F34:G34)</f>
        <v>224.4</v>
      </c>
      <c r="I34" s="481">
        <v>3.17</v>
      </c>
      <c r="J34" s="480">
        <v>0.03</v>
      </c>
      <c r="K34" s="479">
        <f>(I34-J34)/I34</f>
        <v>0.99053627760252372</v>
      </c>
      <c r="L34" s="478">
        <v>7470</v>
      </c>
      <c r="M34" s="478">
        <f>(H34*L34)*K34</f>
        <v>1660404.2649842273</v>
      </c>
      <c r="N34" s="477">
        <f>H34*I34*K34</f>
        <v>704.61599999999999</v>
      </c>
      <c r="O34" s="477">
        <v>17</v>
      </c>
      <c r="P34" s="478">
        <f>N34*1000*17</f>
        <v>11978472</v>
      </c>
      <c r="Q34" s="478"/>
      <c r="T34" s="476"/>
    </row>
    <row r="35" spans="1:20" s="523" customFormat="1" ht="19.5" customHeight="1" x14ac:dyDescent="0.25">
      <c r="A35" s="517" t="s">
        <v>94</v>
      </c>
      <c r="B35" s="517"/>
      <c r="C35" s="518">
        <v>62</v>
      </c>
      <c r="D35" s="518">
        <v>93.75</v>
      </c>
      <c r="E35" s="518">
        <v>0</v>
      </c>
      <c r="F35" s="518">
        <v>92.75</v>
      </c>
      <c r="G35" s="518">
        <v>1</v>
      </c>
      <c r="H35" s="518">
        <v>93.75</v>
      </c>
      <c r="I35" s="518">
        <v>9.51</v>
      </c>
      <c r="J35" s="518">
        <v>9.1700000000000004E-2</v>
      </c>
      <c r="K35" s="518">
        <v>2.9710725552050476</v>
      </c>
      <c r="L35" s="518">
        <v>58708</v>
      </c>
      <c r="M35" s="518">
        <v>729271.87279179809</v>
      </c>
      <c r="N35" s="518">
        <v>294.21902499999999</v>
      </c>
      <c r="O35" s="518">
        <v>52</v>
      </c>
      <c r="P35" s="518">
        <v>5001723.4250000007</v>
      </c>
      <c r="Q35" s="519"/>
      <c r="T35" s="524"/>
    </row>
    <row r="36" spans="1:20" s="475" customFormat="1" ht="19.5" customHeight="1" x14ac:dyDescent="0.25">
      <c r="A36" s="477" t="s">
        <v>106</v>
      </c>
      <c r="B36" s="477"/>
      <c r="C36" s="482"/>
      <c r="D36" s="482">
        <v>500</v>
      </c>
      <c r="E36" s="482" t="s">
        <v>117</v>
      </c>
      <c r="F36" s="482">
        <v>500</v>
      </c>
      <c r="G36" s="482"/>
      <c r="H36" s="478">
        <f>SUM(F36:G36)</f>
        <v>500</v>
      </c>
      <c r="I36" s="481">
        <v>3.17</v>
      </c>
      <c r="J36" s="480">
        <v>0.03</v>
      </c>
      <c r="K36" s="479">
        <f>(I36-J36)/I36</f>
        <v>0.99053627760252372</v>
      </c>
      <c r="L36" s="478">
        <v>7470</v>
      </c>
      <c r="M36" s="478">
        <f>(H36*L36)*K36</f>
        <v>3699652.996845426</v>
      </c>
      <c r="N36" s="477">
        <f>H36*I36*K36</f>
        <v>1570</v>
      </c>
      <c r="O36" s="477">
        <v>17</v>
      </c>
      <c r="P36" s="478">
        <f>N36*1000*17</f>
        <v>26690000</v>
      </c>
      <c r="Q36" s="478"/>
      <c r="T36" s="476"/>
    </row>
    <row r="37" spans="1:20" s="475" customFormat="1" ht="19.5" customHeight="1" x14ac:dyDescent="0.25">
      <c r="A37" s="477" t="s">
        <v>110</v>
      </c>
      <c r="B37" s="477"/>
      <c r="C37" s="482">
        <v>266</v>
      </c>
      <c r="D37" s="482">
        <v>143</v>
      </c>
      <c r="E37" s="482" t="s">
        <v>117</v>
      </c>
      <c r="F37" s="482">
        <v>128.69999999999999</v>
      </c>
      <c r="G37" s="482"/>
      <c r="H37" s="478">
        <f>SUM(F37:G37)</f>
        <v>128.69999999999999</v>
      </c>
      <c r="I37" s="481">
        <v>3.17</v>
      </c>
      <c r="J37" s="480">
        <f>3.17*0.01</f>
        <v>3.1699999999999999E-2</v>
      </c>
      <c r="K37" s="479">
        <f>(I37-J37)/I37</f>
        <v>0.9900000000000001</v>
      </c>
      <c r="L37" s="478">
        <v>7470</v>
      </c>
      <c r="M37" s="478">
        <f>(H37*L37)*K37</f>
        <v>951775.11</v>
      </c>
      <c r="N37" s="477">
        <f>H37*I37*K37</f>
        <v>403.89920999999998</v>
      </c>
      <c r="O37" s="477">
        <v>17</v>
      </c>
      <c r="P37" s="478">
        <f>N37*1000*17</f>
        <v>6866286.5699999994</v>
      </c>
      <c r="Q37" s="478"/>
      <c r="T37" s="476"/>
    </row>
    <row r="38" spans="1:20" s="475" customFormat="1" ht="24.95" customHeight="1" x14ac:dyDescent="0.25">
      <c r="A38" s="477" t="s">
        <v>88</v>
      </c>
      <c r="B38" s="477"/>
      <c r="C38" s="482">
        <v>1305</v>
      </c>
      <c r="D38" s="477">
        <v>1593</v>
      </c>
      <c r="E38" s="477" t="s">
        <v>123</v>
      </c>
      <c r="F38" s="477">
        <v>1592.8</v>
      </c>
      <c r="G38" s="477"/>
      <c r="H38" s="478">
        <f>SUM(F38:G38)</f>
        <v>1592.8</v>
      </c>
      <c r="I38" s="481">
        <v>4.17</v>
      </c>
      <c r="J38" s="480">
        <f>3.17*0.9</f>
        <v>2.8530000000000002</v>
      </c>
      <c r="K38" s="479">
        <f>(I38-J38)/I38</f>
        <v>0.31582733812949632</v>
      </c>
      <c r="L38" s="478">
        <v>7471</v>
      </c>
      <c r="M38" s="478">
        <f>(H38*L38)*K38</f>
        <v>3758284.9375539552</v>
      </c>
      <c r="N38" s="477">
        <f>H38*I38*K38</f>
        <v>2097.7175999999995</v>
      </c>
      <c r="O38" s="477">
        <v>18</v>
      </c>
      <c r="P38" s="478">
        <f>N38*1000*17</f>
        <v>35661199.199999996</v>
      </c>
      <c r="Q38" s="477"/>
      <c r="T38" s="476"/>
    </row>
    <row r="39" spans="1:20" s="523" customFormat="1" ht="24.95" customHeight="1" x14ac:dyDescent="0.25">
      <c r="A39" s="517" t="s">
        <v>109</v>
      </c>
      <c r="B39" s="517"/>
      <c r="C39" s="518">
        <v>184</v>
      </c>
      <c r="D39" s="518">
        <v>1450</v>
      </c>
      <c r="E39" s="518">
        <v>0</v>
      </c>
      <c r="F39" s="518">
        <v>202.2</v>
      </c>
      <c r="G39" s="518">
        <v>806.4</v>
      </c>
      <c r="H39" s="518">
        <v>1008.5999999999999</v>
      </c>
      <c r="I39" s="518">
        <v>7.34</v>
      </c>
      <c r="J39" s="518">
        <v>5.7060000000000004</v>
      </c>
      <c r="K39" s="518">
        <v>0.41582733812949624</v>
      </c>
      <c r="L39" s="518">
        <v>14941</v>
      </c>
      <c r="M39" s="518">
        <v>882427.88345323666</v>
      </c>
      <c r="N39" s="518">
        <v>399.72619999999972</v>
      </c>
      <c r="O39" s="518">
        <v>35</v>
      </c>
      <c r="P39" s="518">
        <v>6795345.3999999966</v>
      </c>
      <c r="Q39" s="517"/>
      <c r="T39" s="524"/>
    </row>
    <row r="40" spans="1:20" s="475" customFormat="1" ht="24.95" customHeight="1" x14ac:dyDescent="0.25">
      <c r="A40" s="477" t="s">
        <v>240</v>
      </c>
      <c r="B40" s="477"/>
      <c r="C40" s="482">
        <v>1097</v>
      </c>
      <c r="D40" s="477">
        <v>1235.3399999999999</v>
      </c>
      <c r="E40" s="477" t="s">
        <v>123</v>
      </c>
      <c r="F40" s="477">
        <v>636.79999999999995</v>
      </c>
      <c r="G40" s="477">
        <v>599</v>
      </c>
      <c r="H40" s="478">
        <f t="shared" ref="H40:H46" si="0">SUM(F40:G40)</f>
        <v>1235.8</v>
      </c>
      <c r="I40" s="481">
        <v>3.17</v>
      </c>
      <c r="J40" s="480">
        <v>0.03</v>
      </c>
      <c r="K40" s="479">
        <f t="shared" ref="K40:K46" si="1">(I40-J40)/I40</f>
        <v>0.99053627760252372</v>
      </c>
      <c r="L40" s="478">
        <v>7471</v>
      </c>
      <c r="M40" s="478">
        <f t="shared" ref="M40:M46" si="2">(H40*L40)*K40</f>
        <v>9145286.451735016</v>
      </c>
      <c r="N40" s="477">
        <f t="shared" ref="N40:N46" si="3">H40*I40*K40</f>
        <v>3880.4120000000003</v>
      </c>
      <c r="O40" s="477">
        <v>17</v>
      </c>
      <c r="P40" s="478">
        <f t="shared" ref="P40:P46" si="4">N40*1000*17</f>
        <v>65967004.000000007</v>
      </c>
      <c r="Q40" s="477"/>
      <c r="T40" s="476"/>
    </row>
    <row r="41" spans="1:20" s="475" customFormat="1" ht="24.95" customHeight="1" x14ac:dyDescent="0.25">
      <c r="A41" s="477" t="s">
        <v>90</v>
      </c>
      <c r="B41" s="477"/>
      <c r="C41" s="482">
        <v>194</v>
      </c>
      <c r="D41" s="477">
        <v>274</v>
      </c>
      <c r="E41" s="477" t="s">
        <v>123</v>
      </c>
      <c r="F41" s="477">
        <v>244.6</v>
      </c>
      <c r="G41" s="477"/>
      <c r="H41" s="478">
        <f t="shared" si="0"/>
        <v>244.6</v>
      </c>
      <c r="I41" s="481">
        <v>3.17</v>
      </c>
      <c r="J41" s="480">
        <v>0.03</v>
      </c>
      <c r="K41" s="479">
        <f t="shared" si="1"/>
        <v>0.99053627760252372</v>
      </c>
      <c r="L41" s="478">
        <v>7471</v>
      </c>
      <c r="M41" s="478">
        <f t="shared" si="2"/>
        <v>1810112.5312302839</v>
      </c>
      <c r="N41" s="477">
        <f t="shared" si="3"/>
        <v>768.04399999999998</v>
      </c>
      <c r="O41" s="477">
        <v>17</v>
      </c>
      <c r="P41" s="478">
        <f t="shared" si="4"/>
        <v>13056748</v>
      </c>
      <c r="Q41" s="477"/>
      <c r="T41" s="476"/>
    </row>
    <row r="42" spans="1:20" s="475" customFormat="1" ht="24.95" customHeight="1" x14ac:dyDescent="0.25">
      <c r="A42" s="477" t="s">
        <v>112</v>
      </c>
      <c r="B42" s="477"/>
      <c r="C42" s="482">
        <v>1195</v>
      </c>
      <c r="D42" s="477">
        <v>1350</v>
      </c>
      <c r="E42" s="477" t="s">
        <v>123</v>
      </c>
      <c r="F42" s="477">
        <v>1210</v>
      </c>
      <c r="G42" s="477"/>
      <c r="H42" s="478">
        <f t="shared" si="0"/>
        <v>1210</v>
      </c>
      <c r="I42" s="481">
        <v>3.17</v>
      </c>
      <c r="J42" s="480">
        <v>0.03</v>
      </c>
      <c r="K42" s="479">
        <f t="shared" si="1"/>
        <v>0.99053627760252372</v>
      </c>
      <c r="L42" s="478">
        <v>7471</v>
      </c>
      <c r="M42" s="478">
        <f t="shared" si="2"/>
        <v>8954358.8012618311</v>
      </c>
      <c r="N42" s="477">
        <f t="shared" si="3"/>
        <v>3799.4</v>
      </c>
      <c r="O42" s="477">
        <v>17</v>
      </c>
      <c r="P42" s="478">
        <f t="shared" si="4"/>
        <v>64589800</v>
      </c>
      <c r="Q42" s="477"/>
      <c r="T42" s="476"/>
    </row>
    <row r="43" spans="1:20" s="475" customFormat="1" ht="24.95" customHeight="1" x14ac:dyDescent="0.25">
      <c r="A43" s="477" t="s">
        <v>221</v>
      </c>
      <c r="B43" s="477"/>
      <c r="C43" s="482">
        <v>798</v>
      </c>
      <c r="D43" s="477">
        <v>1088.5</v>
      </c>
      <c r="E43" s="477" t="s">
        <v>123</v>
      </c>
      <c r="F43" s="477">
        <v>533</v>
      </c>
      <c r="G43" s="477">
        <v>555.5</v>
      </c>
      <c r="H43" s="478">
        <f t="shared" si="0"/>
        <v>1088.5</v>
      </c>
      <c r="I43" s="481">
        <v>3.17</v>
      </c>
      <c r="J43" s="480">
        <v>0.03</v>
      </c>
      <c r="K43" s="479">
        <f t="shared" si="1"/>
        <v>0.99053627760252372</v>
      </c>
      <c r="L43" s="478">
        <v>7471</v>
      </c>
      <c r="M43" s="478">
        <f t="shared" si="2"/>
        <v>8055222.7728706626</v>
      </c>
      <c r="N43" s="477">
        <f t="shared" si="3"/>
        <v>3417.8900000000003</v>
      </c>
      <c r="O43" s="477">
        <v>17</v>
      </c>
      <c r="P43" s="478">
        <f t="shared" si="4"/>
        <v>58104130.000000007</v>
      </c>
      <c r="Q43" s="477"/>
      <c r="T43" s="476"/>
    </row>
    <row r="44" spans="1:20" s="475" customFormat="1" ht="24.95" customHeight="1" x14ac:dyDescent="0.25">
      <c r="A44" s="477" t="s">
        <v>114</v>
      </c>
      <c r="B44" s="477"/>
      <c r="C44" s="482"/>
      <c r="D44" s="482">
        <v>40</v>
      </c>
      <c r="E44" s="477" t="s">
        <v>219</v>
      </c>
      <c r="F44" s="477">
        <v>12.6</v>
      </c>
      <c r="G44" s="477">
        <v>28</v>
      </c>
      <c r="H44" s="478">
        <f t="shared" si="0"/>
        <v>40.6</v>
      </c>
      <c r="I44" s="481">
        <v>4.17</v>
      </c>
      <c r="J44" s="480">
        <f>3.17*0.9</f>
        <v>2.8530000000000002</v>
      </c>
      <c r="K44" s="479">
        <f t="shared" si="1"/>
        <v>0.31582733812949632</v>
      </c>
      <c r="L44" s="478">
        <v>7471</v>
      </c>
      <c r="M44" s="478">
        <f t="shared" si="2"/>
        <v>95797.569352517967</v>
      </c>
      <c r="N44" s="477">
        <f t="shared" si="3"/>
        <v>53.470199999999984</v>
      </c>
      <c r="O44" s="477">
        <v>17</v>
      </c>
      <c r="P44" s="478">
        <f t="shared" si="4"/>
        <v>908993.39999999967</v>
      </c>
      <c r="Q44" s="477"/>
      <c r="T44" s="476"/>
    </row>
    <row r="45" spans="1:20" s="475" customFormat="1" ht="24.95" customHeight="1" x14ac:dyDescent="0.25">
      <c r="A45" s="477" t="s">
        <v>113</v>
      </c>
      <c r="B45" s="477"/>
      <c r="C45" s="482"/>
      <c r="D45" s="477">
        <v>100</v>
      </c>
      <c r="E45" s="477" t="s">
        <v>219</v>
      </c>
      <c r="F45" s="477">
        <v>100</v>
      </c>
      <c r="G45" s="477"/>
      <c r="H45" s="478">
        <f t="shared" si="0"/>
        <v>100</v>
      </c>
      <c r="I45" s="481">
        <v>4.17</v>
      </c>
      <c r="J45" s="480">
        <f>3.17*0.9</f>
        <v>2.8530000000000002</v>
      </c>
      <c r="K45" s="479">
        <f t="shared" si="1"/>
        <v>0.31582733812949632</v>
      </c>
      <c r="L45" s="478">
        <v>7471</v>
      </c>
      <c r="M45" s="478">
        <f t="shared" si="2"/>
        <v>235954.6043165467</v>
      </c>
      <c r="N45" s="477">
        <f t="shared" si="3"/>
        <v>131.69999999999996</v>
      </c>
      <c r="O45" s="477">
        <v>18</v>
      </c>
      <c r="P45" s="478">
        <f t="shared" si="4"/>
        <v>2238899.9999999995</v>
      </c>
      <c r="Q45" s="477"/>
      <c r="T45" s="476"/>
    </row>
    <row r="46" spans="1:20" s="475" customFormat="1" ht="24.95" customHeight="1" x14ac:dyDescent="0.25">
      <c r="A46" s="477" t="s">
        <v>91</v>
      </c>
      <c r="B46" s="477"/>
      <c r="C46" s="482">
        <v>612</v>
      </c>
      <c r="D46" s="477">
        <v>622</v>
      </c>
      <c r="E46" s="477" t="s">
        <v>123</v>
      </c>
      <c r="F46" s="477">
        <v>515.9</v>
      </c>
      <c r="G46" s="477">
        <v>106</v>
      </c>
      <c r="H46" s="478">
        <f t="shared" si="0"/>
        <v>621.9</v>
      </c>
      <c r="I46" s="481">
        <v>3.17</v>
      </c>
      <c r="J46" s="480">
        <f>3.17*0.9</f>
        <v>2.8530000000000002</v>
      </c>
      <c r="K46" s="479">
        <f t="shared" si="1"/>
        <v>9.9999999999999922E-2</v>
      </c>
      <c r="L46" s="478">
        <v>7470</v>
      </c>
      <c r="M46" s="478">
        <f t="shared" si="2"/>
        <v>464559.29999999964</v>
      </c>
      <c r="N46" s="477">
        <f t="shared" si="3"/>
        <v>197.14229999999984</v>
      </c>
      <c r="O46" s="477">
        <v>17</v>
      </c>
      <c r="P46" s="478">
        <f t="shared" si="4"/>
        <v>3351419.0999999973</v>
      </c>
      <c r="Q46" s="477"/>
      <c r="T46" s="476"/>
    </row>
    <row r="48" spans="1:20" s="469" customFormat="1" ht="18.95" customHeight="1" x14ac:dyDescent="0.25">
      <c r="A48" s="470" t="s">
        <v>195</v>
      </c>
      <c r="B48" s="470"/>
      <c r="C48" s="471"/>
      <c r="D48" s="471"/>
      <c r="E48" s="471"/>
      <c r="F48" s="470"/>
      <c r="G48" s="470" t="s">
        <v>239</v>
      </c>
      <c r="H48" s="470"/>
      <c r="I48" s="470"/>
      <c r="J48" s="470"/>
      <c r="K48" s="470"/>
      <c r="L48" s="470"/>
      <c r="M48" s="470"/>
      <c r="N48" s="470"/>
      <c r="O48" s="470"/>
      <c r="P48" s="470"/>
      <c r="Q48" s="470"/>
    </row>
    <row r="49" spans="1:17" s="469" customFormat="1" ht="18.95" customHeight="1" x14ac:dyDescent="0.25">
      <c r="A49" s="470"/>
      <c r="B49" s="470"/>
      <c r="C49" s="471"/>
      <c r="D49" s="471"/>
      <c r="E49" s="471"/>
      <c r="F49" s="470"/>
      <c r="G49" s="470"/>
      <c r="H49" s="470"/>
      <c r="I49" s="470"/>
      <c r="J49" s="470"/>
      <c r="K49" s="470"/>
      <c r="L49" s="470"/>
      <c r="M49" s="470"/>
      <c r="N49" s="470"/>
      <c r="O49" s="470"/>
      <c r="P49" s="470"/>
      <c r="Q49" s="470"/>
    </row>
    <row r="50" spans="1:17" s="469" customFormat="1" ht="18.95" customHeight="1" x14ac:dyDescent="0.25">
      <c r="A50" s="470"/>
      <c r="B50" s="470"/>
      <c r="C50" s="471"/>
      <c r="D50" s="471"/>
      <c r="E50" s="471"/>
      <c r="F50" s="470"/>
      <c r="G50" s="470"/>
      <c r="H50" s="470"/>
      <c r="I50" s="470"/>
      <c r="J50" s="470"/>
      <c r="K50" s="470"/>
      <c r="L50" s="470"/>
      <c r="M50" s="470"/>
      <c r="N50" s="470"/>
      <c r="O50" s="470"/>
      <c r="P50" s="470"/>
      <c r="Q50" s="470"/>
    </row>
    <row r="51" spans="1:17" s="469" customFormat="1" ht="18.95" customHeight="1" x14ac:dyDescent="0.25">
      <c r="A51" s="470"/>
      <c r="B51" s="470"/>
      <c r="C51" s="471"/>
      <c r="D51" s="471"/>
      <c r="E51" s="471"/>
      <c r="F51" s="470"/>
      <c r="G51" s="470"/>
      <c r="H51" s="470"/>
      <c r="I51" s="470"/>
      <c r="J51" s="470"/>
      <c r="K51" s="470"/>
      <c r="L51" s="470"/>
      <c r="M51" s="470"/>
      <c r="N51" s="470"/>
      <c r="O51" s="470"/>
      <c r="P51" s="470"/>
      <c r="Q51" s="470"/>
    </row>
    <row r="52" spans="1:17" s="472" customFormat="1" ht="18.95" customHeight="1" x14ac:dyDescent="0.25">
      <c r="A52" s="473"/>
      <c r="B52" s="473"/>
      <c r="C52" s="474" t="s">
        <v>238</v>
      </c>
      <c r="D52" s="474"/>
      <c r="E52" s="474"/>
      <c r="F52" s="473"/>
      <c r="G52" s="473" t="s">
        <v>237</v>
      </c>
      <c r="H52" s="473"/>
      <c r="I52" s="473"/>
      <c r="J52" s="473"/>
      <c r="K52" s="473"/>
      <c r="L52" s="473"/>
      <c r="M52" s="473"/>
      <c r="N52" s="473"/>
      <c r="O52" s="473"/>
      <c r="P52" s="473"/>
      <c r="Q52" s="473"/>
    </row>
    <row r="53" spans="1:17" s="469" customFormat="1" ht="18.95" customHeight="1" x14ac:dyDescent="0.25">
      <c r="A53" s="470"/>
      <c r="B53" s="470"/>
      <c r="C53" s="471"/>
      <c r="D53" s="471"/>
      <c r="E53" s="471"/>
      <c r="F53" s="470"/>
      <c r="G53" s="470" t="s">
        <v>189</v>
      </c>
      <c r="H53" s="470"/>
      <c r="I53" s="470"/>
      <c r="J53" s="470"/>
      <c r="K53" s="470"/>
      <c r="L53" s="470"/>
      <c r="M53" s="470"/>
      <c r="N53" s="470"/>
      <c r="O53" s="470"/>
      <c r="P53" s="470"/>
      <c r="Q53" s="470"/>
    </row>
  </sheetData>
  <mergeCells count="17">
    <mergeCell ref="A12:A14"/>
    <mergeCell ref="B12:B14"/>
    <mergeCell ref="C12:C14"/>
    <mergeCell ref="D12:D14"/>
    <mergeCell ref="E12:E14"/>
    <mergeCell ref="A1:Q1"/>
    <mergeCell ref="A2:Q2"/>
    <mergeCell ref="A3:Q3"/>
    <mergeCell ref="A4:Q4"/>
    <mergeCell ref="A11:Q11"/>
    <mergeCell ref="F12:H13"/>
    <mergeCell ref="I12:J13"/>
    <mergeCell ref="K12:K14"/>
    <mergeCell ref="L12:P12"/>
    <mergeCell ref="Q12:Q14"/>
    <mergeCell ref="L13:M13"/>
    <mergeCell ref="N13:P13"/>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4711F-EACA-E746-8976-86D995E06DE2}">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14" customWidth="1"/>
    <col min="2" max="2" width="16.42578125" style="14" hidden="1" customWidth="1"/>
    <col min="3" max="3" width="15.28515625" style="22" customWidth="1"/>
    <col min="4" max="4" width="14.85546875" style="22" customWidth="1"/>
    <col min="5" max="5" width="28.7109375" style="15" customWidth="1"/>
    <col min="6" max="6" width="11.85546875" style="18" customWidth="1"/>
    <col min="7" max="7" width="12" style="18" customWidth="1"/>
    <col min="8" max="8" width="11" style="18" customWidth="1"/>
    <col min="9" max="9" width="11" style="14" bestFit="1" customWidth="1"/>
    <col min="10" max="10" width="12" style="21" customWidth="1"/>
    <col min="11" max="11" width="9.28515625" style="20" customWidth="1"/>
    <col min="12" max="12" width="14.85546875" style="19" customWidth="1"/>
    <col min="13" max="13" width="19.28515625" style="16" customWidth="1"/>
    <col min="14" max="14" width="11.42578125" style="18" customWidth="1"/>
    <col min="15" max="15" width="7.85546875" style="17" customWidth="1"/>
    <col min="16" max="16" width="18.140625" style="16" customWidth="1"/>
    <col min="17" max="17" width="15.42578125" style="16" hidden="1" customWidth="1"/>
    <col min="18" max="18" width="34.42578125" style="14" customWidth="1"/>
    <col min="19" max="19" width="18" style="14" customWidth="1"/>
    <col min="20" max="20" width="22.7109375" style="15" customWidth="1"/>
    <col min="21" max="21" width="29.28515625" style="14" customWidth="1"/>
    <col min="22" max="16384" width="11.42578125" style="14"/>
  </cols>
  <sheetData>
    <row r="1" spans="1:21" ht="36" customHeight="1" x14ac:dyDescent="0.25">
      <c r="A1" s="814" t="s">
        <v>187</v>
      </c>
      <c r="B1" s="814"/>
      <c r="C1" s="814"/>
      <c r="D1" s="814"/>
      <c r="E1" s="814"/>
      <c r="F1" s="814"/>
      <c r="G1" s="814"/>
      <c r="H1" s="814"/>
      <c r="I1" s="814"/>
      <c r="J1" s="814"/>
      <c r="K1" s="814"/>
      <c r="L1" s="814"/>
      <c r="M1" s="814"/>
      <c r="N1" s="814"/>
      <c r="O1" s="814"/>
      <c r="P1" s="814"/>
      <c r="Q1" s="814"/>
      <c r="R1" s="814"/>
    </row>
    <row r="2" spans="1:21" ht="18.75" customHeight="1" x14ac:dyDescent="0.25">
      <c r="A2" s="770" t="s">
        <v>186</v>
      </c>
      <c r="B2" s="770"/>
      <c r="C2" s="770"/>
      <c r="D2" s="770"/>
      <c r="E2" s="770"/>
      <c r="F2" s="770"/>
      <c r="G2" s="770"/>
      <c r="H2" s="770"/>
      <c r="I2" s="770"/>
      <c r="J2" s="770"/>
      <c r="K2" s="770"/>
      <c r="L2" s="770"/>
      <c r="M2" s="770"/>
      <c r="N2" s="770"/>
      <c r="O2" s="770"/>
      <c r="P2" s="770"/>
      <c r="Q2" s="770"/>
      <c r="R2" s="770"/>
    </row>
    <row r="3" spans="1:21" ht="18.75" customHeight="1" x14ac:dyDescent="0.25">
      <c r="A3" s="770" t="s">
        <v>185</v>
      </c>
      <c r="B3" s="770"/>
      <c r="C3" s="770"/>
      <c r="D3" s="770"/>
      <c r="E3" s="770"/>
      <c r="F3" s="770"/>
      <c r="G3" s="770"/>
      <c r="H3" s="770"/>
      <c r="I3" s="770"/>
      <c r="J3" s="770"/>
      <c r="K3" s="770"/>
      <c r="L3" s="770"/>
      <c r="M3" s="770"/>
      <c r="N3" s="770"/>
      <c r="O3" s="770"/>
      <c r="P3" s="770"/>
      <c r="Q3" s="770"/>
      <c r="R3" s="770"/>
    </row>
    <row r="4" spans="1:21" ht="18.75" customHeight="1" thickBot="1" x14ac:dyDescent="0.3">
      <c r="A4" s="186"/>
      <c r="B4" s="186"/>
      <c r="C4" s="222"/>
      <c r="D4" s="222"/>
      <c r="E4" s="194"/>
      <c r="F4" s="219"/>
      <c r="G4" s="219"/>
      <c r="H4" s="219"/>
      <c r="I4" s="221"/>
      <c r="J4" s="220"/>
      <c r="K4" s="186"/>
      <c r="L4" s="186"/>
      <c r="M4" s="219"/>
      <c r="N4" s="219"/>
      <c r="O4" s="186"/>
      <c r="P4" s="218"/>
      <c r="Q4" s="218"/>
      <c r="R4" s="186"/>
    </row>
    <row r="5" spans="1:21" ht="21" customHeight="1" x14ac:dyDescent="0.25">
      <c r="A5" s="217" t="s">
        <v>184</v>
      </c>
      <c r="B5" s="216"/>
      <c r="C5" s="215"/>
      <c r="D5" s="215"/>
      <c r="E5" s="214"/>
      <c r="F5" s="208"/>
      <c r="G5" s="208"/>
      <c r="H5" s="213" t="s">
        <v>183</v>
      </c>
      <c r="I5" s="212"/>
      <c r="J5" s="211"/>
      <c r="K5" s="207"/>
      <c r="L5" s="210"/>
      <c r="M5" s="209"/>
      <c r="N5" s="208"/>
      <c r="O5" s="207"/>
      <c r="P5" s="206"/>
      <c r="Q5" s="206"/>
      <c r="R5" s="205"/>
      <c r="T5" s="204"/>
    </row>
    <row r="6" spans="1:21" ht="18.75" customHeight="1" x14ac:dyDescent="0.25">
      <c r="A6" s="197"/>
      <c r="B6" s="196"/>
      <c r="C6" s="195"/>
      <c r="D6" s="195"/>
      <c r="E6" s="194"/>
      <c r="F6" s="193"/>
      <c r="G6" s="193"/>
      <c r="H6" s="203" t="s">
        <v>182</v>
      </c>
      <c r="I6" s="202"/>
      <c r="J6" s="201" t="s">
        <v>181</v>
      </c>
      <c r="K6" s="186"/>
      <c r="L6" s="186"/>
      <c r="M6" s="200"/>
      <c r="N6" s="199"/>
      <c r="O6" s="198"/>
      <c r="P6" s="185"/>
      <c r="Q6" s="185"/>
      <c r="R6" s="184"/>
    </row>
    <row r="7" spans="1:21" ht="18.75" customHeight="1" x14ac:dyDescent="0.25">
      <c r="A7" s="197"/>
      <c r="B7" s="196"/>
      <c r="C7" s="195"/>
      <c r="D7" s="195"/>
      <c r="E7" s="194"/>
      <c r="F7" s="193"/>
      <c r="G7" s="193"/>
      <c r="H7" s="191" t="s">
        <v>180</v>
      </c>
      <c r="I7" s="190"/>
      <c r="J7" s="189"/>
      <c r="K7" s="186" t="s">
        <v>179</v>
      </c>
      <c r="L7" s="186"/>
      <c r="M7" s="188"/>
      <c r="N7" s="187"/>
      <c r="O7" s="186"/>
      <c r="P7" s="185"/>
      <c r="Q7" s="185"/>
      <c r="R7" s="184"/>
    </row>
    <row r="8" spans="1:21" ht="18.75" customHeight="1" x14ac:dyDescent="0.25">
      <c r="A8" s="197"/>
      <c r="B8" s="196"/>
      <c r="C8" s="195"/>
      <c r="D8" s="195"/>
      <c r="E8" s="194"/>
      <c r="F8" s="193"/>
      <c r="G8" s="192"/>
      <c r="H8" s="191" t="s">
        <v>178</v>
      </c>
      <c r="I8" s="190"/>
      <c r="J8" s="189"/>
      <c r="K8" s="186" t="s">
        <v>177</v>
      </c>
      <c r="L8" s="186"/>
      <c r="M8" s="188"/>
      <c r="N8" s="187"/>
      <c r="O8" s="186"/>
      <c r="P8" s="185"/>
      <c r="Q8" s="185"/>
      <c r="R8" s="184"/>
    </row>
    <row r="9" spans="1:21" ht="18.75" customHeight="1" thickBot="1" x14ac:dyDescent="0.3">
      <c r="A9" s="183"/>
      <c r="B9" s="182"/>
      <c r="C9" s="181"/>
      <c r="D9" s="181"/>
      <c r="E9" s="180"/>
      <c r="F9" s="179"/>
      <c r="G9" s="179"/>
      <c r="H9" s="178" t="s">
        <v>176</v>
      </c>
      <c r="I9" s="177"/>
      <c r="J9" s="176"/>
      <c r="K9" s="173" t="s">
        <v>175</v>
      </c>
      <c r="L9" s="173"/>
      <c r="M9" s="175"/>
      <c r="N9" s="174"/>
      <c r="O9" s="173"/>
      <c r="P9" s="172"/>
      <c r="Q9" s="172"/>
      <c r="R9" s="171"/>
    </row>
    <row r="10" spans="1:21" ht="18.600000000000001" customHeight="1" thickBot="1" x14ac:dyDescent="0.3">
      <c r="A10" s="726" t="s">
        <v>174</v>
      </c>
      <c r="B10" s="727"/>
      <c r="C10" s="727"/>
      <c r="D10" s="727"/>
      <c r="E10" s="727"/>
      <c r="F10" s="727"/>
      <c r="G10" s="727"/>
      <c r="H10" s="727"/>
      <c r="I10" s="727"/>
      <c r="J10" s="727"/>
      <c r="K10" s="727"/>
      <c r="L10" s="727"/>
      <c r="M10" s="727"/>
      <c r="N10" s="727"/>
      <c r="O10" s="727"/>
      <c r="P10" s="727"/>
      <c r="Q10" s="727"/>
      <c r="R10" s="728"/>
      <c r="T10" s="170"/>
    </row>
    <row r="11" spans="1:21" ht="18.75" customHeight="1" x14ac:dyDescent="0.25">
      <c r="A11" s="729" t="s">
        <v>173</v>
      </c>
      <c r="B11" s="735" t="s">
        <v>172</v>
      </c>
      <c r="C11" s="732" t="s">
        <v>171</v>
      </c>
      <c r="D11" s="733" t="s">
        <v>170</v>
      </c>
      <c r="E11" s="741" t="s">
        <v>169</v>
      </c>
      <c r="F11" s="743" t="s">
        <v>168</v>
      </c>
      <c r="G11" s="744"/>
      <c r="H11" s="745"/>
      <c r="I11" s="749" t="s">
        <v>167</v>
      </c>
      <c r="J11" s="750"/>
      <c r="K11" s="753" t="s">
        <v>166</v>
      </c>
      <c r="L11" s="736" t="s">
        <v>165</v>
      </c>
      <c r="M11" s="737"/>
      <c r="N11" s="737"/>
      <c r="O11" s="737"/>
      <c r="P11" s="737"/>
      <c r="Q11" s="169"/>
      <c r="R11" s="738" t="s">
        <v>164</v>
      </c>
      <c r="T11" s="168"/>
    </row>
    <row r="12" spans="1:21" ht="15.75" customHeight="1" x14ac:dyDescent="0.25">
      <c r="A12" s="730"/>
      <c r="B12" s="735"/>
      <c r="C12" s="733"/>
      <c r="D12" s="733"/>
      <c r="E12" s="735"/>
      <c r="F12" s="746"/>
      <c r="G12" s="747"/>
      <c r="H12" s="748"/>
      <c r="I12" s="751"/>
      <c r="J12" s="752"/>
      <c r="K12" s="754"/>
      <c r="L12" s="756" t="s">
        <v>163</v>
      </c>
      <c r="M12" s="757"/>
      <c r="N12" s="756" t="s">
        <v>162</v>
      </c>
      <c r="O12" s="757"/>
      <c r="P12" s="758"/>
      <c r="Q12" s="759" t="s">
        <v>152</v>
      </c>
      <c r="R12" s="739"/>
    </row>
    <row r="13" spans="1:21" s="20" customFormat="1" ht="78.599999999999994" customHeight="1" thickBot="1" x14ac:dyDescent="0.3">
      <c r="A13" s="731"/>
      <c r="B13" s="735"/>
      <c r="C13" s="734"/>
      <c r="D13" s="733"/>
      <c r="E13" s="742"/>
      <c r="F13" s="167" t="s">
        <v>161</v>
      </c>
      <c r="G13" s="167" t="s">
        <v>160</v>
      </c>
      <c r="H13" s="167" t="s">
        <v>159</v>
      </c>
      <c r="I13" s="166" t="s">
        <v>158</v>
      </c>
      <c r="J13" s="165" t="s">
        <v>157</v>
      </c>
      <c r="K13" s="755"/>
      <c r="L13" s="164" t="s">
        <v>156</v>
      </c>
      <c r="M13" s="163" t="s">
        <v>155</v>
      </c>
      <c r="N13" s="163" t="s">
        <v>154</v>
      </c>
      <c r="O13" s="164" t="s">
        <v>153</v>
      </c>
      <c r="P13" s="163" t="s">
        <v>152</v>
      </c>
      <c r="Q13" s="760"/>
      <c r="R13" s="740"/>
    </row>
    <row r="14" spans="1:21" s="64" customFormat="1" ht="19.350000000000001" customHeight="1" x14ac:dyDescent="0.25">
      <c r="A14" s="162" t="s">
        <v>151</v>
      </c>
      <c r="B14" s="161"/>
      <c r="C14" s="160" t="s">
        <v>150</v>
      </c>
      <c r="D14" s="160"/>
      <c r="E14" s="159" t="s">
        <v>149</v>
      </c>
      <c r="F14" s="156" t="s">
        <v>148</v>
      </c>
      <c r="G14" s="156" t="s">
        <v>147</v>
      </c>
      <c r="H14" s="156" t="s">
        <v>146</v>
      </c>
      <c r="I14" s="157" t="s">
        <v>145</v>
      </c>
      <c r="J14" s="158" t="s">
        <v>144</v>
      </c>
      <c r="K14" s="157" t="s">
        <v>143</v>
      </c>
      <c r="L14" s="157" t="s">
        <v>142</v>
      </c>
      <c r="M14" s="156" t="s">
        <v>141</v>
      </c>
      <c r="N14" s="156" t="s">
        <v>140</v>
      </c>
      <c r="O14" s="157" t="s">
        <v>139</v>
      </c>
      <c r="P14" s="156" t="s">
        <v>138</v>
      </c>
      <c r="Q14" s="156" t="s">
        <v>137</v>
      </c>
      <c r="R14" s="155" t="s">
        <v>136</v>
      </c>
      <c r="S14" s="20"/>
      <c r="U14" s="65"/>
    </row>
    <row r="15" spans="1:21" s="144" customFormat="1" ht="20.45" customHeight="1" x14ac:dyDescent="0.25">
      <c r="A15" s="224" t="s">
        <v>135</v>
      </c>
      <c r="B15" s="225"/>
      <c r="C15" s="226">
        <f>C27+C60+C69+C19+C16</f>
        <v>3441</v>
      </c>
      <c r="D15" s="226">
        <f>D27+D60+D69+D19+D16</f>
        <v>4551</v>
      </c>
      <c r="E15" s="224"/>
      <c r="F15" s="227">
        <f>F27+F60+F69+F19+F16</f>
        <v>1495.25</v>
      </c>
      <c r="G15" s="227">
        <f>G27+G60+G69+G19+G16</f>
        <v>1175.51</v>
      </c>
      <c r="H15" s="227">
        <f>H27+H60+H69+H19+H16</f>
        <v>2670.76</v>
      </c>
      <c r="I15" s="228"/>
      <c r="J15" s="227"/>
      <c r="K15" s="227"/>
      <c r="L15" s="229"/>
      <c r="M15" s="227">
        <f>M27+M60+M69+M19+M16</f>
        <v>10883407.833709756</v>
      </c>
      <c r="N15" s="227">
        <f>N27+N60+N69+N19+N16</f>
        <v>2512.8225000000002</v>
      </c>
      <c r="O15" s="227"/>
      <c r="P15" s="227">
        <f>P27+P60+P69+P19+P16</f>
        <v>42717982.5</v>
      </c>
      <c r="Q15" s="148"/>
      <c r="R15" s="147"/>
      <c r="S15" s="146"/>
      <c r="U15" s="145"/>
    </row>
    <row r="16" spans="1:21" s="64" customFormat="1" ht="20.45" hidden="1" customHeight="1" x14ac:dyDescent="0.25">
      <c r="A16" s="230" t="s">
        <v>134</v>
      </c>
      <c r="B16" s="231"/>
      <c r="C16" s="232"/>
      <c r="D16" s="232"/>
      <c r="E16" s="230"/>
      <c r="F16" s="233"/>
      <c r="G16" s="233"/>
      <c r="H16" s="233"/>
      <c r="I16" s="234"/>
      <c r="J16" s="233"/>
      <c r="K16" s="233"/>
      <c r="L16" s="235"/>
      <c r="M16" s="233"/>
      <c r="N16" s="233"/>
      <c r="O16" s="233"/>
      <c r="P16" s="233"/>
      <c r="Q16" s="129"/>
      <c r="R16" s="128"/>
      <c r="S16" s="20"/>
      <c r="U16" s="65"/>
    </row>
    <row r="17" spans="1:21" s="136" customFormat="1" ht="20.45" hidden="1" customHeight="1" x14ac:dyDescent="0.25">
      <c r="A17" s="33"/>
      <c r="B17" s="236"/>
      <c r="C17" s="96"/>
      <c r="D17" s="96"/>
      <c r="E17" s="33"/>
      <c r="F17" s="13"/>
      <c r="G17" s="13"/>
      <c r="H17" s="13"/>
      <c r="I17" s="114"/>
      <c r="J17" s="13"/>
      <c r="K17" s="13"/>
      <c r="L17" s="25"/>
      <c r="M17" s="13"/>
      <c r="N17" s="13"/>
      <c r="O17" s="13"/>
      <c r="P17" s="13"/>
      <c r="Q17" s="121"/>
      <c r="R17" s="120"/>
      <c r="S17" s="138"/>
      <c r="U17" s="137"/>
    </row>
    <row r="18" spans="1:21" s="136" customFormat="1" ht="20.45" hidden="1" customHeight="1" x14ac:dyDescent="0.25">
      <c r="A18" s="33"/>
      <c r="B18" s="236"/>
      <c r="C18" s="96"/>
      <c r="D18" s="96"/>
      <c r="E18" s="33"/>
      <c r="F18" s="13"/>
      <c r="G18" s="13"/>
      <c r="H18" s="13"/>
      <c r="I18" s="114"/>
      <c r="J18" s="13"/>
      <c r="K18" s="13"/>
      <c r="L18" s="25"/>
      <c r="M18" s="13"/>
      <c r="N18" s="13"/>
      <c r="O18" s="13"/>
      <c r="P18" s="13"/>
      <c r="Q18" s="121"/>
      <c r="R18" s="120"/>
      <c r="S18" s="138"/>
      <c r="U18" s="137"/>
    </row>
    <row r="19" spans="1:21" s="64" customFormat="1" ht="20.45" customHeight="1" x14ac:dyDescent="0.25">
      <c r="A19" s="230" t="s">
        <v>48</v>
      </c>
      <c r="B19" s="231"/>
      <c r="C19" s="232">
        <f>SUM(C20:C25)</f>
        <v>852</v>
      </c>
      <c r="D19" s="232">
        <f>SUM(D20:D25)</f>
        <v>1007</v>
      </c>
      <c r="E19" s="230"/>
      <c r="F19" s="233">
        <f>SUM(F20:F25)</f>
        <v>262.83</v>
      </c>
      <c r="G19" s="233">
        <f>SUM(G20:G25)</f>
        <v>360.51</v>
      </c>
      <c r="H19" s="233">
        <f>SUM(H20:H25)</f>
        <v>623.34</v>
      </c>
      <c r="I19" s="234"/>
      <c r="J19" s="233"/>
      <c r="K19" s="233"/>
      <c r="L19" s="235"/>
      <c r="M19" s="233"/>
      <c r="N19" s="233">
        <f>SUM(N20:N25)</f>
        <v>1662.6375</v>
      </c>
      <c r="O19" s="233"/>
      <c r="P19" s="233">
        <f>SUM(P20:P25)</f>
        <v>28264837.5</v>
      </c>
      <c r="Q19" s="129"/>
      <c r="R19" s="128"/>
      <c r="S19" s="20"/>
      <c r="U19" s="65"/>
    </row>
    <row r="20" spans="1:21" s="136" customFormat="1" ht="20.45" customHeight="1" x14ac:dyDescent="0.25">
      <c r="A20" s="87" t="s">
        <v>47</v>
      </c>
      <c r="B20" s="86"/>
      <c r="C20" s="85">
        <v>35</v>
      </c>
      <c r="D20" s="85">
        <v>23</v>
      </c>
      <c r="E20" s="140" t="s">
        <v>132</v>
      </c>
      <c r="F20" s="139">
        <v>23</v>
      </c>
      <c r="G20" s="139">
        <v>0</v>
      </c>
      <c r="H20" s="30">
        <f t="shared" ref="H20:H25" si="0">F20+G20</f>
        <v>23</v>
      </c>
      <c r="I20" s="114">
        <v>4.5</v>
      </c>
      <c r="J20" s="28"/>
      <c r="K20" s="27">
        <f t="shared" ref="K20:K25" si="1">(I20-J20)/I20</f>
        <v>1</v>
      </c>
      <c r="L20" s="26"/>
      <c r="M20" s="25"/>
      <c r="N20" s="237">
        <f t="shared" ref="N20:N25" si="2">(F20*I20)+(G20*K20*I20)</f>
        <v>103.5</v>
      </c>
      <c r="O20" s="24">
        <v>17</v>
      </c>
      <c r="P20" s="9">
        <f t="shared" ref="P20:P25" si="3">N20*1000*O20</f>
        <v>1759500</v>
      </c>
      <c r="Q20" s="121"/>
      <c r="R20" s="120"/>
      <c r="S20" s="138"/>
      <c r="U20" s="137"/>
    </row>
    <row r="21" spans="1:21" s="136" customFormat="1" ht="20.45" customHeight="1" x14ac:dyDescent="0.25">
      <c r="A21" s="87" t="s">
        <v>48</v>
      </c>
      <c r="B21" s="86"/>
      <c r="C21" s="85">
        <v>383</v>
      </c>
      <c r="D21" s="143">
        <v>367.2</v>
      </c>
      <c r="E21" s="140" t="s">
        <v>122</v>
      </c>
      <c r="F21" s="139">
        <v>13.04</v>
      </c>
      <c r="G21" s="139">
        <v>0</v>
      </c>
      <c r="H21" s="30">
        <f t="shared" si="0"/>
        <v>13.04</v>
      </c>
      <c r="I21" s="114">
        <v>4.5</v>
      </c>
      <c r="J21" s="28"/>
      <c r="K21" s="27">
        <f t="shared" si="1"/>
        <v>1</v>
      </c>
      <c r="L21" s="26"/>
      <c r="M21" s="25"/>
      <c r="N21" s="237">
        <f t="shared" si="2"/>
        <v>58.679999999999993</v>
      </c>
      <c r="O21" s="24">
        <v>17</v>
      </c>
      <c r="P21" s="9">
        <f t="shared" si="3"/>
        <v>997559.99999999988</v>
      </c>
      <c r="Q21" s="121"/>
      <c r="R21" s="120"/>
      <c r="S21" s="138"/>
      <c r="U21" s="137"/>
    </row>
    <row r="22" spans="1:21" s="136" customFormat="1" ht="20.45" customHeight="1" x14ac:dyDescent="0.25">
      <c r="A22" s="87" t="s">
        <v>50</v>
      </c>
      <c r="B22" s="86"/>
      <c r="C22" s="85">
        <v>71</v>
      </c>
      <c r="D22" s="142">
        <v>54</v>
      </c>
      <c r="E22" s="140" t="s">
        <v>132</v>
      </c>
      <c r="F22" s="139">
        <v>54</v>
      </c>
      <c r="G22" s="139">
        <v>0</v>
      </c>
      <c r="H22" s="30">
        <f t="shared" si="0"/>
        <v>54</v>
      </c>
      <c r="I22" s="114">
        <v>4.5</v>
      </c>
      <c r="J22" s="28"/>
      <c r="K22" s="27">
        <f t="shared" si="1"/>
        <v>1</v>
      </c>
      <c r="L22" s="26"/>
      <c r="M22" s="25"/>
      <c r="N22" s="237">
        <f t="shared" si="2"/>
        <v>243</v>
      </c>
      <c r="O22" s="24">
        <v>17</v>
      </c>
      <c r="P22" s="9">
        <f t="shared" si="3"/>
        <v>4131000</v>
      </c>
      <c r="Q22" s="121"/>
      <c r="R22" s="120"/>
      <c r="S22" s="138"/>
      <c r="U22" s="137"/>
    </row>
    <row r="23" spans="1:21" s="136" customFormat="1" ht="20.45" customHeight="1" x14ac:dyDescent="0.25">
      <c r="A23" s="87" t="s">
        <v>51</v>
      </c>
      <c r="B23" s="86"/>
      <c r="C23" s="85">
        <v>52</v>
      </c>
      <c r="D23" s="141">
        <v>51.5</v>
      </c>
      <c r="E23" s="140" t="s">
        <v>132</v>
      </c>
      <c r="F23" s="139">
        <v>22</v>
      </c>
      <c r="G23" s="139">
        <v>0</v>
      </c>
      <c r="H23" s="30">
        <f t="shared" si="0"/>
        <v>22</v>
      </c>
      <c r="I23" s="114">
        <v>4.5</v>
      </c>
      <c r="J23" s="28"/>
      <c r="K23" s="27">
        <f t="shared" si="1"/>
        <v>1</v>
      </c>
      <c r="L23" s="26"/>
      <c r="M23" s="25"/>
      <c r="N23" s="237">
        <f t="shared" si="2"/>
        <v>99</v>
      </c>
      <c r="O23" s="24">
        <v>17</v>
      </c>
      <c r="P23" s="9">
        <f t="shared" si="3"/>
        <v>1683000</v>
      </c>
      <c r="Q23" s="121"/>
      <c r="R23" s="120"/>
      <c r="S23" s="138"/>
      <c r="U23" s="137"/>
    </row>
    <row r="24" spans="1:21" s="136" customFormat="1" ht="20.45" customHeight="1" x14ac:dyDescent="0.25">
      <c r="A24" s="87" t="s">
        <v>52</v>
      </c>
      <c r="B24" s="86"/>
      <c r="C24" s="85">
        <v>26</v>
      </c>
      <c r="D24" s="142">
        <v>13</v>
      </c>
      <c r="E24" s="87" t="s">
        <v>133</v>
      </c>
      <c r="F24" s="139">
        <v>1.3</v>
      </c>
      <c r="G24" s="139">
        <v>11.7</v>
      </c>
      <c r="H24" s="30">
        <f t="shared" si="0"/>
        <v>13</v>
      </c>
      <c r="I24" s="114">
        <v>4.5</v>
      </c>
      <c r="J24" s="28">
        <v>3.73</v>
      </c>
      <c r="K24" s="27">
        <f t="shared" si="1"/>
        <v>0.1711111111111111</v>
      </c>
      <c r="L24" s="26"/>
      <c r="M24" s="25"/>
      <c r="N24" s="237">
        <f t="shared" si="2"/>
        <v>14.858999999999998</v>
      </c>
      <c r="O24" s="24">
        <v>17</v>
      </c>
      <c r="P24" s="9">
        <f t="shared" si="3"/>
        <v>252602.99999999997</v>
      </c>
      <c r="Q24" s="121"/>
      <c r="R24" s="120"/>
      <c r="S24" s="138"/>
      <c r="U24" s="137"/>
    </row>
    <row r="25" spans="1:21" s="136" customFormat="1" ht="20.45" customHeight="1" x14ac:dyDescent="0.25">
      <c r="A25" s="87" t="s">
        <v>53</v>
      </c>
      <c r="B25" s="86"/>
      <c r="C25" s="85">
        <v>285</v>
      </c>
      <c r="D25" s="141">
        <v>498.3</v>
      </c>
      <c r="E25" s="140" t="s">
        <v>132</v>
      </c>
      <c r="F25" s="139">
        <v>149.49</v>
      </c>
      <c r="G25" s="139">
        <v>348.81</v>
      </c>
      <c r="H25" s="30">
        <f t="shared" si="0"/>
        <v>498.3</v>
      </c>
      <c r="I25" s="114">
        <v>4.5</v>
      </c>
      <c r="J25" s="28">
        <v>3.15</v>
      </c>
      <c r="K25" s="27">
        <f t="shared" si="1"/>
        <v>0.30000000000000004</v>
      </c>
      <c r="L25" s="26"/>
      <c r="M25" s="25"/>
      <c r="N25" s="237">
        <f t="shared" si="2"/>
        <v>1143.5985000000001</v>
      </c>
      <c r="O25" s="24">
        <v>17</v>
      </c>
      <c r="P25" s="9">
        <f t="shared" si="3"/>
        <v>19441174.5</v>
      </c>
      <c r="Q25" s="121"/>
      <c r="R25" s="120"/>
      <c r="S25" s="138"/>
      <c r="U25" s="137"/>
    </row>
    <row r="26" spans="1:21" s="136" customFormat="1" ht="20.45" customHeight="1" x14ac:dyDescent="0.25">
      <c r="A26" s="33"/>
      <c r="B26" s="236"/>
      <c r="C26" s="96"/>
      <c r="D26" s="96"/>
      <c r="E26" s="33"/>
      <c r="F26" s="13"/>
      <c r="G26" s="13"/>
      <c r="H26" s="13"/>
      <c r="I26" s="114"/>
      <c r="J26" s="13"/>
      <c r="K26" s="13"/>
      <c r="L26" s="25"/>
      <c r="M26" s="13"/>
      <c r="N26" s="13"/>
      <c r="O26" s="13"/>
      <c r="P26" s="13"/>
      <c r="Q26" s="121"/>
      <c r="R26" s="120"/>
      <c r="S26" s="138"/>
      <c r="U26" s="137"/>
    </row>
    <row r="27" spans="1:21" s="64" customFormat="1" ht="20.45" customHeight="1" x14ac:dyDescent="0.25">
      <c r="A27" s="230" t="s">
        <v>131</v>
      </c>
      <c r="B27" s="231"/>
      <c r="C27" s="232">
        <f>SUM(C39:C58)</f>
        <v>1302</v>
      </c>
      <c r="D27" s="232">
        <f>SUM(D39:D58)</f>
        <v>1919.5</v>
      </c>
      <c r="E27" s="230"/>
      <c r="F27" s="233">
        <f>SUM(F39:F58)</f>
        <v>45.5</v>
      </c>
      <c r="G27" s="233">
        <f>SUM(G39:G58)</f>
        <v>701</v>
      </c>
      <c r="H27" s="233">
        <f>SUM(H39:H58)</f>
        <v>746.5</v>
      </c>
      <c r="I27" s="234"/>
      <c r="J27" s="233"/>
      <c r="K27" s="233"/>
      <c r="L27" s="235"/>
      <c r="M27" s="233">
        <f>SUM(M39:M58)</f>
        <v>102469.51672862453</v>
      </c>
      <c r="N27" s="233">
        <f>SUM(N39:N58)</f>
        <v>850.18499999999995</v>
      </c>
      <c r="O27" s="233"/>
      <c r="P27" s="233">
        <f>SUM(P39:P58)</f>
        <v>14453145</v>
      </c>
      <c r="Q27" s="129"/>
      <c r="R27" s="128"/>
      <c r="S27" s="20"/>
      <c r="U27" s="65"/>
    </row>
    <row r="28" spans="1:21" s="117" customFormat="1" ht="20.45" customHeight="1" x14ac:dyDescent="0.25">
      <c r="A28" s="33" t="s">
        <v>102</v>
      </c>
      <c r="B28" s="236"/>
      <c r="C28" s="96">
        <v>129</v>
      </c>
      <c r="D28" s="96"/>
      <c r="E28" s="33"/>
      <c r="F28" s="13">
        <v>33</v>
      </c>
      <c r="G28" s="13">
        <v>82</v>
      </c>
      <c r="H28" s="13">
        <v>115</v>
      </c>
      <c r="I28" s="114"/>
      <c r="J28" s="13"/>
      <c r="K28" s="13"/>
      <c r="L28" s="25"/>
      <c r="M28" s="13"/>
      <c r="N28" s="13">
        <v>150.79000000000002</v>
      </c>
      <c r="O28" s="13">
        <v>34</v>
      </c>
      <c r="P28" s="13">
        <v>2563430</v>
      </c>
      <c r="Q28" s="121"/>
      <c r="R28" s="120"/>
      <c r="S28" s="119"/>
      <c r="U28" s="118"/>
    </row>
    <row r="29" spans="1:21" s="117" customFormat="1" ht="20.45" customHeight="1" x14ac:dyDescent="0.25">
      <c r="A29" s="33" t="s">
        <v>124</v>
      </c>
      <c r="B29" s="236"/>
      <c r="C29" s="96">
        <v>141</v>
      </c>
      <c r="D29" s="96"/>
      <c r="E29" s="33"/>
      <c r="F29" s="13"/>
      <c r="G29" s="13">
        <v>50</v>
      </c>
      <c r="H29" s="13">
        <v>50</v>
      </c>
      <c r="I29" s="114"/>
      <c r="J29" s="13"/>
      <c r="K29" s="13"/>
      <c r="L29" s="25"/>
      <c r="M29" s="13"/>
      <c r="N29" s="13"/>
      <c r="O29" s="13"/>
      <c r="P29" s="13"/>
      <c r="Q29" s="121"/>
      <c r="R29" s="120"/>
      <c r="S29" s="119"/>
      <c r="U29" s="118"/>
    </row>
    <row r="30" spans="1:21" s="117" customFormat="1" ht="20.45" customHeight="1" x14ac:dyDescent="0.25">
      <c r="A30" s="33" t="s">
        <v>59</v>
      </c>
      <c r="B30" s="236"/>
      <c r="C30" s="96">
        <v>158</v>
      </c>
      <c r="D30" s="96"/>
      <c r="E30" s="33"/>
      <c r="F30" s="13">
        <v>0</v>
      </c>
      <c r="G30" s="13">
        <v>78</v>
      </c>
      <c r="H30" s="13">
        <v>78</v>
      </c>
      <c r="I30" s="114"/>
      <c r="J30" s="13"/>
      <c r="K30" s="13"/>
      <c r="L30" s="25"/>
      <c r="M30" s="13"/>
      <c r="N30" s="13">
        <v>101.25</v>
      </c>
      <c r="O30" s="13">
        <v>34</v>
      </c>
      <c r="P30" s="13">
        <v>1721249.9999999998</v>
      </c>
      <c r="Q30" s="121"/>
      <c r="R30" s="120"/>
      <c r="S30" s="119"/>
      <c r="U30" s="118"/>
    </row>
    <row r="31" spans="1:21" s="117" customFormat="1" ht="20.45" customHeight="1" x14ac:dyDescent="0.25">
      <c r="A31" s="33" t="s">
        <v>61</v>
      </c>
      <c r="B31" s="236" t="s">
        <v>5</v>
      </c>
      <c r="C31" s="96">
        <v>30</v>
      </c>
      <c r="D31" s="96">
        <v>12.5</v>
      </c>
      <c r="E31" s="33" t="s">
        <v>125</v>
      </c>
      <c r="F31" s="13">
        <v>12.5</v>
      </c>
      <c r="G31" s="13"/>
      <c r="H31" s="13">
        <v>12.5</v>
      </c>
      <c r="I31" s="114">
        <v>2.69</v>
      </c>
      <c r="J31" s="13"/>
      <c r="K31" s="13">
        <v>1</v>
      </c>
      <c r="L31" s="25"/>
      <c r="M31" s="13"/>
      <c r="N31" s="13">
        <v>33.625</v>
      </c>
      <c r="O31" s="13">
        <v>17</v>
      </c>
      <c r="P31" s="13">
        <v>571625</v>
      </c>
      <c r="Q31" s="121">
        <v>289000</v>
      </c>
      <c r="R31" s="120"/>
      <c r="S31" s="119"/>
      <c r="U31" s="118"/>
    </row>
    <row r="32" spans="1:21" s="117" customFormat="1" ht="20.45" customHeight="1" x14ac:dyDescent="0.25">
      <c r="A32" s="33" t="s">
        <v>128</v>
      </c>
      <c r="B32" s="236" t="s">
        <v>5</v>
      </c>
      <c r="C32" s="96">
        <v>6</v>
      </c>
      <c r="D32" s="96">
        <v>2</v>
      </c>
      <c r="E32" s="33" t="s">
        <v>123</v>
      </c>
      <c r="F32" s="13">
        <v>0</v>
      </c>
      <c r="G32" s="13">
        <v>2</v>
      </c>
      <c r="H32" s="13">
        <v>2</v>
      </c>
      <c r="I32" s="114">
        <v>2.69</v>
      </c>
      <c r="J32" s="13">
        <v>1.34</v>
      </c>
      <c r="K32" s="13">
        <v>0.5018587360594795</v>
      </c>
      <c r="L32" s="25">
        <v>7470</v>
      </c>
      <c r="M32" s="13">
        <v>7497.7695167286238</v>
      </c>
      <c r="N32" s="13"/>
      <c r="O32" s="13"/>
      <c r="P32" s="13"/>
      <c r="Q32" s="121">
        <v>0</v>
      </c>
      <c r="R32" s="120"/>
      <c r="S32" s="119"/>
      <c r="U32" s="118"/>
    </row>
    <row r="33" spans="1:21" s="117" customFormat="1" ht="20.45" customHeight="1" x14ac:dyDescent="0.25">
      <c r="A33" s="33" t="s">
        <v>126</v>
      </c>
      <c r="B33" s="236" t="s">
        <v>5</v>
      </c>
      <c r="C33" s="96">
        <v>40</v>
      </c>
      <c r="D33" s="96">
        <v>415</v>
      </c>
      <c r="E33" s="33" t="s">
        <v>125</v>
      </c>
      <c r="F33" s="13">
        <v>0</v>
      </c>
      <c r="G33" s="13">
        <v>25</v>
      </c>
      <c r="H33" s="13">
        <v>25</v>
      </c>
      <c r="I33" s="114">
        <v>2.69</v>
      </c>
      <c r="J33" s="13">
        <v>1.72</v>
      </c>
      <c r="K33" s="13">
        <v>0.36059479553903345</v>
      </c>
      <c r="L33" s="25"/>
      <c r="M33" s="13"/>
      <c r="N33" s="13">
        <v>24.25</v>
      </c>
      <c r="O33" s="13">
        <v>17</v>
      </c>
      <c r="P33" s="13">
        <v>412250</v>
      </c>
      <c r="Q33" s="121">
        <v>289000</v>
      </c>
      <c r="R33" s="120"/>
      <c r="S33" s="119"/>
      <c r="U33" s="118"/>
    </row>
    <row r="34" spans="1:21" s="117" customFormat="1" ht="20.45" customHeight="1" x14ac:dyDescent="0.25">
      <c r="A34" s="33" t="s">
        <v>127</v>
      </c>
      <c r="B34" s="236"/>
      <c r="C34" s="96">
        <v>141</v>
      </c>
      <c r="D34" s="96"/>
      <c r="E34" s="33"/>
      <c r="F34" s="13"/>
      <c r="G34" s="13">
        <v>96</v>
      </c>
      <c r="H34" s="13">
        <v>96</v>
      </c>
      <c r="I34" s="114"/>
      <c r="J34" s="13"/>
      <c r="K34" s="13"/>
      <c r="L34" s="25"/>
      <c r="M34" s="13"/>
      <c r="N34" s="13">
        <v>116.16</v>
      </c>
      <c r="O34" s="13">
        <v>34</v>
      </c>
      <c r="P34" s="13">
        <v>1974720</v>
      </c>
      <c r="Q34" s="121"/>
      <c r="R34" s="120"/>
      <c r="S34" s="119"/>
      <c r="U34" s="118"/>
    </row>
    <row r="35" spans="1:21" s="117" customFormat="1" ht="20.45" customHeight="1" x14ac:dyDescent="0.25">
      <c r="A35" s="33" t="s">
        <v>66</v>
      </c>
      <c r="B35" s="236" t="s">
        <v>5</v>
      </c>
      <c r="C35" s="96">
        <v>2</v>
      </c>
      <c r="D35" s="96">
        <v>33</v>
      </c>
      <c r="E35" s="33" t="s">
        <v>125</v>
      </c>
      <c r="F35" s="13">
        <v>0</v>
      </c>
      <c r="G35" s="13">
        <v>2</v>
      </c>
      <c r="H35" s="13">
        <v>2</v>
      </c>
      <c r="I35" s="114">
        <v>2.69</v>
      </c>
      <c r="J35" s="13">
        <v>2.02</v>
      </c>
      <c r="K35" s="13">
        <v>0.24907063197026019</v>
      </c>
      <c r="L35" s="25"/>
      <c r="M35" s="13"/>
      <c r="N35" s="13">
        <v>1.3399999999999999</v>
      </c>
      <c r="O35" s="13">
        <v>17</v>
      </c>
      <c r="P35" s="13">
        <v>22779.999999999996</v>
      </c>
      <c r="Q35" s="121">
        <v>289000</v>
      </c>
      <c r="R35" s="120"/>
      <c r="S35" s="119"/>
      <c r="U35" s="118"/>
    </row>
    <row r="36" spans="1:21" s="117" customFormat="1" ht="20.45" customHeight="1" x14ac:dyDescent="0.25">
      <c r="A36" s="33" t="s">
        <v>129</v>
      </c>
      <c r="B36" s="236"/>
      <c r="C36" s="96">
        <v>221</v>
      </c>
      <c r="D36" s="96">
        <v>33</v>
      </c>
      <c r="E36" s="33"/>
      <c r="F36" s="13">
        <v>0</v>
      </c>
      <c r="G36" s="13">
        <v>110</v>
      </c>
      <c r="H36" s="13">
        <v>110</v>
      </c>
      <c r="I36" s="114"/>
      <c r="J36" s="13"/>
      <c r="K36" s="13"/>
      <c r="L36" s="25"/>
      <c r="M36" s="13"/>
      <c r="N36" s="13">
        <v>133.73000000000002</v>
      </c>
      <c r="O36" s="13">
        <v>68</v>
      </c>
      <c r="P36" s="13">
        <v>2273410</v>
      </c>
      <c r="Q36" s="121"/>
      <c r="R36" s="120"/>
      <c r="S36" s="119"/>
      <c r="U36" s="118"/>
    </row>
    <row r="37" spans="1:21" s="117" customFormat="1" ht="20.45" hidden="1" customHeight="1" x14ac:dyDescent="0.25">
      <c r="A37" s="33"/>
      <c r="B37" s="236"/>
      <c r="C37" s="96"/>
      <c r="D37" s="96"/>
      <c r="E37" s="33"/>
      <c r="F37" s="13"/>
      <c r="G37" s="13"/>
      <c r="H37" s="13"/>
      <c r="I37" s="114"/>
      <c r="J37" s="13"/>
      <c r="K37" s="13"/>
      <c r="L37" s="25"/>
      <c r="M37" s="13"/>
      <c r="N37" s="13"/>
      <c r="O37" s="13"/>
      <c r="P37" s="13"/>
      <c r="Q37" s="121"/>
      <c r="R37" s="120"/>
      <c r="S37" s="119"/>
      <c r="U37" s="118"/>
    </row>
    <row r="38" spans="1:21" s="97" customFormat="1" ht="20.45" hidden="1" customHeight="1" x14ac:dyDescent="0.25">
      <c r="A38" s="113" t="s">
        <v>102</v>
      </c>
      <c r="B38" s="112"/>
      <c r="C38" s="111">
        <f>SUM(C39:C41)</f>
        <v>129</v>
      </c>
      <c r="D38" s="111"/>
      <c r="E38" s="113"/>
      <c r="F38" s="109">
        <f>SUM(F39:F41)</f>
        <v>33</v>
      </c>
      <c r="G38" s="109">
        <f>SUM(G39:G41)</f>
        <v>82</v>
      </c>
      <c r="H38" s="109">
        <f>SUM(H39:H41)</f>
        <v>115</v>
      </c>
      <c r="I38" s="107"/>
      <c r="J38" s="109"/>
      <c r="K38" s="109"/>
      <c r="L38" s="103"/>
      <c r="M38" s="109"/>
      <c r="N38" s="109">
        <f>SUM(N39:N41)</f>
        <v>150.79000000000002</v>
      </c>
      <c r="O38" s="109">
        <f>SUM(O39:O41)</f>
        <v>34</v>
      </c>
      <c r="P38" s="109">
        <f>SUM(P39:P41)</f>
        <v>2563430</v>
      </c>
      <c r="Q38" s="116"/>
      <c r="R38" s="115"/>
      <c r="S38" s="99"/>
      <c r="U38" s="98"/>
    </row>
    <row r="39" spans="1:21" s="64" customFormat="1" ht="19.5" hidden="1" customHeight="1" x14ac:dyDescent="0.25">
      <c r="A39" s="813" t="s">
        <v>102</v>
      </c>
      <c r="B39" s="32" t="s">
        <v>5</v>
      </c>
      <c r="C39" s="10">
        <v>24</v>
      </c>
      <c r="D39" s="10">
        <v>75</v>
      </c>
      <c r="E39" s="95" t="s">
        <v>130</v>
      </c>
      <c r="F39" s="38">
        <v>0</v>
      </c>
      <c r="G39" s="38">
        <v>24</v>
      </c>
      <c r="H39" s="37">
        <f>F39+G39</f>
        <v>24</v>
      </c>
      <c r="I39" s="94">
        <v>2.69</v>
      </c>
      <c r="J39" s="36">
        <f>I39-0.67</f>
        <v>2.02</v>
      </c>
      <c r="K39" s="27">
        <f>(I39-J39)/I39</f>
        <v>0.24907063197026019</v>
      </c>
      <c r="L39" s="26">
        <v>7470</v>
      </c>
      <c r="M39" s="25">
        <f>(F39*L39)+(G39*L39*K39)</f>
        <v>44653.382899628246</v>
      </c>
      <c r="N39" s="237"/>
      <c r="O39" s="24"/>
      <c r="P39" s="9"/>
      <c r="Q39" s="9">
        <f>O39*1000*17</f>
        <v>0</v>
      </c>
      <c r="R39" s="23"/>
      <c r="S39" s="20"/>
      <c r="U39" s="65"/>
    </row>
    <row r="40" spans="1:21" s="64" customFormat="1" ht="19.5" hidden="1" customHeight="1" x14ac:dyDescent="0.25">
      <c r="A40" s="813"/>
      <c r="B40" s="32" t="s">
        <v>5</v>
      </c>
      <c r="C40" s="10">
        <v>57</v>
      </c>
      <c r="D40" s="10">
        <v>85</v>
      </c>
      <c r="E40" s="95" t="s">
        <v>122</v>
      </c>
      <c r="F40" s="13">
        <v>9</v>
      </c>
      <c r="G40" s="13">
        <v>31</v>
      </c>
      <c r="H40" s="30">
        <f>F40+G40</f>
        <v>40</v>
      </c>
      <c r="I40" s="114">
        <v>2.69</v>
      </c>
      <c r="J40" s="28">
        <v>1.63</v>
      </c>
      <c r="K40" s="27">
        <f>(I40-J40)/I40</f>
        <v>0.39405204460966547</v>
      </c>
      <c r="L40" s="26"/>
      <c r="M40" s="25"/>
      <c r="N40" s="237">
        <f>(F40*I40)+(G40*K40*I40)</f>
        <v>57.070000000000007</v>
      </c>
      <c r="O40" s="24">
        <v>17</v>
      </c>
      <c r="P40" s="9">
        <f>N40*1000*O40</f>
        <v>970190.00000000012</v>
      </c>
      <c r="Q40" s="9">
        <f>O40*1000*17</f>
        <v>289000</v>
      </c>
      <c r="R40" s="23"/>
      <c r="S40" s="20"/>
      <c r="U40" s="65"/>
    </row>
    <row r="41" spans="1:21" s="64" customFormat="1" ht="19.5" hidden="1" customHeight="1" x14ac:dyDescent="0.25">
      <c r="A41" s="813"/>
      <c r="B41" s="32" t="s">
        <v>5</v>
      </c>
      <c r="C41" s="10">
        <v>48</v>
      </c>
      <c r="D41" s="10">
        <v>523</v>
      </c>
      <c r="E41" s="95" t="s">
        <v>125</v>
      </c>
      <c r="F41" s="13">
        <v>24</v>
      </c>
      <c r="G41" s="13">
        <v>27</v>
      </c>
      <c r="H41" s="30">
        <f>F41+G41</f>
        <v>51</v>
      </c>
      <c r="I41" s="114">
        <v>2.69</v>
      </c>
      <c r="J41" s="28">
        <v>1.61</v>
      </c>
      <c r="K41" s="27">
        <f>(I41-J41)/I41</f>
        <v>0.4014869888475836</v>
      </c>
      <c r="L41" s="26"/>
      <c r="M41" s="25"/>
      <c r="N41" s="237">
        <f>(F41*I41)+(G41*K41*I41)</f>
        <v>93.72</v>
      </c>
      <c r="O41" s="24">
        <v>17</v>
      </c>
      <c r="P41" s="9">
        <f>N41*1000*O41</f>
        <v>1593240</v>
      </c>
      <c r="Q41" s="9">
        <f>O41*1000*17</f>
        <v>289000</v>
      </c>
      <c r="R41" s="23"/>
      <c r="S41" s="20"/>
      <c r="U41" s="65"/>
    </row>
    <row r="42" spans="1:21" s="97" customFormat="1" ht="19.5" hidden="1" customHeight="1" x14ac:dyDescent="0.25">
      <c r="A42" s="113" t="s">
        <v>129</v>
      </c>
      <c r="B42" s="112"/>
      <c r="C42" s="111">
        <f>SUM(C43:C45)</f>
        <v>221</v>
      </c>
      <c r="D42" s="111">
        <f>SUM(D43:D45)</f>
        <v>33</v>
      </c>
      <c r="E42" s="110"/>
      <c r="F42" s="111">
        <f>SUM(F43:F45)</f>
        <v>0</v>
      </c>
      <c r="G42" s="111">
        <f>SUM(G43:G45)</f>
        <v>110</v>
      </c>
      <c r="H42" s="111">
        <f>SUM(H43:H45)</f>
        <v>110</v>
      </c>
      <c r="I42" s="107"/>
      <c r="J42" s="106"/>
      <c r="K42" s="105"/>
      <c r="L42" s="104"/>
      <c r="M42" s="103"/>
      <c r="N42" s="111">
        <f>SUM(N43:N45)</f>
        <v>133.73000000000002</v>
      </c>
      <c r="O42" s="111">
        <f>SUM(O43:O45)</f>
        <v>68</v>
      </c>
      <c r="P42" s="111">
        <f>SUM(P43:P45)</f>
        <v>2273410</v>
      </c>
      <c r="Q42" s="101"/>
      <c r="R42" s="100"/>
      <c r="S42" s="99"/>
      <c r="U42" s="98"/>
    </row>
    <row r="43" spans="1:21" s="64" customFormat="1" ht="19.5" hidden="1" customHeight="1" x14ac:dyDescent="0.25">
      <c r="A43" s="813" t="s">
        <v>129</v>
      </c>
      <c r="B43" s="32" t="s">
        <v>5</v>
      </c>
      <c r="C43" s="10">
        <v>41</v>
      </c>
      <c r="D43" s="96">
        <v>6</v>
      </c>
      <c r="E43" s="95" t="s">
        <v>122</v>
      </c>
      <c r="F43" s="13">
        <v>0</v>
      </c>
      <c r="G43" s="13">
        <v>6</v>
      </c>
      <c r="H43" s="30">
        <f>F43+G43</f>
        <v>6</v>
      </c>
      <c r="I43" s="114">
        <v>2.69</v>
      </c>
      <c r="J43" s="28">
        <v>1.48</v>
      </c>
      <c r="K43" s="27">
        <f>(I43-J43)/I43</f>
        <v>0.44981412639405205</v>
      </c>
      <c r="L43" s="26"/>
      <c r="M43" s="25"/>
      <c r="N43" s="237">
        <f>(F43*I43)+(G43*K43*I43)</f>
        <v>7.26</v>
      </c>
      <c r="O43" s="24">
        <v>17</v>
      </c>
      <c r="P43" s="9">
        <f>N43*1000*O43</f>
        <v>123420</v>
      </c>
      <c r="Q43" s="9">
        <f>O43*1000*17</f>
        <v>289000</v>
      </c>
      <c r="R43" s="23"/>
      <c r="S43" s="20"/>
      <c r="U43" s="65"/>
    </row>
    <row r="44" spans="1:21" s="64" customFormat="1" ht="19.5" hidden="1" customHeight="1" x14ac:dyDescent="0.25">
      <c r="A44" s="813"/>
      <c r="B44" s="32" t="s">
        <v>5</v>
      </c>
      <c r="C44" s="10">
        <v>22</v>
      </c>
      <c r="D44" s="96">
        <v>27</v>
      </c>
      <c r="E44" s="95" t="s">
        <v>125</v>
      </c>
      <c r="F44" s="13">
        <v>0</v>
      </c>
      <c r="G44" s="13">
        <v>26</v>
      </c>
      <c r="H44" s="30">
        <f>F44+G44</f>
        <v>26</v>
      </c>
      <c r="I44" s="114">
        <v>2.69</v>
      </c>
      <c r="J44" s="28">
        <v>1.72</v>
      </c>
      <c r="K44" s="27">
        <f>(I44-J44)/I44</f>
        <v>0.36059479553903345</v>
      </c>
      <c r="L44" s="26"/>
      <c r="M44" s="25"/>
      <c r="N44" s="237">
        <f>(F44*I44)+(G44*K44*I44)</f>
        <v>25.220000000000002</v>
      </c>
      <c r="O44" s="24">
        <v>17</v>
      </c>
      <c r="P44" s="9">
        <f>N44*1000*O44</f>
        <v>428740.00000000006</v>
      </c>
      <c r="Q44" s="9">
        <f>O44*1000*17</f>
        <v>289000</v>
      </c>
      <c r="R44" s="23"/>
      <c r="S44" s="20"/>
      <c r="U44" s="65"/>
    </row>
    <row r="45" spans="1:21" s="97" customFormat="1" ht="19.5" hidden="1" customHeight="1" x14ac:dyDescent="0.25">
      <c r="A45" s="113" t="s">
        <v>59</v>
      </c>
      <c r="B45" s="112"/>
      <c r="C45" s="111">
        <f>SUM(C46:C48)</f>
        <v>158</v>
      </c>
      <c r="D45" s="238"/>
      <c r="E45" s="110"/>
      <c r="F45" s="111">
        <f>SUM(F46:F48)</f>
        <v>0</v>
      </c>
      <c r="G45" s="111">
        <f>SUM(G46:G48)</f>
        <v>78</v>
      </c>
      <c r="H45" s="111">
        <f>SUM(H46:H48)</f>
        <v>78</v>
      </c>
      <c r="I45" s="107"/>
      <c r="J45" s="106"/>
      <c r="K45" s="105"/>
      <c r="L45" s="104"/>
      <c r="M45" s="103"/>
      <c r="N45" s="111">
        <f>SUM(N46:N48)</f>
        <v>101.25</v>
      </c>
      <c r="O45" s="111">
        <f>SUM(O46:O48)</f>
        <v>34</v>
      </c>
      <c r="P45" s="111">
        <f>SUM(P46:P48)</f>
        <v>1721249.9999999998</v>
      </c>
      <c r="Q45" s="101"/>
      <c r="R45" s="100"/>
      <c r="S45" s="99"/>
      <c r="U45" s="98"/>
    </row>
    <row r="46" spans="1:21" s="64" customFormat="1" ht="19.5" hidden="1" customHeight="1" x14ac:dyDescent="0.25">
      <c r="A46" s="813" t="s">
        <v>59</v>
      </c>
      <c r="B46" s="32" t="s">
        <v>5</v>
      </c>
      <c r="C46" s="10">
        <v>33</v>
      </c>
      <c r="D46" s="96">
        <v>3</v>
      </c>
      <c r="E46" s="95" t="s">
        <v>123</v>
      </c>
      <c r="F46" s="38">
        <v>0</v>
      </c>
      <c r="G46" s="38">
        <v>3</v>
      </c>
      <c r="H46" s="37">
        <f>F46+G46</f>
        <v>3</v>
      </c>
      <c r="I46" s="94">
        <v>2.69</v>
      </c>
      <c r="J46" s="36">
        <v>1.34</v>
      </c>
      <c r="K46" s="27">
        <f>(I46-J46)/I46</f>
        <v>0.5018587360594795</v>
      </c>
      <c r="L46" s="26">
        <v>7470</v>
      </c>
      <c r="M46" s="25">
        <f>(F46*L46)+(G46*L46*K46)</f>
        <v>11246.654275092937</v>
      </c>
      <c r="N46" s="237"/>
      <c r="O46" s="24"/>
      <c r="P46" s="9"/>
      <c r="Q46" s="9">
        <f>O46*1000*17</f>
        <v>0</v>
      </c>
      <c r="R46" s="23"/>
      <c r="S46" s="20"/>
      <c r="U46" s="65"/>
    </row>
    <row r="47" spans="1:21" s="64" customFormat="1" ht="19.5" hidden="1" customHeight="1" x14ac:dyDescent="0.25">
      <c r="A47" s="813"/>
      <c r="B47" s="32" t="s">
        <v>5</v>
      </c>
      <c r="C47" s="10">
        <v>88</v>
      </c>
      <c r="D47" s="96">
        <v>47</v>
      </c>
      <c r="E47" s="95" t="s">
        <v>122</v>
      </c>
      <c r="F47" s="38">
        <v>0</v>
      </c>
      <c r="G47" s="38">
        <v>47</v>
      </c>
      <c r="H47" s="30">
        <f>F47+G47</f>
        <v>47</v>
      </c>
      <c r="I47" s="94">
        <v>2.69</v>
      </c>
      <c r="J47" s="36">
        <v>1.34</v>
      </c>
      <c r="K47" s="27">
        <f>(I47-J47)/I47</f>
        <v>0.5018587360594795</v>
      </c>
      <c r="L47" s="26"/>
      <c r="M47" s="25"/>
      <c r="N47" s="237">
        <f>(F47*I47)+(G47*K47*I47)</f>
        <v>63.449999999999996</v>
      </c>
      <c r="O47" s="24">
        <v>17</v>
      </c>
      <c r="P47" s="9">
        <f>N47*1000*O47</f>
        <v>1078649.9999999998</v>
      </c>
      <c r="Q47" s="9">
        <f>O47*1000*17</f>
        <v>289000</v>
      </c>
      <c r="R47" s="23"/>
      <c r="S47" s="20"/>
      <c r="U47" s="65"/>
    </row>
    <row r="48" spans="1:21" s="64" customFormat="1" ht="19.5" hidden="1" customHeight="1" x14ac:dyDescent="0.25">
      <c r="A48" s="813"/>
      <c r="B48" s="32" t="s">
        <v>5</v>
      </c>
      <c r="C48" s="10">
        <v>37</v>
      </c>
      <c r="D48" s="96">
        <v>275</v>
      </c>
      <c r="E48" s="95" t="s">
        <v>125</v>
      </c>
      <c r="F48" s="38">
        <v>0</v>
      </c>
      <c r="G48" s="38">
        <v>28</v>
      </c>
      <c r="H48" s="30">
        <f>F48+G48</f>
        <v>28</v>
      </c>
      <c r="I48" s="94">
        <v>2.69</v>
      </c>
      <c r="J48" s="36">
        <v>1.34</v>
      </c>
      <c r="K48" s="27">
        <f>(I48-J48)/I48</f>
        <v>0.5018587360594795</v>
      </c>
      <c r="L48" s="26"/>
      <c r="M48" s="25"/>
      <c r="N48" s="237">
        <f>(F48*I48)+(G48*K48*I48)</f>
        <v>37.799999999999997</v>
      </c>
      <c r="O48" s="24">
        <v>17</v>
      </c>
      <c r="P48" s="9">
        <f>N48*1000*O48</f>
        <v>642600</v>
      </c>
      <c r="Q48" s="9">
        <f>O48*1000*17</f>
        <v>289000</v>
      </c>
      <c r="R48" s="23"/>
      <c r="S48" s="20"/>
      <c r="U48" s="65"/>
    </row>
    <row r="49" spans="1:21" s="64" customFormat="1" ht="19.5" hidden="1" customHeight="1" x14ac:dyDescent="0.25">
      <c r="A49" s="12" t="s">
        <v>128</v>
      </c>
      <c r="B49" s="32" t="s">
        <v>5</v>
      </c>
      <c r="C49" s="10">
        <v>6</v>
      </c>
      <c r="D49" s="96">
        <v>2</v>
      </c>
      <c r="E49" s="95" t="s">
        <v>123</v>
      </c>
      <c r="F49" s="38">
        <v>0</v>
      </c>
      <c r="G49" s="38">
        <v>2</v>
      </c>
      <c r="H49" s="37">
        <f>F49+G49</f>
        <v>2</v>
      </c>
      <c r="I49" s="94">
        <v>2.69</v>
      </c>
      <c r="J49" s="36">
        <v>1.34</v>
      </c>
      <c r="K49" s="27">
        <f>(I49-J49)/I49</f>
        <v>0.5018587360594795</v>
      </c>
      <c r="L49" s="26">
        <v>7470</v>
      </c>
      <c r="M49" s="25">
        <f>(F49*L49)+(G49*L49*K49)</f>
        <v>7497.7695167286238</v>
      </c>
      <c r="N49" s="237"/>
      <c r="O49" s="24"/>
      <c r="P49" s="9"/>
      <c r="Q49" s="9">
        <f>O49*1000*17</f>
        <v>0</v>
      </c>
      <c r="R49" s="23"/>
      <c r="S49" s="20"/>
      <c r="U49" s="65"/>
    </row>
    <row r="50" spans="1:21" s="64" customFormat="1" ht="19.350000000000001" hidden="1" customHeight="1" x14ac:dyDescent="0.25">
      <c r="A50" s="12" t="s">
        <v>61</v>
      </c>
      <c r="B50" s="32" t="s">
        <v>5</v>
      </c>
      <c r="C50" s="10">
        <v>30</v>
      </c>
      <c r="D50" s="96">
        <v>12.5</v>
      </c>
      <c r="E50" s="95" t="s">
        <v>125</v>
      </c>
      <c r="F50" s="38">
        <v>12.5</v>
      </c>
      <c r="G50" s="38"/>
      <c r="H50" s="30">
        <f>F50+G50</f>
        <v>12.5</v>
      </c>
      <c r="I50" s="114">
        <v>2.69</v>
      </c>
      <c r="J50" s="28"/>
      <c r="K50" s="27">
        <f>(I50-J50)/I50</f>
        <v>1</v>
      </c>
      <c r="L50" s="26"/>
      <c r="M50" s="25"/>
      <c r="N50" s="237">
        <f>(F50*I50)+(G50*K50*I50)</f>
        <v>33.625</v>
      </c>
      <c r="O50" s="24">
        <v>17</v>
      </c>
      <c r="P50" s="9">
        <f>N50*1000*O50</f>
        <v>571625</v>
      </c>
      <c r="Q50" s="9">
        <f>O50*1000*17</f>
        <v>289000</v>
      </c>
      <c r="R50" s="23"/>
      <c r="S50" s="20"/>
      <c r="U50" s="65"/>
    </row>
    <row r="51" spans="1:21" s="97" customFormat="1" ht="19.350000000000001" hidden="1" customHeight="1" x14ac:dyDescent="0.25">
      <c r="A51" s="113" t="s">
        <v>127</v>
      </c>
      <c r="B51" s="112"/>
      <c r="C51" s="111">
        <f>SUM(C52:C53)</f>
        <v>141</v>
      </c>
      <c r="D51" s="111"/>
      <c r="E51" s="110"/>
      <c r="F51" s="109"/>
      <c r="G51" s="111">
        <f>SUM(G52:G53)</f>
        <v>96</v>
      </c>
      <c r="H51" s="111">
        <f>SUM(H52:H53)</f>
        <v>96</v>
      </c>
      <c r="I51" s="107"/>
      <c r="J51" s="106"/>
      <c r="K51" s="105"/>
      <c r="L51" s="104"/>
      <c r="M51" s="103"/>
      <c r="N51" s="239">
        <f>SUM(N52:N53)</f>
        <v>116.16</v>
      </c>
      <c r="O51" s="102">
        <f>SUM(O52:O53)</f>
        <v>34</v>
      </c>
      <c r="P51" s="101">
        <f>SUM(P52:P53)</f>
        <v>1974720</v>
      </c>
      <c r="Q51" s="101"/>
      <c r="R51" s="100"/>
      <c r="S51" s="99"/>
      <c r="U51" s="98"/>
    </row>
    <row r="52" spans="1:21" s="64" customFormat="1" ht="19.5" hidden="1" customHeight="1" x14ac:dyDescent="0.25">
      <c r="A52" s="813" t="s">
        <v>127</v>
      </c>
      <c r="B52" s="32" t="s">
        <v>5</v>
      </c>
      <c r="C52" s="10">
        <v>67</v>
      </c>
      <c r="D52" s="96">
        <v>41</v>
      </c>
      <c r="E52" s="95" t="s">
        <v>122</v>
      </c>
      <c r="F52" s="38">
        <v>0</v>
      </c>
      <c r="G52" s="38">
        <v>41</v>
      </c>
      <c r="H52" s="30">
        <f>F52+G52</f>
        <v>41</v>
      </c>
      <c r="I52" s="114">
        <v>2.69</v>
      </c>
      <c r="J52" s="28">
        <v>1.48</v>
      </c>
      <c r="K52" s="27">
        <f>(I52-J52)/I52</f>
        <v>0.44981412639405205</v>
      </c>
      <c r="L52" s="26"/>
      <c r="M52" s="25"/>
      <c r="N52" s="237">
        <f>(F52*I52)+(G52*K52*I52)</f>
        <v>49.61</v>
      </c>
      <c r="O52" s="24">
        <v>17</v>
      </c>
      <c r="P52" s="9">
        <f>N52*1000*O52</f>
        <v>843370</v>
      </c>
      <c r="Q52" s="9">
        <f>O52*1000*17</f>
        <v>289000</v>
      </c>
      <c r="R52" s="23"/>
      <c r="S52" s="20"/>
      <c r="U52" s="65"/>
    </row>
    <row r="53" spans="1:21" s="64" customFormat="1" ht="19.5" hidden="1" customHeight="1" x14ac:dyDescent="0.25">
      <c r="A53" s="813"/>
      <c r="B53" s="32" t="s">
        <v>5</v>
      </c>
      <c r="C53" s="10">
        <v>74</v>
      </c>
      <c r="D53" s="96">
        <v>253</v>
      </c>
      <c r="E53" s="95" t="s">
        <v>125</v>
      </c>
      <c r="F53" s="38">
        <v>0</v>
      </c>
      <c r="G53" s="38">
        <v>55</v>
      </c>
      <c r="H53" s="30">
        <f>F53+G53</f>
        <v>55</v>
      </c>
      <c r="I53" s="114">
        <v>2.69</v>
      </c>
      <c r="J53" s="28">
        <v>1.48</v>
      </c>
      <c r="K53" s="27">
        <f>(I53-J53)/I53</f>
        <v>0.44981412639405205</v>
      </c>
      <c r="L53" s="26"/>
      <c r="M53" s="25"/>
      <c r="N53" s="237">
        <f>(F53*I53)+(G53*K53*I53)</f>
        <v>66.55</v>
      </c>
      <c r="O53" s="24">
        <v>17</v>
      </c>
      <c r="P53" s="9">
        <f>N53*1000*O53</f>
        <v>1131350</v>
      </c>
      <c r="Q53" s="9">
        <f>O53*1000*17</f>
        <v>289000</v>
      </c>
      <c r="R53" s="23"/>
      <c r="S53" s="20"/>
      <c r="U53" s="65"/>
    </row>
    <row r="54" spans="1:21" s="64" customFormat="1" ht="19.5" hidden="1" customHeight="1" x14ac:dyDescent="0.25">
      <c r="A54" s="31" t="s">
        <v>66</v>
      </c>
      <c r="B54" s="32" t="s">
        <v>5</v>
      </c>
      <c r="C54" s="10">
        <v>2</v>
      </c>
      <c r="D54" s="10">
        <v>33</v>
      </c>
      <c r="E54" s="95" t="s">
        <v>125</v>
      </c>
      <c r="F54" s="38">
        <v>0</v>
      </c>
      <c r="G54" s="38">
        <v>2</v>
      </c>
      <c r="H54" s="30">
        <f>F54+G54</f>
        <v>2</v>
      </c>
      <c r="I54" s="94">
        <v>2.69</v>
      </c>
      <c r="J54" s="36">
        <f>I54-0.67</f>
        <v>2.02</v>
      </c>
      <c r="K54" s="27">
        <f>(I54-J54)/I54</f>
        <v>0.24907063197026019</v>
      </c>
      <c r="L54" s="26"/>
      <c r="M54" s="25"/>
      <c r="N54" s="237">
        <f>(F54*I54)+(G54*K54*I54)</f>
        <v>1.3399999999999999</v>
      </c>
      <c r="O54" s="24">
        <v>17</v>
      </c>
      <c r="P54" s="9">
        <f>N54*1000*O54</f>
        <v>22779.999999999996</v>
      </c>
      <c r="Q54" s="9">
        <f>O54*1000*17</f>
        <v>289000</v>
      </c>
      <c r="R54" s="23"/>
      <c r="S54" s="20"/>
      <c r="U54" s="65"/>
    </row>
    <row r="55" spans="1:21" s="64" customFormat="1" ht="19.5" hidden="1" customHeight="1" x14ac:dyDescent="0.25">
      <c r="A55" s="12" t="s">
        <v>126</v>
      </c>
      <c r="B55" s="32" t="s">
        <v>5</v>
      </c>
      <c r="C55" s="10">
        <v>40</v>
      </c>
      <c r="D55" s="10">
        <v>415</v>
      </c>
      <c r="E55" s="95" t="s">
        <v>125</v>
      </c>
      <c r="F55" s="38">
        <v>0</v>
      </c>
      <c r="G55" s="38">
        <v>25</v>
      </c>
      <c r="H55" s="30">
        <f>F55+G55</f>
        <v>25</v>
      </c>
      <c r="I55" s="114">
        <v>2.69</v>
      </c>
      <c r="J55" s="28">
        <v>1.72</v>
      </c>
      <c r="K55" s="27">
        <f>(I55-J55)/I55</f>
        <v>0.36059479553903345</v>
      </c>
      <c r="L55" s="26"/>
      <c r="M55" s="25"/>
      <c r="N55" s="237">
        <f>(F55*I55)+(G55*K55*I55)</f>
        <v>24.25</v>
      </c>
      <c r="O55" s="24">
        <v>17</v>
      </c>
      <c r="P55" s="9">
        <f>N55*1000*O55</f>
        <v>412250</v>
      </c>
      <c r="Q55" s="9">
        <f>O55*1000*17</f>
        <v>289000</v>
      </c>
      <c r="R55" s="23"/>
      <c r="S55" s="20"/>
      <c r="U55" s="65"/>
    </row>
    <row r="56" spans="1:21" s="97" customFormat="1" ht="19.5" hidden="1" customHeight="1" x14ac:dyDescent="0.25">
      <c r="A56" s="113" t="s">
        <v>124</v>
      </c>
      <c r="B56" s="112"/>
      <c r="C56" s="111">
        <v>141</v>
      </c>
      <c r="D56" s="111"/>
      <c r="E56" s="110"/>
      <c r="F56" s="109"/>
      <c r="G56" s="109">
        <f>SUM(G57:G58)</f>
        <v>50</v>
      </c>
      <c r="H56" s="108">
        <f>SUM(H57:H58)</f>
        <v>50</v>
      </c>
      <c r="I56" s="107"/>
      <c r="J56" s="106"/>
      <c r="K56" s="105"/>
      <c r="L56" s="104"/>
      <c r="M56" s="103"/>
      <c r="N56" s="239"/>
      <c r="O56" s="102"/>
      <c r="P56" s="101"/>
      <c r="Q56" s="101"/>
      <c r="R56" s="100"/>
      <c r="S56" s="99"/>
      <c r="U56" s="98"/>
    </row>
    <row r="57" spans="1:21" s="64" customFormat="1" ht="19.5" hidden="1" customHeight="1" x14ac:dyDescent="0.25">
      <c r="A57" s="813" t="s">
        <v>124</v>
      </c>
      <c r="B57" s="32" t="s">
        <v>5</v>
      </c>
      <c r="C57" s="10">
        <v>30</v>
      </c>
      <c r="D57" s="10">
        <v>60</v>
      </c>
      <c r="E57" s="95" t="s">
        <v>123</v>
      </c>
      <c r="F57" s="38">
        <v>0</v>
      </c>
      <c r="G57" s="38">
        <v>21</v>
      </c>
      <c r="H57" s="37">
        <f>F57+G57</f>
        <v>21</v>
      </c>
      <c r="I57" s="94">
        <v>2.69</v>
      </c>
      <c r="J57" s="36">
        <f>I57-0.67</f>
        <v>2.02</v>
      </c>
      <c r="K57" s="27">
        <f>(I57-J57)/I57</f>
        <v>0.24907063197026019</v>
      </c>
      <c r="L57" s="26">
        <v>7470</v>
      </c>
      <c r="M57" s="25">
        <f>(F57*L57)+(G57*L57*K57)</f>
        <v>39071.710037174715</v>
      </c>
      <c r="N57" s="237"/>
      <c r="O57" s="24"/>
      <c r="P57" s="9"/>
      <c r="Q57" s="9">
        <f>O57*1000*17</f>
        <v>0</v>
      </c>
      <c r="R57" s="23"/>
      <c r="S57" s="20"/>
      <c r="U57" s="65"/>
    </row>
    <row r="58" spans="1:21" s="64" customFormat="1" ht="19.5" hidden="1" customHeight="1" x14ac:dyDescent="0.25">
      <c r="A58" s="813"/>
      <c r="B58" s="32" t="s">
        <v>5</v>
      </c>
      <c r="C58" s="10">
        <v>42</v>
      </c>
      <c r="D58" s="96">
        <v>29</v>
      </c>
      <c r="E58" s="95" t="s">
        <v>122</v>
      </c>
      <c r="F58" s="38">
        <v>0</v>
      </c>
      <c r="G58" s="38">
        <v>29</v>
      </c>
      <c r="H58" s="30">
        <f>F58+G58</f>
        <v>29</v>
      </c>
      <c r="I58" s="94">
        <v>2.69</v>
      </c>
      <c r="J58" s="36">
        <v>1.34</v>
      </c>
      <c r="K58" s="27">
        <f>(I58-J58)/I58</f>
        <v>0.5018587360594795</v>
      </c>
      <c r="L58" s="26"/>
      <c r="M58" s="25"/>
      <c r="N58" s="237">
        <f>(F58*I58)+(G58*K58*I58)</f>
        <v>39.149999999999991</v>
      </c>
      <c r="O58" s="24">
        <v>17</v>
      </c>
      <c r="P58" s="9">
        <f>N58*1000*O58</f>
        <v>665549.99999999988</v>
      </c>
      <c r="Q58" s="9">
        <f>O58*1000*17</f>
        <v>289000</v>
      </c>
      <c r="R58" s="23"/>
      <c r="S58" s="20"/>
      <c r="U58" s="65"/>
    </row>
    <row r="59" spans="1:21" s="61" customFormat="1" ht="19.5" hidden="1" customHeight="1" x14ac:dyDescent="0.25">
      <c r="A59" s="87"/>
      <c r="B59" s="86"/>
      <c r="C59" s="85"/>
      <c r="D59" s="85"/>
      <c r="E59" s="84"/>
      <c r="F59" s="83"/>
      <c r="G59" s="83"/>
      <c r="H59" s="82"/>
      <c r="I59" s="81"/>
      <c r="J59" s="80"/>
      <c r="K59" s="79"/>
      <c r="L59" s="78"/>
      <c r="M59" s="77"/>
      <c r="N59" s="240"/>
      <c r="O59" s="76"/>
      <c r="P59" s="75"/>
      <c r="Q59" s="75"/>
      <c r="R59" s="74"/>
      <c r="S59" s="63"/>
      <c r="U59" s="62"/>
    </row>
    <row r="60" spans="1:21" s="64" customFormat="1" ht="20.45" customHeight="1" x14ac:dyDescent="0.25">
      <c r="A60" s="241" t="s">
        <v>121</v>
      </c>
      <c r="B60" s="242"/>
      <c r="C60" s="243">
        <f>SUM(C61:C67)</f>
        <v>778</v>
      </c>
      <c r="D60" s="243">
        <f>SUM(D61:D67)</f>
        <v>1115.5</v>
      </c>
      <c r="E60" s="241"/>
      <c r="F60" s="244">
        <f>SUM(F61:F67)</f>
        <v>677.92000000000007</v>
      </c>
      <c r="G60" s="244">
        <f>SUM(G61:G67)</f>
        <v>114</v>
      </c>
      <c r="H60" s="244">
        <f>SUM(H61:H67)</f>
        <v>791.92000000000007</v>
      </c>
      <c r="I60" s="245"/>
      <c r="J60" s="244"/>
      <c r="K60" s="244"/>
      <c r="L60" s="246"/>
      <c r="M60" s="244">
        <f>SUM(M61:M67)</f>
        <v>6978708.3169811312</v>
      </c>
      <c r="N60" s="247">
        <f>N61</f>
        <v>0</v>
      </c>
      <c r="O60" s="244"/>
      <c r="P60" s="248">
        <f>SUM(P61:P68)</f>
        <v>0</v>
      </c>
      <c r="Q60" s="67"/>
      <c r="R60" s="66"/>
      <c r="S60" s="20"/>
      <c r="U60" s="65"/>
    </row>
    <row r="61" spans="1:21" s="61" customFormat="1" ht="19.5" customHeight="1" x14ac:dyDescent="0.25">
      <c r="A61" s="12" t="s">
        <v>105</v>
      </c>
      <c r="B61" s="32"/>
      <c r="C61" s="10">
        <v>6</v>
      </c>
      <c r="D61" s="10">
        <v>10</v>
      </c>
      <c r="E61" s="88" t="s">
        <v>119</v>
      </c>
      <c r="F61" s="38">
        <v>10</v>
      </c>
      <c r="G61" s="38"/>
      <c r="H61" s="37">
        <f t="shared" ref="H61:H67" si="4">F61+G61</f>
        <v>10</v>
      </c>
      <c r="I61" s="29">
        <v>2.65</v>
      </c>
      <c r="J61" s="36"/>
      <c r="K61" s="27">
        <f t="shared" ref="K61:K67" si="5">(I61-J61)/I61</f>
        <v>1</v>
      </c>
      <c r="L61" s="26">
        <v>7470</v>
      </c>
      <c r="M61" s="25">
        <f t="shared" ref="M61:M67" si="6">(F61*L61)+(G61*L61*K61)</f>
        <v>74700</v>
      </c>
      <c r="N61" s="237"/>
      <c r="O61" s="24"/>
      <c r="P61" s="9"/>
      <c r="Q61" s="9">
        <f t="shared" ref="Q61:Q67" si="7">O61*1000*17</f>
        <v>0</v>
      </c>
      <c r="R61" s="23"/>
      <c r="S61" s="63"/>
      <c r="U61" s="62"/>
    </row>
    <row r="62" spans="1:21" s="61" customFormat="1" ht="19.5" customHeight="1" x14ac:dyDescent="0.25">
      <c r="A62" s="12" t="s">
        <v>103</v>
      </c>
      <c r="B62" s="32"/>
      <c r="C62" s="10">
        <v>101</v>
      </c>
      <c r="D62" s="10">
        <v>114</v>
      </c>
      <c r="E62" s="88" t="s">
        <v>120</v>
      </c>
      <c r="F62" s="38"/>
      <c r="G62" s="38">
        <v>114</v>
      </c>
      <c r="H62" s="37">
        <f t="shared" si="4"/>
        <v>114</v>
      </c>
      <c r="I62" s="29">
        <v>2.65</v>
      </c>
      <c r="J62" s="36">
        <f>I62-1.33</f>
        <v>1.3199999999999998</v>
      </c>
      <c r="K62" s="93">
        <f t="shared" si="5"/>
        <v>0.50188679245283019</v>
      </c>
      <c r="L62" s="92">
        <v>33464</v>
      </c>
      <c r="M62" s="91">
        <f t="shared" si="6"/>
        <v>1914645.916981132</v>
      </c>
      <c r="N62" s="249"/>
      <c r="O62" s="90"/>
      <c r="P62" s="89"/>
      <c r="Q62" s="9">
        <f t="shared" si="7"/>
        <v>0</v>
      </c>
      <c r="R62" s="23"/>
      <c r="S62" s="63"/>
      <c r="U62" s="62"/>
    </row>
    <row r="63" spans="1:21" s="61" customFormat="1" ht="19.5" customHeight="1" x14ac:dyDescent="0.25">
      <c r="A63" s="12" t="s">
        <v>76</v>
      </c>
      <c r="B63" s="32"/>
      <c r="C63" s="10">
        <v>10</v>
      </c>
      <c r="D63" s="10">
        <v>14.5</v>
      </c>
      <c r="E63" s="88" t="s">
        <v>119</v>
      </c>
      <c r="F63" s="38">
        <v>14.5</v>
      </c>
      <c r="G63" s="38"/>
      <c r="H63" s="37">
        <f t="shared" si="4"/>
        <v>14.5</v>
      </c>
      <c r="I63" s="29">
        <v>2.65</v>
      </c>
      <c r="J63" s="36"/>
      <c r="K63" s="27">
        <f t="shared" si="5"/>
        <v>1</v>
      </c>
      <c r="L63" s="26">
        <v>7470</v>
      </c>
      <c r="M63" s="25">
        <f t="shared" si="6"/>
        <v>108315</v>
      </c>
      <c r="N63" s="237"/>
      <c r="O63" s="24"/>
      <c r="P63" s="9"/>
      <c r="Q63" s="9">
        <f t="shared" si="7"/>
        <v>0</v>
      </c>
      <c r="R63" s="23"/>
      <c r="S63" s="63"/>
      <c r="U63" s="62"/>
    </row>
    <row r="64" spans="1:21" s="61" customFormat="1" ht="19.5" customHeight="1" x14ac:dyDescent="0.25">
      <c r="A64" s="12" t="s">
        <v>104</v>
      </c>
      <c r="B64" s="32"/>
      <c r="C64" s="10">
        <v>278</v>
      </c>
      <c r="D64" s="10">
        <v>278</v>
      </c>
      <c r="E64" s="88" t="s">
        <v>118</v>
      </c>
      <c r="F64" s="38">
        <v>278</v>
      </c>
      <c r="G64" s="38"/>
      <c r="H64" s="37">
        <f t="shared" si="4"/>
        <v>278</v>
      </c>
      <c r="I64" s="29">
        <v>2.65</v>
      </c>
      <c r="J64" s="36"/>
      <c r="K64" s="27">
        <f t="shared" si="5"/>
        <v>1</v>
      </c>
      <c r="L64" s="26">
        <v>7470</v>
      </c>
      <c r="M64" s="25">
        <f t="shared" si="6"/>
        <v>2076660</v>
      </c>
      <c r="N64" s="237"/>
      <c r="O64" s="24"/>
      <c r="P64" s="9"/>
      <c r="Q64" s="9">
        <f t="shared" si="7"/>
        <v>0</v>
      </c>
      <c r="R64" s="23"/>
      <c r="S64" s="63"/>
      <c r="U64" s="62"/>
    </row>
    <row r="65" spans="1:21" s="61" customFormat="1" ht="19.5" customHeight="1" x14ac:dyDescent="0.25">
      <c r="A65" s="12" t="s">
        <v>80</v>
      </c>
      <c r="B65" s="32"/>
      <c r="C65" s="10">
        <v>23</v>
      </c>
      <c r="D65" s="10">
        <v>1</v>
      </c>
      <c r="E65" s="88" t="s">
        <v>117</v>
      </c>
      <c r="F65" s="38">
        <v>0.92</v>
      </c>
      <c r="G65" s="38"/>
      <c r="H65" s="37">
        <f t="shared" si="4"/>
        <v>0.92</v>
      </c>
      <c r="I65" s="29">
        <v>2.65</v>
      </c>
      <c r="J65" s="36"/>
      <c r="K65" s="27">
        <f t="shared" si="5"/>
        <v>1</v>
      </c>
      <c r="L65" s="26">
        <v>7470</v>
      </c>
      <c r="M65" s="25">
        <f t="shared" si="6"/>
        <v>6872.4000000000005</v>
      </c>
      <c r="N65" s="237"/>
      <c r="O65" s="24"/>
      <c r="P65" s="9"/>
      <c r="Q65" s="9">
        <f t="shared" si="7"/>
        <v>0</v>
      </c>
      <c r="R65" s="23"/>
      <c r="S65" s="63"/>
      <c r="U65" s="62"/>
    </row>
    <row r="66" spans="1:21" s="61" customFormat="1" ht="19.5" customHeight="1" x14ac:dyDescent="0.25">
      <c r="A66" s="12" t="s">
        <v>116</v>
      </c>
      <c r="B66" s="32" t="s">
        <v>5</v>
      </c>
      <c r="C66" s="10">
        <v>150</v>
      </c>
      <c r="D66" s="10">
        <v>300</v>
      </c>
      <c r="E66" s="88" t="s">
        <v>108</v>
      </c>
      <c r="F66" s="38">
        <v>127</v>
      </c>
      <c r="G66" s="38"/>
      <c r="H66" s="37">
        <f t="shared" si="4"/>
        <v>127</v>
      </c>
      <c r="I66" s="29">
        <v>2.65</v>
      </c>
      <c r="J66" s="36"/>
      <c r="K66" s="27">
        <f t="shared" si="5"/>
        <v>1</v>
      </c>
      <c r="L66" s="26">
        <v>7470</v>
      </c>
      <c r="M66" s="25">
        <f t="shared" si="6"/>
        <v>948690</v>
      </c>
      <c r="N66" s="237"/>
      <c r="O66" s="24"/>
      <c r="P66" s="9"/>
      <c r="Q66" s="9">
        <f t="shared" si="7"/>
        <v>0</v>
      </c>
      <c r="R66" s="23"/>
      <c r="S66" s="63"/>
      <c r="U66" s="62"/>
    </row>
    <row r="67" spans="1:21" s="61" customFormat="1" ht="19.5" customHeight="1" x14ac:dyDescent="0.25">
      <c r="A67" s="12" t="s">
        <v>82</v>
      </c>
      <c r="B67" s="32" t="s">
        <v>5</v>
      </c>
      <c r="C67" s="10">
        <v>210</v>
      </c>
      <c r="D67" s="10">
        <v>398</v>
      </c>
      <c r="E67" s="88" t="s">
        <v>108</v>
      </c>
      <c r="F67" s="38">
        <v>247.5</v>
      </c>
      <c r="G67" s="38"/>
      <c r="H67" s="37">
        <f t="shared" si="4"/>
        <v>247.5</v>
      </c>
      <c r="I67" s="29">
        <v>2.65</v>
      </c>
      <c r="J67" s="36"/>
      <c r="K67" s="27">
        <f t="shared" si="5"/>
        <v>1</v>
      </c>
      <c r="L67" s="26">
        <v>7470</v>
      </c>
      <c r="M67" s="25">
        <f t="shared" si="6"/>
        <v>1848825</v>
      </c>
      <c r="N67" s="237"/>
      <c r="O67" s="24"/>
      <c r="P67" s="9"/>
      <c r="Q67" s="9">
        <f t="shared" si="7"/>
        <v>0</v>
      </c>
      <c r="R67" s="23"/>
      <c r="S67" s="63"/>
      <c r="U67" s="62"/>
    </row>
    <row r="68" spans="1:21" s="61" customFormat="1" ht="19.350000000000001" customHeight="1" x14ac:dyDescent="0.25">
      <c r="A68" s="87"/>
      <c r="B68" s="86"/>
      <c r="C68" s="85"/>
      <c r="D68" s="85"/>
      <c r="E68" s="84"/>
      <c r="F68" s="83"/>
      <c r="G68" s="83"/>
      <c r="H68" s="82"/>
      <c r="I68" s="81"/>
      <c r="J68" s="80"/>
      <c r="K68" s="79"/>
      <c r="L68" s="78"/>
      <c r="M68" s="77"/>
      <c r="N68" s="240"/>
      <c r="O68" s="76"/>
      <c r="P68" s="75"/>
      <c r="Q68" s="75"/>
      <c r="R68" s="74"/>
      <c r="S68" s="63"/>
      <c r="U68" s="62"/>
    </row>
    <row r="69" spans="1:21" s="64" customFormat="1" ht="20.45" customHeight="1" x14ac:dyDescent="0.25">
      <c r="A69" s="241" t="s">
        <v>115</v>
      </c>
      <c r="B69" s="242"/>
      <c r="C69" s="243">
        <f>SUM(C70:C71)</f>
        <v>509</v>
      </c>
      <c r="D69" s="243">
        <f>SUM(D70:D71)</f>
        <v>509</v>
      </c>
      <c r="E69" s="241"/>
      <c r="F69" s="244">
        <f>SUM(F70:F71)</f>
        <v>509</v>
      </c>
      <c r="G69" s="244">
        <f>SUM(G70:G71)</f>
        <v>0</v>
      </c>
      <c r="H69" s="244">
        <f>SUM(H70:H71)</f>
        <v>509</v>
      </c>
      <c r="I69" s="245"/>
      <c r="J69" s="244"/>
      <c r="K69" s="244"/>
      <c r="L69" s="246"/>
      <c r="M69" s="244">
        <f>SUM(M70:M71)</f>
        <v>3802230</v>
      </c>
      <c r="N69" s="244">
        <f>SUM(N70:N71)</f>
        <v>0</v>
      </c>
      <c r="O69" s="244"/>
      <c r="P69" s="244">
        <f>SUM(P70:P71)</f>
        <v>0</v>
      </c>
      <c r="Q69" s="67"/>
      <c r="R69" s="66"/>
      <c r="S69" s="20"/>
      <c r="U69" s="65"/>
    </row>
    <row r="70" spans="1:21" s="61" customFormat="1" ht="19.350000000000001" hidden="1" customHeight="1" x14ac:dyDescent="0.25">
      <c r="A70" s="812" t="s">
        <v>112</v>
      </c>
      <c r="B70" s="32" t="s">
        <v>5</v>
      </c>
      <c r="C70" s="11">
        <v>447</v>
      </c>
      <c r="D70" s="42">
        <v>447</v>
      </c>
      <c r="E70" s="39" t="s">
        <v>108</v>
      </c>
      <c r="F70" s="38">
        <v>447</v>
      </c>
      <c r="G70" s="38"/>
      <c r="H70" s="37">
        <f>F70+G70</f>
        <v>447</v>
      </c>
      <c r="I70" s="29">
        <v>2.73</v>
      </c>
      <c r="J70" s="36"/>
      <c r="K70" s="27">
        <f>(I70-J70)/I70</f>
        <v>1</v>
      </c>
      <c r="L70" s="26">
        <v>7470</v>
      </c>
      <c r="M70" s="25">
        <f>(F70*L70)+(G70*L70*K70)</f>
        <v>3339090</v>
      </c>
      <c r="N70" s="237"/>
      <c r="O70" s="24"/>
      <c r="P70" s="9"/>
      <c r="Q70" s="9">
        <f>O70*1000*17</f>
        <v>0</v>
      </c>
      <c r="R70" s="23"/>
      <c r="S70" s="63"/>
      <c r="U70" s="62"/>
    </row>
    <row r="71" spans="1:21" s="61" customFormat="1" ht="19.350000000000001" hidden="1" customHeight="1" x14ac:dyDescent="0.25">
      <c r="A71" s="812"/>
      <c r="B71" s="32" t="s">
        <v>5</v>
      </c>
      <c r="C71" s="11">
        <v>62</v>
      </c>
      <c r="D71" s="42">
        <v>62</v>
      </c>
      <c r="E71" s="39" t="s">
        <v>108</v>
      </c>
      <c r="F71" s="38">
        <v>62</v>
      </c>
      <c r="G71" s="38"/>
      <c r="H71" s="37">
        <f>F71+G71</f>
        <v>62</v>
      </c>
      <c r="I71" s="29">
        <v>2.73</v>
      </c>
      <c r="J71" s="36"/>
      <c r="K71" s="27">
        <f>(I71-J71)/I71</f>
        <v>1</v>
      </c>
      <c r="L71" s="26">
        <v>7470</v>
      </c>
      <c r="M71" s="25">
        <f>(F71*L71)+(G71*L71*K71)</f>
        <v>463140</v>
      </c>
      <c r="N71" s="237"/>
      <c r="O71" s="24"/>
      <c r="P71" s="9"/>
      <c r="Q71" s="9">
        <f>O71*1000*17</f>
        <v>0</v>
      </c>
      <c r="R71" s="23"/>
      <c r="S71" s="63"/>
      <c r="U71" s="62"/>
    </row>
    <row r="72" spans="1:21" s="44" customFormat="1" ht="19.5" hidden="1" customHeight="1" x14ac:dyDescent="0.25">
      <c r="A72" s="60"/>
      <c r="B72" s="60"/>
      <c r="C72" s="59"/>
      <c r="D72" s="58"/>
      <c r="E72" s="57"/>
      <c r="F72" s="56"/>
      <c r="G72" s="56"/>
      <c r="H72" s="55"/>
      <c r="I72" s="54"/>
      <c r="J72" s="53"/>
      <c r="K72" s="52"/>
      <c r="L72" s="51"/>
      <c r="M72" s="50"/>
      <c r="N72" s="250"/>
      <c r="O72" s="49"/>
      <c r="P72" s="48"/>
      <c r="Q72" s="48"/>
      <c r="R72" s="47"/>
      <c r="S72" s="46"/>
      <c r="U72" s="45"/>
    </row>
    <row r="73" spans="1:21" s="34" customFormat="1" ht="18.75" customHeight="1" x14ac:dyDescent="0.25">
      <c r="A73" s="33" t="s">
        <v>84</v>
      </c>
      <c r="B73" s="32" t="s">
        <v>5</v>
      </c>
      <c r="C73" s="11">
        <v>11</v>
      </c>
      <c r="D73" s="42">
        <v>9</v>
      </c>
      <c r="E73" s="39" t="s">
        <v>108</v>
      </c>
      <c r="F73" s="38">
        <v>9</v>
      </c>
      <c r="G73" s="38"/>
      <c r="H73" s="37">
        <v>9</v>
      </c>
      <c r="I73" s="29">
        <v>2.73</v>
      </c>
      <c r="J73" s="36"/>
      <c r="K73" s="27">
        <v>1</v>
      </c>
      <c r="L73" s="26">
        <v>7470</v>
      </c>
      <c r="M73" s="25">
        <v>67230</v>
      </c>
      <c r="N73" s="237"/>
      <c r="O73" s="24"/>
      <c r="P73" s="9">
        <v>0</v>
      </c>
      <c r="Q73" s="9">
        <v>0</v>
      </c>
      <c r="R73" s="23"/>
      <c r="S73" s="14"/>
      <c r="T73" s="15"/>
      <c r="U73" s="14"/>
    </row>
    <row r="74" spans="1:21" s="34" customFormat="1" ht="18.75" customHeight="1" x14ac:dyDescent="0.25">
      <c r="A74" s="33" t="s">
        <v>188</v>
      </c>
      <c r="B74" s="32"/>
      <c r="C74" s="11">
        <v>605</v>
      </c>
      <c r="D74" s="10">
        <v>460</v>
      </c>
      <c r="E74" s="31">
        <v>0</v>
      </c>
      <c r="F74" s="13">
        <v>430</v>
      </c>
      <c r="G74" s="13">
        <v>0</v>
      </c>
      <c r="H74" s="30">
        <v>430</v>
      </c>
      <c r="I74" s="29">
        <v>5.46</v>
      </c>
      <c r="J74" s="28">
        <v>0</v>
      </c>
      <c r="K74" s="27">
        <v>2</v>
      </c>
      <c r="L74" s="26">
        <v>7470</v>
      </c>
      <c r="M74" s="25">
        <f>3174750+P74</f>
        <v>3406800</v>
      </c>
      <c r="N74" s="237">
        <v>13.65</v>
      </c>
      <c r="O74" s="24">
        <v>17</v>
      </c>
      <c r="P74" s="9">
        <v>232050</v>
      </c>
      <c r="Q74" s="9"/>
      <c r="R74" s="23"/>
      <c r="S74" s="14"/>
      <c r="T74" s="15"/>
      <c r="U74" s="14"/>
    </row>
    <row r="75" spans="1:21" s="34" customFormat="1" ht="18.75" customHeight="1" x14ac:dyDescent="0.25">
      <c r="A75" s="12" t="s">
        <v>86</v>
      </c>
      <c r="B75" s="32" t="s">
        <v>5</v>
      </c>
      <c r="C75" s="10">
        <v>80</v>
      </c>
      <c r="D75" s="10">
        <v>95</v>
      </c>
      <c r="E75" s="39" t="s">
        <v>108</v>
      </c>
      <c r="F75" s="38">
        <v>95.5</v>
      </c>
      <c r="G75" s="38"/>
      <c r="H75" s="37">
        <v>95.5</v>
      </c>
      <c r="I75" s="29">
        <v>2.73</v>
      </c>
      <c r="J75" s="36"/>
      <c r="K75" s="27">
        <v>1</v>
      </c>
      <c r="L75" s="26">
        <v>7470</v>
      </c>
      <c r="M75" s="25">
        <v>713385</v>
      </c>
      <c r="N75" s="237"/>
      <c r="O75" s="24"/>
      <c r="P75" s="9">
        <v>0</v>
      </c>
      <c r="Q75" s="9">
        <v>0</v>
      </c>
      <c r="R75" s="23"/>
      <c r="T75" s="35"/>
    </row>
    <row r="76" spans="1:21" s="34" customFormat="1" ht="18.75" customHeight="1" x14ac:dyDescent="0.25">
      <c r="A76" s="33" t="s">
        <v>87</v>
      </c>
      <c r="B76" s="32" t="s">
        <v>5</v>
      </c>
      <c r="C76" s="11">
        <v>599</v>
      </c>
      <c r="D76" s="10">
        <v>699</v>
      </c>
      <c r="E76" s="39" t="s">
        <v>108</v>
      </c>
      <c r="F76" s="38">
        <v>585</v>
      </c>
      <c r="G76" s="38"/>
      <c r="H76" s="37">
        <v>585</v>
      </c>
      <c r="I76" s="29">
        <v>2.73</v>
      </c>
      <c r="J76" s="36"/>
      <c r="K76" s="27">
        <v>1</v>
      </c>
      <c r="L76" s="26">
        <v>7470</v>
      </c>
      <c r="M76" s="25">
        <v>4369950</v>
      </c>
      <c r="N76" s="237"/>
      <c r="O76" s="24"/>
      <c r="P76" s="9"/>
      <c r="Q76" s="9">
        <v>0</v>
      </c>
      <c r="R76" s="23"/>
      <c r="S76" s="14"/>
      <c r="T76" s="15"/>
      <c r="U76" s="14"/>
    </row>
    <row r="77" spans="1:21" s="34" customFormat="1" ht="18.75" customHeight="1" x14ac:dyDescent="0.25">
      <c r="A77" s="33" t="s">
        <v>88</v>
      </c>
      <c r="B77" s="32" t="s">
        <v>5</v>
      </c>
      <c r="C77" s="11">
        <v>18</v>
      </c>
      <c r="D77" s="42">
        <v>171</v>
      </c>
      <c r="E77" s="39" t="s">
        <v>108</v>
      </c>
      <c r="F77" s="38">
        <v>171.25</v>
      </c>
      <c r="G77" s="38"/>
      <c r="H77" s="37">
        <v>171.25</v>
      </c>
      <c r="I77" s="29">
        <v>2.73</v>
      </c>
      <c r="J77" s="36"/>
      <c r="K77" s="27">
        <v>1</v>
      </c>
      <c r="L77" s="26">
        <v>7470</v>
      </c>
      <c r="M77" s="25">
        <v>1279237.5</v>
      </c>
      <c r="N77" s="237"/>
      <c r="O77" s="24"/>
      <c r="P77" s="9">
        <v>0</v>
      </c>
      <c r="Q77" s="9">
        <v>0</v>
      </c>
      <c r="R77" s="23"/>
      <c r="S77" s="14"/>
      <c r="T77" s="15"/>
      <c r="U77" s="14"/>
    </row>
    <row r="78" spans="1:21" s="34" customFormat="1" ht="18.75" customHeight="1" x14ac:dyDescent="0.25">
      <c r="A78" s="12" t="s">
        <v>114</v>
      </c>
      <c r="B78" s="32" t="s">
        <v>5</v>
      </c>
      <c r="C78" s="10">
        <v>107</v>
      </c>
      <c r="D78" s="10">
        <v>94</v>
      </c>
      <c r="E78" s="39" t="s">
        <v>108</v>
      </c>
      <c r="F78" s="38">
        <v>94</v>
      </c>
      <c r="G78" s="38"/>
      <c r="H78" s="37">
        <v>94</v>
      </c>
      <c r="I78" s="29">
        <v>2.73</v>
      </c>
      <c r="J78" s="36"/>
      <c r="K78" s="27">
        <v>1</v>
      </c>
      <c r="L78" s="26">
        <v>7470</v>
      </c>
      <c r="M78" s="25">
        <v>702180</v>
      </c>
      <c r="N78" s="237"/>
      <c r="O78" s="24"/>
      <c r="P78" s="9">
        <v>0</v>
      </c>
      <c r="Q78" s="9">
        <v>0</v>
      </c>
      <c r="R78" s="23"/>
      <c r="T78" s="35"/>
    </row>
    <row r="79" spans="1:21" s="34" customFormat="1" ht="18.75" customHeight="1" x14ac:dyDescent="0.25">
      <c r="A79" s="12" t="s">
        <v>113</v>
      </c>
      <c r="B79" s="32" t="s">
        <v>5</v>
      </c>
      <c r="C79" s="10">
        <v>13</v>
      </c>
      <c r="D79" s="10">
        <v>9.5</v>
      </c>
      <c r="E79" s="39" t="s">
        <v>108</v>
      </c>
      <c r="F79" s="38">
        <v>9.5</v>
      </c>
      <c r="G79" s="38"/>
      <c r="H79" s="37">
        <v>9.5</v>
      </c>
      <c r="I79" s="29">
        <v>2.73</v>
      </c>
      <c r="J79" s="36"/>
      <c r="K79" s="27">
        <v>1</v>
      </c>
      <c r="L79" s="26">
        <v>7470</v>
      </c>
      <c r="M79" s="25">
        <v>70965</v>
      </c>
      <c r="N79" s="237"/>
      <c r="O79" s="24"/>
      <c r="P79" s="9">
        <v>0</v>
      </c>
      <c r="Q79" s="9">
        <v>0</v>
      </c>
      <c r="R79" s="23"/>
      <c r="T79" s="35"/>
    </row>
    <row r="80" spans="1:21" s="34" customFormat="1" ht="18.75" customHeight="1" x14ac:dyDescent="0.25">
      <c r="A80" s="33" t="s">
        <v>112</v>
      </c>
      <c r="B80" s="32"/>
      <c r="C80" s="11">
        <v>0</v>
      </c>
      <c r="D80" s="10">
        <v>0</v>
      </c>
      <c r="E80" s="39">
        <v>0</v>
      </c>
      <c r="F80" s="38">
        <v>0</v>
      </c>
      <c r="G80" s="38">
        <v>0</v>
      </c>
      <c r="H80" s="37">
        <v>0</v>
      </c>
      <c r="I80" s="29">
        <v>0</v>
      </c>
      <c r="J80" s="36">
        <v>0</v>
      </c>
      <c r="K80" s="27">
        <v>0</v>
      </c>
      <c r="L80" s="26">
        <v>0</v>
      </c>
      <c r="M80" s="25">
        <v>0</v>
      </c>
      <c r="N80" s="237">
        <v>0</v>
      </c>
      <c r="O80" s="24">
        <v>0</v>
      </c>
      <c r="P80" s="9">
        <v>0</v>
      </c>
      <c r="Q80" s="9"/>
      <c r="R80" s="23"/>
      <c r="S80" s="14"/>
      <c r="T80" s="15"/>
      <c r="U80" s="14"/>
    </row>
    <row r="81" spans="1:21" ht="18.75" customHeight="1" x14ac:dyDescent="0.25">
      <c r="A81" s="12" t="s">
        <v>111</v>
      </c>
      <c r="B81" s="32" t="s">
        <v>5</v>
      </c>
      <c r="C81" s="10">
        <v>2</v>
      </c>
      <c r="D81" s="10">
        <v>2</v>
      </c>
      <c r="E81" s="39" t="s">
        <v>108</v>
      </c>
      <c r="F81" s="38">
        <v>2</v>
      </c>
      <c r="G81" s="38"/>
      <c r="H81" s="37">
        <v>2</v>
      </c>
      <c r="I81" s="29">
        <v>2.73</v>
      </c>
      <c r="J81" s="36"/>
      <c r="K81" s="27">
        <v>1</v>
      </c>
      <c r="L81" s="26">
        <v>7470</v>
      </c>
      <c r="M81" s="25">
        <v>14940</v>
      </c>
      <c r="N81" s="237"/>
      <c r="O81" s="24"/>
      <c r="P81" s="9">
        <v>0</v>
      </c>
      <c r="Q81" s="9">
        <v>0</v>
      </c>
      <c r="R81" s="23"/>
      <c r="S81" s="34"/>
      <c r="T81" s="35"/>
      <c r="U81" s="34"/>
    </row>
    <row r="82" spans="1:21" ht="18.75" customHeight="1" x14ac:dyDescent="0.25">
      <c r="A82" s="33" t="s">
        <v>90</v>
      </c>
      <c r="B82" s="32"/>
      <c r="C82" s="11">
        <v>20</v>
      </c>
      <c r="D82" s="42">
        <v>18</v>
      </c>
      <c r="E82" s="39">
        <v>0</v>
      </c>
      <c r="F82" s="38">
        <v>18</v>
      </c>
      <c r="G82" s="38">
        <v>0</v>
      </c>
      <c r="H82" s="37">
        <v>18</v>
      </c>
      <c r="I82" s="29">
        <v>5.46</v>
      </c>
      <c r="J82" s="36">
        <v>0</v>
      </c>
      <c r="K82" s="27">
        <v>2</v>
      </c>
      <c r="L82" s="26">
        <v>7470</v>
      </c>
      <c r="M82" s="25">
        <f>112050+P82</f>
        <v>251279.99999999997</v>
      </c>
      <c r="N82" s="237">
        <v>8.19</v>
      </c>
      <c r="O82" s="24">
        <v>17</v>
      </c>
      <c r="P82" s="9">
        <v>139229.99999999997</v>
      </c>
      <c r="Q82" s="9"/>
      <c r="R82" s="23"/>
    </row>
    <row r="83" spans="1:21" ht="18.75" customHeight="1" x14ac:dyDescent="0.25">
      <c r="A83" s="33" t="s">
        <v>106</v>
      </c>
      <c r="B83" s="32" t="s">
        <v>5</v>
      </c>
      <c r="C83" s="11">
        <v>515</v>
      </c>
      <c r="D83" s="42">
        <v>814</v>
      </c>
      <c r="E83" s="39" t="s">
        <v>108</v>
      </c>
      <c r="F83" s="38">
        <v>814</v>
      </c>
      <c r="G83" s="38"/>
      <c r="H83" s="37">
        <v>814</v>
      </c>
      <c r="I83" s="29">
        <v>2.73</v>
      </c>
      <c r="J83" s="36"/>
      <c r="K83" s="27">
        <v>1</v>
      </c>
      <c r="L83" s="26">
        <v>7470</v>
      </c>
      <c r="M83" s="25">
        <v>6080580</v>
      </c>
      <c r="N83" s="237"/>
      <c r="O83" s="24"/>
      <c r="P83" s="9"/>
      <c r="Q83" s="9">
        <v>0</v>
      </c>
      <c r="R83" s="23"/>
    </row>
    <row r="84" spans="1:21" ht="18.75" customHeight="1" x14ac:dyDescent="0.25">
      <c r="A84" s="43" t="s">
        <v>91</v>
      </c>
      <c r="B84" s="32" t="s">
        <v>5</v>
      </c>
      <c r="C84" s="11">
        <v>432</v>
      </c>
      <c r="D84" s="42">
        <v>432</v>
      </c>
      <c r="E84" s="39" t="s">
        <v>108</v>
      </c>
      <c r="F84" s="38">
        <v>432</v>
      </c>
      <c r="G84" s="38"/>
      <c r="H84" s="37">
        <v>432</v>
      </c>
      <c r="I84" s="29">
        <v>2.73</v>
      </c>
      <c r="J84" s="36"/>
      <c r="K84" s="27">
        <v>1</v>
      </c>
      <c r="L84" s="26">
        <v>7470</v>
      </c>
      <c r="M84" s="25">
        <v>3227040</v>
      </c>
      <c r="N84" s="237"/>
      <c r="O84" s="24"/>
      <c r="P84" s="9">
        <v>0</v>
      </c>
      <c r="Q84" s="9">
        <v>0</v>
      </c>
      <c r="R84" s="23"/>
      <c r="S84" s="34"/>
      <c r="T84" s="35"/>
      <c r="U84" s="34"/>
    </row>
    <row r="85" spans="1:21" ht="18.75" customHeight="1" x14ac:dyDescent="0.25">
      <c r="A85" s="33" t="s">
        <v>110</v>
      </c>
      <c r="B85" s="32" t="s">
        <v>5</v>
      </c>
      <c r="C85" s="11">
        <v>120</v>
      </c>
      <c r="D85" s="42">
        <v>4.8</v>
      </c>
      <c r="E85" s="39" t="s">
        <v>108</v>
      </c>
      <c r="F85" s="38">
        <v>4.8</v>
      </c>
      <c r="G85" s="38"/>
      <c r="H85" s="37">
        <v>4.8</v>
      </c>
      <c r="I85" s="29">
        <v>2.73</v>
      </c>
      <c r="J85" s="36"/>
      <c r="K85" s="27">
        <v>1</v>
      </c>
      <c r="L85" s="26">
        <v>7470</v>
      </c>
      <c r="M85" s="25">
        <v>35856</v>
      </c>
      <c r="N85" s="237"/>
      <c r="O85" s="24"/>
      <c r="P85" s="9">
        <v>0</v>
      </c>
      <c r="Q85" s="9">
        <v>0</v>
      </c>
      <c r="R85" s="23"/>
      <c r="S85" s="34"/>
      <c r="T85" s="35"/>
      <c r="U85" s="34"/>
    </row>
    <row r="86" spans="1:21" ht="18.75" customHeight="1" x14ac:dyDescent="0.25">
      <c r="A86" s="41" t="s">
        <v>3</v>
      </c>
      <c r="B86" s="32" t="s">
        <v>5</v>
      </c>
      <c r="C86" s="10">
        <v>150</v>
      </c>
      <c r="D86" s="10">
        <v>144</v>
      </c>
      <c r="E86" s="39" t="s">
        <v>108</v>
      </c>
      <c r="F86" s="38">
        <v>50</v>
      </c>
      <c r="G86" s="38">
        <v>97</v>
      </c>
      <c r="H86" s="37">
        <v>147</v>
      </c>
      <c r="I86" s="29">
        <v>2.73</v>
      </c>
      <c r="J86" s="36">
        <v>0.27</v>
      </c>
      <c r="K86" s="27">
        <v>0.90109890109890112</v>
      </c>
      <c r="L86" s="26">
        <v>7470</v>
      </c>
      <c r="M86" s="25">
        <v>1026427.2527472528</v>
      </c>
      <c r="N86" s="237"/>
      <c r="O86" s="24"/>
      <c r="P86" s="9">
        <v>0</v>
      </c>
      <c r="Q86" s="9">
        <v>0</v>
      </c>
      <c r="R86" s="23"/>
      <c r="S86" s="34"/>
      <c r="T86" s="35"/>
      <c r="U86" s="34"/>
    </row>
    <row r="87" spans="1:21" ht="18.75" customHeight="1" x14ac:dyDescent="0.25">
      <c r="A87" s="12" t="s">
        <v>109</v>
      </c>
      <c r="B87" s="32" t="s">
        <v>5</v>
      </c>
      <c r="C87" s="40">
        <v>20</v>
      </c>
      <c r="D87" s="40">
        <v>20</v>
      </c>
      <c r="E87" s="39" t="s">
        <v>108</v>
      </c>
      <c r="F87" s="38">
        <v>20</v>
      </c>
      <c r="G87" s="38"/>
      <c r="H87" s="37">
        <v>20</v>
      </c>
      <c r="I87" s="29">
        <v>2.73</v>
      </c>
      <c r="J87" s="36"/>
      <c r="K87" s="27">
        <v>1</v>
      </c>
      <c r="L87" s="26">
        <v>7470</v>
      </c>
      <c r="M87" s="25">
        <v>149400</v>
      </c>
      <c r="N87" s="237"/>
      <c r="O87" s="24"/>
      <c r="P87" s="9">
        <v>0</v>
      </c>
      <c r="Q87" s="9">
        <v>0</v>
      </c>
      <c r="R87" s="23"/>
      <c r="S87" s="34"/>
      <c r="T87" s="35"/>
      <c r="U87" s="34"/>
    </row>
    <row r="88" spans="1:21" ht="18.75" customHeight="1" x14ac:dyDescent="0.25">
      <c r="A88" s="33" t="s">
        <v>94</v>
      </c>
      <c r="B88" s="32" t="s">
        <v>5</v>
      </c>
      <c r="C88" s="11">
        <v>4</v>
      </c>
      <c r="D88" s="10">
        <v>3.25</v>
      </c>
      <c r="E88" s="31" t="s">
        <v>107</v>
      </c>
      <c r="F88" s="13">
        <v>3.25</v>
      </c>
      <c r="G88" s="13"/>
      <c r="H88" s="30">
        <v>3.25</v>
      </c>
      <c r="I88" s="29">
        <v>2.73</v>
      </c>
      <c r="J88" s="28"/>
      <c r="K88" s="27">
        <v>1</v>
      </c>
      <c r="L88" s="26"/>
      <c r="M88" s="9">
        <v>150832.5</v>
      </c>
      <c r="N88" s="237">
        <v>8.8725000000000005</v>
      </c>
      <c r="O88" s="24">
        <v>17</v>
      </c>
      <c r="P88" s="9">
        <v>150832.5</v>
      </c>
      <c r="Q88" s="9">
        <v>289000</v>
      </c>
      <c r="R88" s="23"/>
    </row>
  </sheetData>
  <mergeCells count="23">
    <mergeCell ref="A1:R1"/>
    <mergeCell ref="A2:R2"/>
    <mergeCell ref="A3:R3"/>
    <mergeCell ref="A10:R10"/>
    <mergeCell ref="A11:A13"/>
    <mergeCell ref="C11:C13"/>
    <mergeCell ref="B11:B13"/>
    <mergeCell ref="L11:P11"/>
    <mergeCell ref="R11:R13"/>
    <mergeCell ref="D11:D13"/>
    <mergeCell ref="Q12:Q13"/>
    <mergeCell ref="E11:E13"/>
    <mergeCell ref="F11:H12"/>
    <mergeCell ref="I11:J12"/>
    <mergeCell ref="K11:K13"/>
    <mergeCell ref="L12:M12"/>
    <mergeCell ref="N12:P12"/>
    <mergeCell ref="A70:A71"/>
    <mergeCell ref="A57:A58"/>
    <mergeCell ref="A39:A41"/>
    <mergeCell ref="A43:A44"/>
    <mergeCell ref="A46:A48"/>
    <mergeCell ref="A52:A53"/>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0FEDF-5C66-D940-A5DE-FB8E865353E7}">
  <sheetPr>
    <tabColor rgb="FFFFFF00"/>
  </sheetPr>
  <dimension ref="A1:T131"/>
  <sheetViews>
    <sheetView zoomScaleNormal="100"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14" customWidth="1"/>
    <col min="2" max="3" width="14" style="256" customWidth="1"/>
    <col min="4" max="4" width="15.85546875" style="255" customWidth="1"/>
    <col min="5" max="5" width="11.85546875" style="254" customWidth="1"/>
    <col min="6" max="6" width="13.42578125" style="254" customWidth="1"/>
    <col min="7" max="7" width="13.85546875" style="253" customWidth="1"/>
    <col min="8" max="8" width="10.7109375" style="14" customWidth="1"/>
    <col min="9" max="9" width="11.42578125" style="252" customWidth="1"/>
    <col min="10" max="10" width="8.42578125" style="252" customWidth="1"/>
    <col min="11" max="11" width="14.85546875" style="251" customWidth="1"/>
    <col min="12" max="12" width="17.42578125" style="251" customWidth="1"/>
    <col min="13" max="13" width="12.7109375" style="251" customWidth="1"/>
    <col min="14" max="14" width="12.140625" style="251" customWidth="1"/>
    <col min="15" max="15" width="18.42578125" style="19" customWidth="1"/>
    <col min="16" max="16" width="21.85546875" style="14" customWidth="1"/>
    <col min="17" max="18" width="9.140625" style="14"/>
    <col min="19" max="19" width="29.28515625" style="14" customWidth="1"/>
    <col min="20" max="16384" width="9.140625" style="14"/>
  </cols>
  <sheetData>
    <row r="1" spans="1:19" ht="18.95" customHeight="1" x14ac:dyDescent="0.25">
      <c r="A1" s="770" t="s">
        <v>236</v>
      </c>
      <c r="B1" s="770"/>
      <c r="C1" s="770"/>
      <c r="D1" s="770"/>
      <c r="E1" s="770"/>
      <c r="F1" s="770"/>
      <c r="G1" s="770"/>
      <c r="H1" s="770"/>
      <c r="I1" s="770"/>
      <c r="J1" s="770"/>
      <c r="K1" s="770"/>
      <c r="L1" s="770"/>
      <c r="M1" s="770"/>
      <c r="N1" s="770"/>
      <c r="O1" s="770"/>
      <c r="P1" s="770"/>
    </row>
    <row r="2" spans="1:19" ht="18.95" customHeight="1" x14ac:dyDescent="0.25">
      <c r="A2" s="770" t="s">
        <v>235</v>
      </c>
      <c r="B2" s="770"/>
      <c r="C2" s="770"/>
      <c r="D2" s="770"/>
      <c r="E2" s="770"/>
      <c r="F2" s="770"/>
      <c r="G2" s="770"/>
      <c r="H2" s="770"/>
      <c r="I2" s="770"/>
      <c r="J2" s="770"/>
      <c r="K2" s="770"/>
      <c r="L2" s="770"/>
      <c r="M2" s="770"/>
      <c r="N2" s="770"/>
      <c r="O2" s="770"/>
      <c r="P2" s="770"/>
    </row>
    <row r="3" spans="1:19" ht="18.95" customHeight="1" x14ac:dyDescent="0.25">
      <c r="A3" s="770" t="s">
        <v>234</v>
      </c>
      <c r="B3" s="770"/>
      <c r="C3" s="770"/>
      <c r="D3" s="770"/>
      <c r="E3" s="770"/>
      <c r="F3" s="770"/>
      <c r="G3" s="770"/>
      <c r="H3" s="770"/>
      <c r="I3" s="770"/>
      <c r="J3" s="770"/>
      <c r="K3" s="770"/>
      <c r="L3" s="770"/>
      <c r="M3" s="770"/>
      <c r="N3" s="770"/>
      <c r="O3" s="770"/>
      <c r="P3" s="770"/>
    </row>
    <row r="4" spans="1:19" ht="18.95" hidden="1" customHeight="1" x14ac:dyDescent="0.25">
      <c r="A4" s="770" t="s">
        <v>233</v>
      </c>
      <c r="B4" s="770"/>
      <c r="C4" s="770"/>
      <c r="D4" s="770"/>
      <c r="E4" s="770"/>
      <c r="F4" s="770"/>
      <c r="G4" s="770"/>
      <c r="H4" s="770"/>
      <c r="I4" s="770"/>
      <c r="J4" s="770"/>
      <c r="K4" s="770"/>
      <c r="L4" s="770"/>
      <c r="M4" s="770"/>
      <c r="N4" s="770"/>
      <c r="O4" s="770"/>
      <c r="P4" s="770"/>
    </row>
    <row r="5" spans="1:19" ht="18.95" customHeight="1" thickBot="1" x14ac:dyDescent="0.3">
      <c r="A5" s="186"/>
      <c r="B5" s="289"/>
      <c r="C5" s="289"/>
      <c r="D5" s="285"/>
      <c r="E5" s="289"/>
      <c r="F5" s="289"/>
      <c r="G5" s="288"/>
      <c r="H5" s="186"/>
      <c r="I5" s="285"/>
      <c r="J5" s="285"/>
      <c r="K5" s="285"/>
      <c r="L5" s="285"/>
      <c r="M5" s="285"/>
      <c r="N5" s="285"/>
      <c r="O5" s="186"/>
      <c r="P5" s="186"/>
    </row>
    <row r="6" spans="1:19" ht="18.95" customHeight="1" x14ac:dyDescent="0.25">
      <c r="A6" s="217" t="s">
        <v>232</v>
      </c>
      <c r="B6" s="446"/>
      <c r="C6" s="446"/>
      <c r="D6" s="442"/>
      <c r="E6" s="446"/>
      <c r="F6" s="446"/>
      <c r="G6" s="445"/>
      <c r="H6" s="207"/>
      <c r="I6" s="442"/>
      <c r="J6" s="442"/>
      <c r="K6" s="444"/>
      <c r="L6" s="443" t="s">
        <v>183</v>
      </c>
      <c r="M6" s="442"/>
      <c r="N6" s="442"/>
      <c r="O6" s="207"/>
      <c r="P6" s="205"/>
    </row>
    <row r="7" spans="1:19" ht="18.95" customHeight="1" x14ac:dyDescent="0.25">
      <c r="A7" s="197"/>
      <c r="B7" s="289"/>
      <c r="C7" s="289"/>
      <c r="D7" s="285"/>
      <c r="E7" s="289"/>
      <c r="F7" s="289"/>
      <c r="G7" s="288"/>
      <c r="H7" s="186"/>
      <c r="I7" s="285"/>
      <c r="J7" s="285"/>
      <c r="K7" s="438"/>
      <c r="L7" s="441" t="s">
        <v>182</v>
      </c>
      <c r="M7" s="440"/>
      <c r="N7" s="440" t="s">
        <v>181</v>
      </c>
      <c r="O7" s="186"/>
      <c r="P7" s="184"/>
    </row>
    <row r="8" spans="1:19" ht="18.95" customHeight="1" x14ac:dyDescent="0.25">
      <c r="A8" s="197"/>
      <c r="B8" s="289"/>
      <c r="C8" s="289"/>
      <c r="D8" s="285"/>
      <c r="E8" s="289"/>
      <c r="F8" s="289"/>
      <c r="G8" s="288"/>
      <c r="H8" s="186"/>
      <c r="I8" s="439"/>
      <c r="J8" s="285"/>
      <c r="K8" s="438"/>
      <c r="L8" s="437" t="s">
        <v>180</v>
      </c>
      <c r="M8" s="436"/>
      <c r="N8" s="285"/>
      <c r="O8" s="194" t="s">
        <v>179</v>
      </c>
      <c r="P8" s="184"/>
    </row>
    <row r="9" spans="1:19" ht="18.95" customHeight="1" x14ac:dyDescent="0.25">
      <c r="A9" s="197"/>
      <c r="B9" s="289"/>
      <c r="C9" s="289"/>
      <c r="D9" s="285"/>
      <c r="E9" s="289"/>
      <c r="F9" s="289"/>
      <c r="G9" s="288"/>
      <c r="H9" s="186"/>
      <c r="I9" s="439"/>
      <c r="J9" s="285"/>
      <c r="K9" s="438"/>
      <c r="L9" s="437" t="s">
        <v>178</v>
      </c>
      <c r="M9" s="436"/>
      <c r="N9" s="285"/>
      <c r="O9" s="194" t="s">
        <v>177</v>
      </c>
      <c r="P9" s="184"/>
    </row>
    <row r="10" spans="1:19" ht="18.95" customHeight="1" thickBot="1" x14ac:dyDescent="0.3">
      <c r="A10" s="197"/>
      <c r="B10" s="289"/>
      <c r="C10" s="289"/>
      <c r="D10" s="285"/>
      <c r="E10" s="289"/>
      <c r="F10" s="289"/>
      <c r="G10" s="288"/>
      <c r="H10" s="186"/>
      <c r="I10" s="285"/>
      <c r="J10" s="285"/>
      <c r="K10" s="438"/>
      <c r="L10" s="437" t="s">
        <v>176</v>
      </c>
      <c r="M10" s="436"/>
      <c r="N10" s="285"/>
      <c r="O10" s="194" t="s">
        <v>175</v>
      </c>
      <c r="P10" s="184"/>
    </row>
    <row r="11" spans="1:19" ht="18.95" customHeight="1" thickBot="1" x14ac:dyDescent="0.3">
      <c r="A11" s="777" t="s">
        <v>174</v>
      </c>
      <c r="B11" s="778"/>
      <c r="C11" s="778"/>
      <c r="D11" s="778"/>
      <c r="E11" s="778"/>
      <c r="F11" s="778"/>
      <c r="G11" s="778"/>
      <c r="H11" s="778"/>
      <c r="I11" s="778"/>
      <c r="J11" s="778"/>
      <c r="K11" s="778"/>
      <c r="L11" s="778"/>
      <c r="M11" s="778"/>
      <c r="N11" s="778"/>
      <c r="O11" s="778"/>
      <c r="P11" s="779"/>
    </row>
    <row r="12" spans="1:19" ht="18.95" customHeight="1" x14ac:dyDescent="0.25">
      <c r="A12" s="729" t="s">
        <v>173</v>
      </c>
      <c r="B12" s="780" t="s">
        <v>171</v>
      </c>
      <c r="C12" s="780" t="s">
        <v>170</v>
      </c>
      <c r="D12" s="771" t="s">
        <v>169</v>
      </c>
      <c r="E12" s="783" t="s">
        <v>168</v>
      </c>
      <c r="F12" s="784"/>
      <c r="G12" s="785"/>
      <c r="H12" s="749" t="s">
        <v>167</v>
      </c>
      <c r="I12" s="750"/>
      <c r="J12" s="771" t="s">
        <v>166</v>
      </c>
      <c r="K12" s="774" t="s">
        <v>165</v>
      </c>
      <c r="L12" s="774"/>
      <c r="M12" s="774"/>
      <c r="N12" s="774"/>
      <c r="O12" s="774"/>
      <c r="P12" s="738" t="s">
        <v>164</v>
      </c>
    </row>
    <row r="13" spans="1:19" ht="30" customHeight="1" x14ac:dyDescent="0.25">
      <c r="A13" s="730"/>
      <c r="B13" s="781"/>
      <c r="C13" s="781"/>
      <c r="D13" s="772"/>
      <c r="E13" s="786"/>
      <c r="F13" s="787"/>
      <c r="G13" s="788"/>
      <c r="H13" s="751"/>
      <c r="I13" s="752"/>
      <c r="J13" s="772"/>
      <c r="K13" s="775" t="s">
        <v>163</v>
      </c>
      <c r="L13" s="775"/>
      <c r="M13" s="762" t="s">
        <v>231</v>
      </c>
      <c r="N13" s="762"/>
      <c r="O13" s="762"/>
      <c r="P13" s="739"/>
    </row>
    <row r="14" spans="1:19" ht="45.75" customHeight="1" thickBot="1" x14ac:dyDescent="0.3">
      <c r="A14" s="731"/>
      <c r="B14" s="782"/>
      <c r="C14" s="782"/>
      <c r="D14" s="773"/>
      <c r="E14" s="435" t="s">
        <v>161</v>
      </c>
      <c r="F14" s="435" t="s">
        <v>160</v>
      </c>
      <c r="G14" s="434" t="s">
        <v>159</v>
      </c>
      <c r="H14" s="166" t="s">
        <v>158</v>
      </c>
      <c r="I14" s="433" t="s">
        <v>157</v>
      </c>
      <c r="J14" s="773"/>
      <c r="K14" s="432" t="s">
        <v>156</v>
      </c>
      <c r="L14" s="432" t="s">
        <v>155</v>
      </c>
      <c r="M14" s="431" t="s">
        <v>154</v>
      </c>
      <c r="N14" s="431" t="s">
        <v>153</v>
      </c>
      <c r="O14" s="164" t="s">
        <v>152</v>
      </c>
      <c r="P14" s="740"/>
    </row>
    <row r="15" spans="1:19" s="64" customFormat="1" ht="19.5" customHeight="1" x14ac:dyDescent="0.25">
      <c r="A15" s="427" t="s">
        <v>151</v>
      </c>
      <c r="B15" s="430" t="s">
        <v>150</v>
      </c>
      <c r="C15" s="430" t="s">
        <v>230</v>
      </c>
      <c r="D15" s="428" t="s">
        <v>149</v>
      </c>
      <c r="E15" s="430" t="s">
        <v>148</v>
      </c>
      <c r="F15" s="430" t="s">
        <v>147</v>
      </c>
      <c r="G15" s="429" t="s">
        <v>146</v>
      </c>
      <c r="H15" s="427" t="s">
        <v>145</v>
      </c>
      <c r="I15" s="428" t="s">
        <v>144</v>
      </c>
      <c r="J15" s="428" t="s">
        <v>143</v>
      </c>
      <c r="K15" s="428" t="s">
        <v>142</v>
      </c>
      <c r="L15" s="428" t="s">
        <v>141</v>
      </c>
      <c r="M15" s="428" t="s">
        <v>140</v>
      </c>
      <c r="N15" s="428" t="s">
        <v>139</v>
      </c>
      <c r="O15" s="427" t="s">
        <v>138</v>
      </c>
      <c r="P15" s="426" t="s">
        <v>229</v>
      </c>
      <c r="S15" s="425"/>
    </row>
    <row r="16" spans="1:19" s="64" customFormat="1" ht="19.5" customHeight="1" x14ac:dyDescent="0.25">
      <c r="A16" s="424" t="s">
        <v>135</v>
      </c>
      <c r="B16" s="420" t="e">
        <f>SUM(#REF!+#REF!+B45+B55+B76)</f>
        <v>#REF!</v>
      </c>
      <c r="C16" s="420" t="e">
        <f>SUM(#REF!+#REF!+C45+C55+C76)</f>
        <v>#REF!</v>
      </c>
      <c r="D16" s="422"/>
      <c r="E16" s="420" t="e">
        <f>SUM(#REF!+#REF!+E45+E55+E76)</f>
        <v>#REF!</v>
      </c>
      <c r="F16" s="420" t="e">
        <f>SUM(#REF!+#REF!+F45+F55+F76)</f>
        <v>#REF!</v>
      </c>
      <c r="G16" s="420" t="e">
        <f>SUM(#REF!+#REF!+G45+G55+G76)</f>
        <v>#REF!</v>
      </c>
      <c r="H16" s="423"/>
      <c r="I16" s="422"/>
      <c r="J16" s="422"/>
      <c r="K16" s="420" t="e">
        <f>SUM(#REF!+#REF!+K45+K55+K76)</f>
        <v>#REF!</v>
      </c>
      <c r="L16" s="420" t="e">
        <f>SUM(#REF!+#REF!+L45+L55+L76)</f>
        <v>#REF!</v>
      </c>
      <c r="M16" s="420" t="e">
        <f>SUM(#REF!+#REF!+M45+M55+M76)</f>
        <v>#REF!</v>
      </c>
      <c r="N16" s="421" t="s">
        <v>228</v>
      </c>
      <c r="O16" s="420" t="e">
        <f>SUM(#REF!+#REF!+O45+O55+O76)</f>
        <v>#REF!</v>
      </c>
      <c r="P16" s="419"/>
      <c r="S16" s="310"/>
    </row>
    <row r="17" spans="1:19" s="64" customFormat="1" ht="19.5" customHeight="1" x14ac:dyDescent="0.25">
      <c r="A17" s="385" t="s">
        <v>227</v>
      </c>
      <c r="B17" s="409"/>
      <c r="C17" s="407"/>
      <c r="D17" s="407"/>
      <c r="E17" s="407"/>
      <c r="F17" s="407"/>
      <c r="G17" s="418"/>
      <c r="H17" s="417"/>
      <c r="I17" s="399"/>
      <c r="J17" s="399"/>
      <c r="K17" s="399"/>
      <c r="L17" s="416"/>
      <c r="M17" s="415"/>
      <c r="N17" s="414"/>
      <c r="O17" s="413"/>
      <c r="P17" s="412"/>
      <c r="S17" s="310"/>
    </row>
    <row r="18" spans="1:19" s="64" customFormat="1" ht="19.5" customHeight="1" x14ac:dyDescent="0.25">
      <c r="A18" s="411" t="s">
        <v>226</v>
      </c>
      <c r="B18" s="335"/>
      <c r="C18" s="333"/>
      <c r="D18" s="334"/>
      <c r="E18" s="333"/>
      <c r="F18" s="340"/>
      <c r="G18" s="376"/>
      <c r="H18" s="375"/>
      <c r="I18" s="330"/>
      <c r="J18" s="329"/>
      <c r="K18" s="339"/>
      <c r="L18" s="338"/>
      <c r="M18" s="374"/>
      <c r="N18" s="374"/>
      <c r="O18" s="373"/>
      <c r="P18" s="337"/>
      <c r="S18" s="310"/>
    </row>
    <row r="19" spans="1:19" s="64" customFormat="1" ht="19.5" customHeight="1" x14ac:dyDescent="0.25">
      <c r="A19" s="410" t="s">
        <v>7</v>
      </c>
      <c r="B19" s="335">
        <v>248</v>
      </c>
      <c r="C19" s="333">
        <v>496</v>
      </c>
      <c r="D19" s="334" t="s">
        <v>225</v>
      </c>
      <c r="E19" s="333"/>
      <c r="F19" s="340">
        <v>24.8</v>
      </c>
      <c r="G19" s="340">
        <f>SUM(E19:F19)</f>
        <v>24.8</v>
      </c>
      <c r="H19" s="331">
        <v>3.923411893241767</v>
      </c>
      <c r="I19" s="330">
        <v>2.95</v>
      </c>
      <c r="J19" s="329">
        <f>(H19-I19)/H19</f>
        <v>0.24810341603911318</v>
      </c>
      <c r="K19" s="339">
        <v>7470</v>
      </c>
      <c r="L19" s="338">
        <f>(G19*K19)*J19</f>
        <v>45962.646441741948</v>
      </c>
      <c r="M19" s="326">
        <f>G19*H19*J19</f>
        <v>24.140614952395815</v>
      </c>
      <c r="N19" s="326">
        <v>17</v>
      </c>
      <c r="O19" s="325">
        <f>M19*1000*17</f>
        <v>410390.45419072884</v>
      </c>
      <c r="P19" s="337"/>
      <c r="S19" s="310"/>
    </row>
    <row r="20" spans="1:19" s="64" customFormat="1" ht="19.5" customHeight="1" x14ac:dyDescent="0.25">
      <c r="A20" s="410" t="s">
        <v>24</v>
      </c>
      <c r="B20" s="335">
        <v>1619</v>
      </c>
      <c r="C20" s="333">
        <v>2615</v>
      </c>
      <c r="D20" s="334" t="s">
        <v>225</v>
      </c>
      <c r="E20" s="333"/>
      <c r="F20" s="340">
        <v>523</v>
      </c>
      <c r="G20" s="340">
        <f>SUM(E20:F20)</f>
        <v>523</v>
      </c>
      <c r="H20" s="331">
        <v>3.923411893241767</v>
      </c>
      <c r="I20" s="330">
        <v>2.95</v>
      </c>
      <c r="J20" s="329">
        <f>(H20-I20)/H20</f>
        <v>0.24810341603911318</v>
      </c>
      <c r="K20" s="339">
        <v>7470</v>
      </c>
      <c r="L20" s="338">
        <f>(G20*K20)*J20</f>
        <v>969292.90681576775</v>
      </c>
      <c r="M20" s="326">
        <f>G20*H20*J20</f>
        <v>509.09442016544403</v>
      </c>
      <c r="N20" s="326">
        <v>17</v>
      </c>
      <c r="O20" s="325">
        <f>M20*1000*17</f>
        <v>8654605.1428125482</v>
      </c>
      <c r="P20" s="337"/>
      <c r="S20" s="310"/>
    </row>
    <row r="21" spans="1:19" s="64" customFormat="1" ht="19.5" customHeight="1" x14ac:dyDescent="0.25">
      <c r="A21" s="410" t="s">
        <v>224</v>
      </c>
      <c r="B21" s="335">
        <v>300</v>
      </c>
      <c r="C21" s="333">
        <v>379</v>
      </c>
      <c r="D21" s="334">
        <v>0</v>
      </c>
      <c r="E21" s="333">
        <v>112</v>
      </c>
      <c r="F21" s="340">
        <v>267</v>
      </c>
      <c r="G21" s="340">
        <v>379</v>
      </c>
      <c r="H21" s="331">
        <v>7.846823786483534</v>
      </c>
      <c r="I21" s="330">
        <v>3.52</v>
      </c>
      <c r="J21" s="329">
        <v>1.1028217032059928</v>
      </c>
      <c r="K21" s="339">
        <v>40934</v>
      </c>
      <c r="L21" s="338">
        <v>1727136.1804473833</v>
      </c>
      <c r="M21" s="326">
        <v>522.49310753862972</v>
      </c>
      <c r="N21" s="326">
        <v>34</v>
      </c>
      <c r="O21" s="325">
        <v>8882382.8281567041</v>
      </c>
      <c r="P21" s="337"/>
      <c r="S21" s="310"/>
    </row>
    <row r="22" spans="1:19" s="64" customFormat="1" ht="19.5" customHeight="1" x14ac:dyDescent="0.25">
      <c r="A22" s="377"/>
      <c r="B22" s="335"/>
      <c r="C22" s="333"/>
      <c r="D22" s="334"/>
      <c r="E22" s="333"/>
      <c r="F22" s="340"/>
      <c r="G22" s="376"/>
      <c r="H22" s="375"/>
      <c r="I22" s="330"/>
      <c r="J22" s="329"/>
      <c r="K22" s="339"/>
      <c r="L22" s="338"/>
      <c r="M22" s="374"/>
      <c r="N22" s="374"/>
      <c r="O22" s="373"/>
      <c r="P22" s="324"/>
      <c r="S22" s="310"/>
    </row>
    <row r="23" spans="1:19" s="64" customFormat="1" ht="19.5" customHeight="1" x14ac:dyDescent="0.25">
      <c r="A23" s="385" t="s">
        <v>46</v>
      </c>
      <c r="B23" s="409"/>
      <c r="C23" s="407"/>
      <c r="D23" s="408"/>
      <c r="E23" s="407"/>
      <c r="F23" s="406"/>
      <c r="G23" s="405"/>
      <c r="H23" s="404"/>
      <c r="I23" s="403"/>
      <c r="J23" s="402"/>
      <c r="K23" s="401"/>
      <c r="L23" s="400"/>
      <c r="M23" s="399"/>
      <c r="N23" s="399"/>
      <c r="O23" s="398"/>
      <c r="P23" s="359"/>
      <c r="S23" s="310"/>
    </row>
    <row r="24" spans="1:19" s="64" customFormat="1" ht="19.5" customHeight="1" x14ac:dyDescent="0.25">
      <c r="A24" s="336" t="s">
        <v>47</v>
      </c>
      <c r="B24" s="397">
        <v>105</v>
      </c>
      <c r="C24" s="395">
        <v>126</v>
      </c>
      <c r="D24" s="396">
        <v>0</v>
      </c>
      <c r="E24" s="395">
        <v>0</v>
      </c>
      <c r="F24" s="394">
        <v>126</v>
      </c>
      <c r="G24" s="393">
        <v>126</v>
      </c>
      <c r="H24" s="392">
        <v>8.9564395218477753</v>
      </c>
      <c r="I24" s="391">
        <v>7.1400000000000006</v>
      </c>
      <c r="J24" s="390">
        <v>0.4056164321585306</v>
      </c>
      <c r="K24" s="389">
        <v>40934</v>
      </c>
      <c r="L24" s="388">
        <v>563210.73653651855</v>
      </c>
      <c r="M24" s="387">
        <v>98.155689876409824</v>
      </c>
      <c r="N24" s="387">
        <v>34</v>
      </c>
      <c r="O24" s="386">
        <v>1668646.7278989672</v>
      </c>
      <c r="P24" s="324"/>
      <c r="S24" s="310"/>
    </row>
    <row r="25" spans="1:19" s="64" customFormat="1" ht="19.5" customHeight="1" x14ac:dyDescent="0.25">
      <c r="A25" s="336" t="s">
        <v>48</v>
      </c>
      <c r="B25" s="335">
        <v>170</v>
      </c>
      <c r="C25" s="333">
        <v>210</v>
      </c>
      <c r="D25" s="334" t="s">
        <v>123</v>
      </c>
      <c r="E25" s="333">
        <v>16</v>
      </c>
      <c r="F25" s="340">
        <v>194</v>
      </c>
      <c r="G25" s="340">
        <f>SUM(E25:F25)</f>
        <v>210</v>
      </c>
      <c r="H25" s="331">
        <v>4.4782197609238876</v>
      </c>
      <c r="I25" s="330">
        <v>3.15</v>
      </c>
      <c r="J25" s="329">
        <f>(H25-I25)/H25</f>
        <v>0.29659548477582237</v>
      </c>
      <c r="K25" s="339">
        <v>7470</v>
      </c>
      <c r="L25" s="338">
        <f>(G25*K25)*J25</f>
        <v>465269.33696783253</v>
      </c>
      <c r="M25" s="326">
        <f>G25*H25*J25</f>
        <v>278.92614979401645</v>
      </c>
      <c r="N25" s="326">
        <v>17</v>
      </c>
      <c r="O25" s="325">
        <f>M25*1000*17</f>
        <v>4741744.5464982791</v>
      </c>
      <c r="P25" s="324"/>
      <c r="S25" s="310"/>
    </row>
    <row r="26" spans="1:19" s="64" customFormat="1" ht="19.5" customHeight="1" x14ac:dyDescent="0.25">
      <c r="A26" s="336" t="s">
        <v>52</v>
      </c>
      <c r="B26" s="335">
        <v>45</v>
      </c>
      <c r="C26" s="333">
        <v>261</v>
      </c>
      <c r="D26" s="334" t="s">
        <v>123</v>
      </c>
      <c r="E26" s="333">
        <v>52</v>
      </c>
      <c r="F26" s="340">
        <v>209</v>
      </c>
      <c r="G26" s="340">
        <f>SUM(E26:F26)</f>
        <v>261</v>
      </c>
      <c r="H26" s="331">
        <v>4.4782197609238876</v>
      </c>
      <c r="I26" s="330">
        <v>2.9</v>
      </c>
      <c r="J26" s="329">
        <f>(H26-I26)/H26</f>
        <v>0.35242123995234437</v>
      </c>
      <c r="K26" s="339">
        <v>7470</v>
      </c>
      <c r="L26" s="338">
        <f>(G26*K26)*J26</f>
        <v>687105.1188978873</v>
      </c>
      <c r="M26" s="326">
        <f>G26*H26*J26</f>
        <v>411.91535760113464</v>
      </c>
      <c r="N26" s="326">
        <v>17</v>
      </c>
      <c r="O26" s="325">
        <f>M26*1000*17</f>
        <v>7002561.0792192891</v>
      </c>
      <c r="P26" s="337"/>
      <c r="S26" s="310"/>
    </row>
    <row r="27" spans="1:19" s="64" customFormat="1" ht="19.5" customHeight="1" x14ac:dyDescent="0.25">
      <c r="A27" s="336" t="s">
        <v>50</v>
      </c>
      <c r="B27" s="335">
        <v>3020</v>
      </c>
      <c r="C27" s="333">
        <v>3204</v>
      </c>
      <c r="D27" s="334" t="s">
        <v>123</v>
      </c>
      <c r="E27" s="333">
        <v>5</v>
      </c>
      <c r="F27" s="340">
        <v>3199</v>
      </c>
      <c r="G27" s="340">
        <f>SUM(E27:F27)</f>
        <v>3204</v>
      </c>
      <c r="H27" s="331">
        <v>4.4782197609238876</v>
      </c>
      <c r="I27" s="330">
        <v>2.9</v>
      </c>
      <c r="J27" s="329">
        <f>(H27-I27)/H27</f>
        <v>0.35242123995234437</v>
      </c>
      <c r="K27" s="339">
        <v>7470</v>
      </c>
      <c r="L27" s="338">
        <f>(G27*K27)*J27</f>
        <v>8434807.6664706152</v>
      </c>
      <c r="M27" s="326">
        <f>G27*H27*J27</f>
        <v>5056.6161140001359</v>
      </c>
      <c r="N27" s="326">
        <v>17</v>
      </c>
      <c r="O27" s="325">
        <f>M27*1000*17</f>
        <v>85962473.938002318</v>
      </c>
      <c r="P27" s="337"/>
      <c r="S27" s="310"/>
    </row>
    <row r="28" spans="1:19" s="64" customFormat="1" ht="19.5" customHeight="1" x14ac:dyDescent="0.25">
      <c r="A28" s="336" t="s">
        <v>51</v>
      </c>
      <c r="B28" s="335">
        <v>50</v>
      </c>
      <c r="C28" s="333">
        <v>72</v>
      </c>
      <c r="D28" s="334" t="s">
        <v>123</v>
      </c>
      <c r="E28" s="333">
        <v>30</v>
      </c>
      <c r="F28" s="340">
        <v>42</v>
      </c>
      <c r="G28" s="340">
        <f>SUM(E28:F28)</f>
        <v>72</v>
      </c>
      <c r="H28" s="331">
        <v>4.4782197609238876</v>
      </c>
      <c r="I28" s="330">
        <v>2.9</v>
      </c>
      <c r="J28" s="329">
        <f>(H28-I28)/H28</f>
        <v>0.35242123995234437</v>
      </c>
      <c r="K28" s="339">
        <v>7470</v>
      </c>
      <c r="L28" s="338">
        <f>(G28*K28)*J28</f>
        <v>189546.23969596889</v>
      </c>
      <c r="M28" s="326">
        <f>G28*H28*J28</f>
        <v>113.6318227865199</v>
      </c>
      <c r="N28" s="326">
        <v>17</v>
      </c>
      <c r="O28" s="325">
        <f>M28*1000*17</f>
        <v>1931740.9873708384</v>
      </c>
      <c r="P28" s="337"/>
      <c r="S28" s="310"/>
    </row>
    <row r="29" spans="1:19" s="64" customFormat="1" ht="19.5" customHeight="1" x14ac:dyDescent="0.25">
      <c r="A29" s="336" t="s">
        <v>53</v>
      </c>
      <c r="B29" s="335">
        <v>1080</v>
      </c>
      <c r="C29" s="333">
        <v>1907</v>
      </c>
      <c r="D29" s="334" t="s">
        <v>123</v>
      </c>
      <c r="E29" s="333">
        <v>190.7</v>
      </c>
      <c r="F29" s="340">
        <v>1716.3</v>
      </c>
      <c r="G29" s="340">
        <f>SUM(E29:F29)</f>
        <v>1907</v>
      </c>
      <c r="H29" s="331">
        <v>4.4782197609238876</v>
      </c>
      <c r="I29" s="330">
        <v>2.9</v>
      </c>
      <c r="J29" s="329">
        <f>(H29-I29)/H29</f>
        <v>0.35242123995234437</v>
      </c>
      <c r="K29" s="339">
        <v>7470</v>
      </c>
      <c r="L29" s="338">
        <f>(G29*K29)*J29</f>
        <v>5020342.765280732</v>
      </c>
      <c r="M29" s="326">
        <f>G29*H29*J29</f>
        <v>3009.6650840818538</v>
      </c>
      <c r="N29" s="326">
        <v>17</v>
      </c>
      <c r="O29" s="325">
        <f>M29*1000*17</f>
        <v>51164306.429391511</v>
      </c>
      <c r="P29" s="337"/>
      <c r="S29" s="310"/>
    </row>
    <row r="30" spans="1:19" s="64" customFormat="1" ht="19.5" customHeight="1" x14ac:dyDescent="0.25">
      <c r="A30" s="377"/>
      <c r="B30" s="335"/>
      <c r="C30" s="333"/>
      <c r="D30" s="334"/>
      <c r="E30" s="333"/>
      <c r="F30" s="340"/>
      <c r="G30" s="376"/>
      <c r="H30" s="375"/>
      <c r="I30" s="330"/>
      <c r="J30" s="329"/>
      <c r="K30" s="339"/>
      <c r="L30" s="338"/>
      <c r="M30" s="374"/>
      <c r="N30" s="374"/>
      <c r="O30" s="373"/>
      <c r="P30" s="337"/>
      <c r="S30" s="310"/>
    </row>
    <row r="31" spans="1:19" s="64" customFormat="1" ht="19.5" customHeight="1" x14ac:dyDescent="0.25">
      <c r="A31" s="385" t="s">
        <v>54</v>
      </c>
      <c r="B31" s="371"/>
      <c r="C31" s="369"/>
      <c r="D31" s="370"/>
      <c r="E31" s="369"/>
      <c r="F31" s="368"/>
      <c r="G31" s="367"/>
      <c r="H31" s="366"/>
      <c r="I31" s="365"/>
      <c r="J31" s="364"/>
      <c r="K31" s="363"/>
      <c r="L31" s="362"/>
      <c r="M31" s="361"/>
      <c r="N31" s="361"/>
      <c r="O31" s="360"/>
      <c r="P31" s="359"/>
      <c r="S31" s="310"/>
    </row>
    <row r="32" spans="1:19" s="461" customFormat="1" ht="19.5" customHeight="1" x14ac:dyDescent="0.25">
      <c r="A32" s="447" t="s">
        <v>55</v>
      </c>
      <c r="B32" s="448">
        <v>708</v>
      </c>
      <c r="C32" s="449">
        <v>1496</v>
      </c>
      <c r="D32" s="450">
        <v>0</v>
      </c>
      <c r="E32" s="449">
        <v>0</v>
      </c>
      <c r="F32" s="451">
        <v>1496</v>
      </c>
      <c r="G32" s="452">
        <v>1496</v>
      </c>
      <c r="H32" s="453">
        <v>5.3219306723072153</v>
      </c>
      <c r="I32" s="454">
        <v>4</v>
      </c>
      <c r="J32" s="455">
        <v>0.49678613033646263</v>
      </c>
      <c r="K32" s="456">
        <v>51238</v>
      </c>
      <c r="L32" s="457">
        <v>11404298.416281777</v>
      </c>
      <c r="M32" s="458">
        <v>988.80414288579709</v>
      </c>
      <c r="N32" s="458">
        <v>34</v>
      </c>
      <c r="O32" s="459">
        <v>16809670.429058548</v>
      </c>
      <c r="P32" s="460"/>
      <c r="S32" s="462"/>
    </row>
    <row r="33" spans="1:19" s="461" customFormat="1" ht="19.5" customHeight="1" x14ac:dyDescent="0.25">
      <c r="A33" s="463" t="s">
        <v>102</v>
      </c>
      <c r="B33" s="448">
        <v>1032</v>
      </c>
      <c r="C33" s="449">
        <v>1164</v>
      </c>
      <c r="D33" s="450">
        <v>0</v>
      </c>
      <c r="E33" s="449">
        <v>39.590000000000003</v>
      </c>
      <c r="F33" s="451">
        <v>1098</v>
      </c>
      <c r="G33" s="451">
        <v>1137.5899999999999</v>
      </c>
      <c r="H33" s="464">
        <v>2.6609653361536076</v>
      </c>
      <c r="I33" s="454">
        <v>1.85</v>
      </c>
      <c r="J33" s="455">
        <v>1.3047635852806139</v>
      </c>
      <c r="K33" s="456">
        <v>51238</v>
      </c>
      <c r="L33" s="457">
        <v>3817550.1721071741</v>
      </c>
      <c r="M33" s="465">
        <v>898.54959245819703</v>
      </c>
      <c r="N33" s="465">
        <v>34</v>
      </c>
      <c r="O33" s="466">
        <v>15275343.07178935</v>
      </c>
      <c r="P33" s="460"/>
      <c r="S33" s="462"/>
    </row>
    <row r="34" spans="1:19" s="461" customFormat="1" ht="19.5" customHeight="1" x14ac:dyDescent="0.25">
      <c r="A34" s="463" t="s">
        <v>59</v>
      </c>
      <c r="B34" s="448">
        <v>206</v>
      </c>
      <c r="C34" s="449">
        <v>361</v>
      </c>
      <c r="D34" s="450">
        <v>0</v>
      </c>
      <c r="E34" s="449">
        <v>23</v>
      </c>
      <c r="F34" s="451">
        <v>338</v>
      </c>
      <c r="G34" s="451">
        <v>361</v>
      </c>
      <c r="H34" s="464">
        <v>5.3219306723072153</v>
      </c>
      <c r="I34" s="454">
        <v>4</v>
      </c>
      <c r="J34" s="455">
        <v>0.49678613033646263</v>
      </c>
      <c r="K34" s="456">
        <v>40934</v>
      </c>
      <c r="L34" s="457">
        <v>1812675.2195162061</v>
      </c>
      <c r="M34" s="465">
        <v>238.60848635145237</v>
      </c>
      <c r="N34" s="465">
        <v>34</v>
      </c>
      <c r="O34" s="466">
        <v>4056344.2679746901</v>
      </c>
      <c r="P34" s="460"/>
      <c r="S34" s="462"/>
    </row>
    <row r="35" spans="1:19" s="461" customFormat="1" ht="19.5" customHeight="1" x14ac:dyDescent="0.25">
      <c r="A35" s="463" t="s">
        <v>61</v>
      </c>
      <c r="B35" s="448">
        <v>650</v>
      </c>
      <c r="C35" s="449">
        <v>647</v>
      </c>
      <c r="D35" s="450">
        <v>0</v>
      </c>
      <c r="E35" s="449">
        <v>7.5</v>
      </c>
      <c r="F35" s="451">
        <v>16.5</v>
      </c>
      <c r="G35" s="451">
        <v>647</v>
      </c>
      <c r="H35" s="464">
        <v>5.3219306723072153</v>
      </c>
      <c r="I35" s="454">
        <v>3.7800000000000002</v>
      </c>
      <c r="J35" s="455">
        <v>0.5783930651682313</v>
      </c>
      <c r="K35" s="456">
        <v>51238</v>
      </c>
      <c r="L35" s="457">
        <v>1502616.6906105666</v>
      </c>
      <c r="M35" s="465">
        <v>432.85624988603405</v>
      </c>
      <c r="N35" s="465">
        <v>34</v>
      </c>
      <c r="O35" s="466">
        <v>7358556.2480625799</v>
      </c>
      <c r="P35" s="460"/>
      <c r="S35" s="462"/>
    </row>
    <row r="36" spans="1:19" s="64" customFormat="1" ht="19.5" hidden="1" customHeight="1" x14ac:dyDescent="0.25">
      <c r="A36" s="336"/>
      <c r="B36" s="335"/>
      <c r="C36" s="333"/>
      <c r="D36" s="334"/>
      <c r="E36" s="333"/>
      <c r="F36" s="332"/>
      <c r="G36" s="332"/>
      <c r="H36" s="331"/>
      <c r="I36" s="330"/>
      <c r="J36" s="329"/>
      <c r="K36" s="328"/>
      <c r="L36" s="327"/>
      <c r="M36" s="383"/>
      <c r="N36" s="383"/>
      <c r="O36" s="384"/>
      <c r="P36" s="324"/>
      <c r="S36" s="310"/>
    </row>
    <row r="37" spans="1:19" s="461" customFormat="1" ht="19.5" customHeight="1" x14ac:dyDescent="0.25">
      <c r="A37" s="463" t="s">
        <v>127</v>
      </c>
      <c r="B37" s="448">
        <v>310</v>
      </c>
      <c r="C37" s="449">
        <v>317</v>
      </c>
      <c r="D37" s="450">
        <v>0</v>
      </c>
      <c r="E37" s="449">
        <v>165.55</v>
      </c>
      <c r="F37" s="451">
        <v>122.35000000000001</v>
      </c>
      <c r="G37" s="451">
        <v>287.89999999999998</v>
      </c>
      <c r="H37" s="464">
        <v>5.3219306723072153</v>
      </c>
      <c r="I37" s="454">
        <v>2.35</v>
      </c>
      <c r="J37" s="455">
        <v>1.1168618515726718</v>
      </c>
      <c r="K37" s="456">
        <v>40934</v>
      </c>
      <c r="L37" s="457">
        <v>1890550.0947576233</v>
      </c>
      <c r="M37" s="465">
        <v>495.56192027862363</v>
      </c>
      <c r="N37" s="465">
        <v>34</v>
      </c>
      <c r="O37" s="466">
        <v>8424552.6447366029</v>
      </c>
      <c r="P37" s="460"/>
      <c r="S37" s="462"/>
    </row>
    <row r="38" spans="1:19" s="461" customFormat="1" ht="19.5" customHeight="1" x14ac:dyDescent="0.25">
      <c r="A38" s="463" t="s">
        <v>69</v>
      </c>
      <c r="B38" s="448">
        <v>1656</v>
      </c>
      <c r="C38" s="449">
        <v>1822</v>
      </c>
      <c r="D38" s="450">
        <v>0</v>
      </c>
      <c r="E38" s="449">
        <v>326.39999999999998</v>
      </c>
      <c r="F38" s="451">
        <v>1495.6</v>
      </c>
      <c r="G38" s="451">
        <v>1822</v>
      </c>
      <c r="H38" s="464">
        <v>5.3219306723072153</v>
      </c>
      <c r="I38" s="454">
        <v>3.56</v>
      </c>
      <c r="J38" s="455">
        <v>0.66213965599945179</v>
      </c>
      <c r="K38" s="456">
        <v>40934</v>
      </c>
      <c r="L38" s="457">
        <v>6141080.4535325151</v>
      </c>
      <c r="M38" s="465">
        <v>1605.1188424718732</v>
      </c>
      <c r="N38" s="465">
        <v>34</v>
      </c>
      <c r="O38" s="466">
        <v>27287020.322021846</v>
      </c>
      <c r="P38" s="460"/>
      <c r="S38" s="462"/>
    </row>
    <row r="39" spans="1:19" s="64" customFormat="1" ht="19.5" customHeight="1" x14ac:dyDescent="0.25">
      <c r="A39" s="336" t="s">
        <v>223</v>
      </c>
      <c r="B39" s="335">
        <v>300</v>
      </c>
      <c r="C39" s="333">
        <v>270</v>
      </c>
      <c r="D39" s="334" t="s">
        <v>123</v>
      </c>
      <c r="E39" s="333"/>
      <c r="F39" s="332">
        <v>270</v>
      </c>
      <c r="G39" s="332">
        <f>SUM(E39:F39)</f>
        <v>270</v>
      </c>
      <c r="H39" s="331">
        <v>2.6609653361536076</v>
      </c>
      <c r="I39" s="330">
        <v>0.15</v>
      </c>
      <c r="J39" s="329">
        <f>(H39-I39)/H39</f>
        <v>0.94362947988761736</v>
      </c>
      <c r="K39" s="328">
        <v>7470</v>
      </c>
      <c r="L39" s="327">
        <f>(G39*K39)*J39</f>
        <v>1903206.2979853353</v>
      </c>
      <c r="M39" s="383">
        <f>G39*H39*J39</f>
        <v>677.96064076147411</v>
      </c>
      <c r="N39" s="383">
        <v>17</v>
      </c>
      <c r="O39" s="384">
        <f>M39*1000*17</f>
        <v>11525330.892945061</v>
      </c>
      <c r="P39" s="324"/>
      <c r="S39" s="310"/>
    </row>
    <row r="40" spans="1:19" s="64" customFormat="1" ht="19.5" customHeight="1" x14ac:dyDescent="0.25">
      <c r="A40" s="336" t="s">
        <v>68</v>
      </c>
      <c r="B40" s="335">
        <v>150</v>
      </c>
      <c r="C40" s="333">
        <v>138</v>
      </c>
      <c r="D40" s="334" t="s">
        <v>123</v>
      </c>
      <c r="E40" s="333">
        <v>138</v>
      </c>
      <c r="F40" s="332"/>
      <c r="G40" s="332">
        <f>F40+E40</f>
        <v>138</v>
      </c>
      <c r="H40" s="331">
        <v>2.6609653361536076</v>
      </c>
      <c r="I40" s="330"/>
      <c r="J40" s="329">
        <f>(H40-I40)/H40</f>
        <v>1</v>
      </c>
      <c r="K40" s="328">
        <v>7470</v>
      </c>
      <c r="L40" s="327">
        <f>(G40*K40)*J40</f>
        <v>1030860</v>
      </c>
      <c r="M40" s="383">
        <f>G40*H40*J40</f>
        <v>367.21321638919784</v>
      </c>
      <c r="N40" s="383">
        <v>17</v>
      </c>
      <c r="O40" s="384">
        <f>M40*1000*17</f>
        <v>6242624.6786163636</v>
      </c>
      <c r="P40" s="324"/>
      <c r="S40" s="310"/>
    </row>
    <row r="41" spans="1:19" s="64" customFormat="1" ht="19.5" customHeight="1" x14ac:dyDescent="0.25">
      <c r="A41" s="336" t="s">
        <v>129</v>
      </c>
      <c r="B41" s="335"/>
      <c r="C41" s="333">
        <v>82</v>
      </c>
      <c r="D41" s="334" t="s">
        <v>122</v>
      </c>
      <c r="E41" s="333">
        <v>7</v>
      </c>
      <c r="F41" s="332">
        <f>C41-E41</f>
        <v>75</v>
      </c>
      <c r="G41" s="332">
        <f>F41+E41</f>
        <v>82</v>
      </c>
      <c r="H41" s="331">
        <v>2.6609653361536076</v>
      </c>
      <c r="I41" s="330">
        <v>2.2000000000000002</v>
      </c>
      <c r="J41" s="329">
        <f>(H41-I41)/H41</f>
        <v>0.1732323716850544</v>
      </c>
      <c r="K41" s="328">
        <v>43768</v>
      </c>
      <c r="L41" s="338">
        <f>(G41*K41)*J41</f>
        <v>621726.82440073974</v>
      </c>
      <c r="M41" s="383">
        <f>G41*H41*J41</f>
        <v>37.799157564595809</v>
      </c>
      <c r="N41" s="383">
        <v>17</v>
      </c>
      <c r="O41" s="382">
        <f>M41*1000*17</f>
        <v>642585.67859812872</v>
      </c>
      <c r="P41" s="324"/>
      <c r="S41" s="310"/>
    </row>
    <row r="42" spans="1:19" s="64" customFormat="1" ht="19.5" customHeight="1" x14ac:dyDescent="0.25">
      <c r="A42" s="336" t="s">
        <v>66</v>
      </c>
      <c r="B42" s="335">
        <v>404</v>
      </c>
      <c r="C42" s="333">
        <v>740</v>
      </c>
      <c r="D42" s="334" t="s">
        <v>123</v>
      </c>
      <c r="E42" s="333">
        <v>81.760000000000005</v>
      </c>
      <c r="F42" s="332">
        <v>661.49</v>
      </c>
      <c r="G42" s="332">
        <f>SUM(E42:F42)</f>
        <v>743.25</v>
      </c>
      <c r="H42" s="331">
        <v>2.6609653361536076</v>
      </c>
      <c r="I42" s="330">
        <v>1.85</v>
      </c>
      <c r="J42" s="329">
        <f>(H42-I42)/H42</f>
        <v>0.30476358528061392</v>
      </c>
      <c r="K42" s="328">
        <v>7470</v>
      </c>
      <c r="L42" s="327">
        <f>(G42*K42)*J42</f>
        <v>1692071.0446558278</v>
      </c>
      <c r="M42" s="383">
        <f>G42*H42*J42</f>
        <v>602.74998609616875</v>
      </c>
      <c r="N42" s="383">
        <v>17</v>
      </c>
      <c r="O42" s="384">
        <f>M42*1000*17</f>
        <v>10246749.763634868</v>
      </c>
      <c r="P42" s="324"/>
      <c r="S42" s="310"/>
    </row>
    <row r="43" spans="1:19" s="461" customFormat="1" ht="19.5" customHeight="1" x14ac:dyDescent="0.25">
      <c r="A43" s="463" t="s">
        <v>65</v>
      </c>
      <c r="B43" s="448">
        <v>70</v>
      </c>
      <c r="C43" s="448">
        <v>54</v>
      </c>
      <c r="D43" s="448">
        <v>0</v>
      </c>
      <c r="E43" s="448">
        <v>21.75</v>
      </c>
      <c r="F43" s="448">
        <v>14</v>
      </c>
      <c r="G43" s="448">
        <v>35.75</v>
      </c>
      <c r="H43" s="448">
        <v>7.9828960084608234</v>
      </c>
      <c r="I43" s="448">
        <v>1.6</v>
      </c>
      <c r="J43" s="448">
        <v>2.3987144521345849</v>
      </c>
      <c r="K43" s="448">
        <v>84702</v>
      </c>
      <c r="L43" s="448">
        <v>516203.52697868843</v>
      </c>
      <c r="M43" s="448">
        <v>56.729510767491469</v>
      </c>
      <c r="N43" s="448">
        <v>51</v>
      </c>
      <c r="O43" s="448">
        <v>964401.68304735492</v>
      </c>
      <c r="P43" s="460"/>
      <c r="S43" s="462"/>
    </row>
    <row r="44" spans="1:19" s="64" customFormat="1" ht="19.5" customHeight="1" x14ac:dyDescent="0.25">
      <c r="A44" s="336"/>
      <c r="B44" s="335"/>
      <c r="C44" s="333"/>
      <c r="D44" s="334"/>
      <c r="E44" s="333"/>
      <c r="F44" s="340"/>
      <c r="G44" s="376"/>
      <c r="H44" s="375"/>
      <c r="I44" s="330"/>
      <c r="J44" s="329"/>
      <c r="K44" s="339"/>
      <c r="L44" s="338"/>
      <c r="M44" s="374"/>
      <c r="N44" s="374"/>
      <c r="O44" s="373"/>
      <c r="P44" s="337"/>
      <c r="S44" s="310"/>
    </row>
    <row r="45" spans="1:19" s="64" customFormat="1" ht="19.5" customHeight="1" x14ac:dyDescent="0.25">
      <c r="A45" s="377" t="s">
        <v>218</v>
      </c>
      <c r="B45" s="378">
        <f>SUM(B33:B44)</f>
        <v>4778</v>
      </c>
      <c r="C45" s="378">
        <f>SUM(C33:C44)</f>
        <v>5595</v>
      </c>
      <c r="D45" s="380"/>
      <c r="E45" s="379">
        <f>SUM(E33:E44)</f>
        <v>810.55</v>
      </c>
      <c r="F45" s="379">
        <f>SUM(F33:F44)</f>
        <v>4090.9399999999996</v>
      </c>
      <c r="G45" s="379">
        <f>F45+E45</f>
        <v>4901.49</v>
      </c>
      <c r="H45" s="375"/>
      <c r="I45" s="330"/>
      <c r="J45" s="329"/>
      <c r="K45" s="378">
        <f>SUM(K33:K44)</f>
        <v>376158</v>
      </c>
      <c r="L45" s="378">
        <f>SUM(L33:L44)</f>
        <v>20928540.324544679</v>
      </c>
      <c r="M45" s="378">
        <f>SUM(M33:M44)</f>
        <v>5413.1476030251079</v>
      </c>
      <c r="N45" s="381"/>
      <c r="O45" s="378">
        <f>SUM(O33:O44)</f>
        <v>92023509.251426846</v>
      </c>
      <c r="P45" s="337"/>
      <c r="S45" s="310"/>
    </row>
    <row r="46" spans="1:19" s="64" customFormat="1" ht="19.5" customHeight="1" x14ac:dyDescent="0.25">
      <c r="A46" s="377"/>
      <c r="B46" s="335"/>
      <c r="C46" s="333"/>
      <c r="D46" s="334"/>
      <c r="E46" s="333"/>
      <c r="F46" s="340"/>
      <c r="G46" s="376"/>
      <c r="H46" s="375"/>
      <c r="I46" s="330"/>
      <c r="J46" s="329"/>
      <c r="K46" s="339"/>
      <c r="L46" s="338"/>
      <c r="M46" s="374"/>
      <c r="N46" s="374"/>
      <c r="O46" s="373"/>
      <c r="P46" s="337"/>
      <c r="S46" s="310"/>
    </row>
    <row r="47" spans="1:19" s="64" customFormat="1" ht="19.5" customHeight="1" x14ac:dyDescent="0.25">
      <c r="A47" s="372" t="s">
        <v>71</v>
      </c>
      <c r="B47" s="371"/>
      <c r="C47" s="369"/>
      <c r="D47" s="370"/>
      <c r="E47" s="369"/>
      <c r="F47" s="368"/>
      <c r="G47" s="367"/>
      <c r="H47" s="366"/>
      <c r="I47" s="365"/>
      <c r="J47" s="364"/>
      <c r="K47" s="363"/>
      <c r="L47" s="362"/>
      <c r="M47" s="361"/>
      <c r="N47" s="361"/>
      <c r="O47" s="360"/>
      <c r="P47" s="359"/>
      <c r="S47" s="310"/>
    </row>
    <row r="48" spans="1:19" s="64" customFormat="1" ht="19.5" customHeight="1" x14ac:dyDescent="0.25">
      <c r="A48" s="336" t="s">
        <v>74</v>
      </c>
      <c r="B48" s="335">
        <v>300</v>
      </c>
      <c r="C48" s="333">
        <v>381</v>
      </c>
      <c r="D48" s="334" t="s">
        <v>123</v>
      </c>
      <c r="E48" s="333">
        <v>50</v>
      </c>
      <c r="F48" s="332">
        <v>331</v>
      </c>
      <c r="G48" s="340">
        <f>SUM(E48:F48)</f>
        <v>381</v>
      </c>
      <c r="H48" s="331">
        <v>2.9581715248210361</v>
      </c>
      <c r="I48" s="330">
        <v>1.77</v>
      </c>
      <c r="J48" s="329">
        <f t="shared" ref="J48:J53" si="0">(H48-I48)/H48</f>
        <v>0.40165741399762755</v>
      </c>
      <c r="K48" s="339">
        <v>7470</v>
      </c>
      <c r="L48" s="338">
        <f t="shared" ref="L48:L53" si="1">(G48*K48)*J48</f>
        <v>1143145.1162562279</v>
      </c>
      <c r="M48" s="326">
        <f t="shared" ref="M48:M53" si="2">G48*H48*J48</f>
        <v>452.6933509568147</v>
      </c>
      <c r="N48" s="326">
        <v>17</v>
      </c>
      <c r="O48" s="325">
        <f t="shared" ref="O48:O53" si="3">M48*1000*17</f>
        <v>7695786.9662658498</v>
      </c>
      <c r="P48" s="324"/>
      <c r="S48" s="310"/>
    </row>
    <row r="49" spans="1:19" s="64" customFormat="1" ht="19.5" customHeight="1" x14ac:dyDescent="0.25">
      <c r="A49" s="336" t="s">
        <v>104</v>
      </c>
      <c r="B49" s="335">
        <v>35</v>
      </c>
      <c r="C49" s="333">
        <v>23</v>
      </c>
      <c r="D49" s="334" t="s">
        <v>219</v>
      </c>
      <c r="E49" s="333">
        <v>23</v>
      </c>
      <c r="F49" s="332"/>
      <c r="G49" s="340">
        <f>SUM(E49:F49)</f>
        <v>23</v>
      </c>
      <c r="H49" s="331">
        <v>2.9581715248210361</v>
      </c>
      <c r="I49" s="330"/>
      <c r="J49" s="329">
        <f t="shared" si="0"/>
        <v>1</v>
      </c>
      <c r="K49" s="339">
        <v>33464</v>
      </c>
      <c r="L49" s="338">
        <f t="shared" si="1"/>
        <v>769672</v>
      </c>
      <c r="M49" s="326">
        <f t="shared" si="2"/>
        <v>68.037945070883836</v>
      </c>
      <c r="N49" s="326">
        <v>17</v>
      </c>
      <c r="O49" s="325">
        <f t="shared" si="3"/>
        <v>1156645.0662050252</v>
      </c>
      <c r="P49" s="324"/>
      <c r="S49" s="310"/>
    </row>
    <row r="50" spans="1:19" s="64" customFormat="1" ht="19.5" customHeight="1" x14ac:dyDescent="0.25">
      <c r="A50" s="336" t="s">
        <v>222</v>
      </c>
      <c r="B50" s="335">
        <v>306</v>
      </c>
      <c r="C50" s="333">
        <v>350</v>
      </c>
      <c r="D50" s="334" t="s">
        <v>123</v>
      </c>
      <c r="E50" s="333"/>
      <c r="F50" s="332">
        <v>350</v>
      </c>
      <c r="G50" s="340">
        <f>SUM(E50:F50)</f>
        <v>350</v>
      </c>
      <c r="H50" s="331">
        <v>2.9581715248210361</v>
      </c>
      <c r="I50" s="330">
        <v>1.77</v>
      </c>
      <c r="J50" s="329">
        <f t="shared" si="0"/>
        <v>0.40165741399762755</v>
      </c>
      <c r="K50" s="339">
        <v>7470</v>
      </c>
      <c r="L50" s="338">
        <f t="shared" si="1"/>
        <v>1050133.3088967972</v>
      </c>
      <c r="M50" s="326">
        <f t="shared" si="2"/>
        <v>415.8600336873626</v>
      </c>
      <c r="N50" s="326">
        <v>17</v>
      </c>
      <c r="O50" s="325">
        <f t="shared" si="3"/>
        <v>7069620.5726851644</v>
      </c>
      <c r="P50" s="324"/>
      <c r="S50" s="310"/>
    </row>
    <row r="51" spans="1:19" s="64" customFormat="1" ht="19.5" customHeight="1" x14ac:dyDescent="0.25">
      <c r="A51" s="336" t="s">
        <v>80</v>
      </c>
      <c r="B51" s="335"/>
      <c r="C51" s="333">
        <v>212</v>
      </c>
      <c r="D51" s="334" t="s">
        <v>123</v>
      </c>
      <c r="E51" s="333">
        <v>25.75</v>
      </c>
      <c r="F51" s="332">
        <f>C51-E51</f>
        <v>186.25</v>
      </c>
      <c r="G51" s="332">
        <f>F51+E51</f>
        <v>212</v>
      </c>
      <c r="H51" s="331">
        <v>2.9581715248210361</v>
      </c>
      <c r="I51" s="330">
        <v>1.66</v>
      </c>
      <c r="J51" s="329">
        <f t="shared" si="0"/>
        <v>0.43884254646105186</v>
      </c>
      <c r="K51" s="328">
        <v>7470</v>
      </c>
      <c r="L51" s="327">
        <f t="shared" si="1"/>
        <v>694968.61027758021</v>
      </c>
      <c r="M51" s="326">
        <f t="shared" si="2"/>
        <v>275.21236326205968</v>
      </c>
      <c r="N51" s="326">
        <v>17</v>
      </c>
      <c r="O51" s="325">
        <f t="shared" si="3"/>
        <v>4678610.1754550152</v>
      </c>
      <c r="P51" s="324"/>
      <c r="S51" s="310"/>
    </row>
    <row r="52" spans="1:19" s="64" customFormat="1" ht="19.5" customHeight="1" x14ac:dyDescent="0.25">
      <c r="A52" s="336" t="s">
        <v>116</v>
      </c>
      <c r="B52" s="335">
        <v>25</v>
      </c>
      <c r="C52" s="333">
        <v>20</v>
      </c>
      <c r="D52" s="334" t="s">
        <v>219</v>
      </c>
      <c r="E52" s="333"/>
      <c r="F52" s="332">
        <v>20</v>
      </c>
      <c r="G52" s="340">
        <f>SUM(E52:F52)</f>
        <v>20</v>
      </c>
      <c r="H52" s="331">
        <v>2.9581715248210361</v>
      </c>
      <c r="I52" s="330">
        <v>2.37</v>
      </c>
      <c r="J52" s="329">
        <f t="shared" si="0"/>
        <v>0.19882941874258603</v>
      </c>
      <c r="K52" s="339">
        <v>33464</v>
      </c>
      <c r="L52" s="338">
        <f t="shared" si="1"/>
        <v>133072.55337603798</v>
      </c>
      <c r="M52" s="326">
        <f t="shared" si="2"/>
        <v>11.763430496420721</v>
      </c>
      <c r="N52" s="326">
        <v>17</v>
      </c>
      <c r="O52" s="325">
        <f t="shared" si="3"/>
        <v>199978.31843915224</v>
      </c>
      <c r="P52" s="324"/>
      <c r="S52" s="310"/>
    </row>
    <row r="53" spans="1:19" s="64" customFormat="1" ht="19.5" customHeight="1" x14ac:dyDescent="0.25">
      <c r="A53" s="336" t="s">
        <v>82</v>
      </c>
      <c r="B53" s="335">
        <v>508</v>
      </c>
      <c r="C53" s="333">
        <v>53</v>
      </c>
      <c r="D53" s="334" t="s">
        <v>219</v>
      </c>
      <c r="E53" s="333">
        <v>40</v>
      </c>
      <c r="F53" s="332">
        <v>108</v>
      </c>
      <c r="G53" s="340">
        <f>SUM(E53:F53)</f>
        <v>148</v>
      </c>
      <c r="H53" s="331">
        <v>2.9581715248210361</v>
      </c>
      <c r="I53" s="330">
        <v>2.37</v>
      </c>
      <c r="J53" s="329">
        <f t="shared" si="0"/>
        <v>0.19882941874258603</v>
      </c>
      <c r="K53" s="339">
        <v>33464</v>
      </c>
      <c r="L53" s="338">
        <f t="shared" si="1"/>
        <v>984736.89498268103</v>
      </c>
      <c r="M53" s="326">
        <f t="shared" si="2"/>
        <v>87.049385673513328</v>
      </c>
      <c r="N53" s="326">
        <v>17</v>
      </c>
      <c r="O53" s="325">
        <f t="shared" si="3"/>
        <v>1479839.5564497267</v>
      </c>
      <c r="P53" s="324"/>
      <c r="S53" s="310"/>
    </row>
    <row r="54" spans="1:19" s="64" customFormat="1" ht="19.5" customHeight="1" x14ac:dyDescent="0.25">
      <c r="A54" s="377"/>
      <c r="B54" s="335"/>
      <c r="C54" s="333"/>
      <c r="D54" s="334"/>
      <c r="E54" s="333"/>
      <c r="F54" s="340"/>
      <c r="G54" s="376"/>
      <c r="H54" s="375"/>
      <c r="I54" s="330"/>
      <c r="J54" s="329"/>
      <c r="K54" s="339"/>
      <c r="L54" s="338"/>
      <c r="M54" s="374"/>
      <c r="N54" s="374"/>
      <c r="O54" s="373"/>
      <c r="P54" s="337"/>
      <c r="S54" s="310"/>
    </row>
    <row r="55" spans="1:19" s="64" customFormat="1" ht="19.5" customHeight="1" x14ac:dyDescent="0.25">
      <c r="A55" s="377" t="s">
        <v>218</v>
      </c>
      <c r="B55" s="379">
        <f>SUM(B48:B54)</f>
        <v>1174</v>
      </c>
      <c r="C55" s="379">
        <f>SUM(C48:C54)</f>
        <v>1039</v>
      </c>
      <c r="D55" s="380"/>
      <c r="E55" s="379">
        <f>SUM(E48:E54)</f>
        <v>138.75</v>
      </c>
      <c r="F55" s="379">
        <f>SUM(F48:F54)</f>
        <v>995.25</v>
      </c>
      <c r="G55" s="379">
        <f>SUM(G48:G54)</f>
        <v>1134</v>
      </c>
      <c r="H55" s="375"/>
      <c r="I55" s="330"/>
      <c r="J55" s="329"/>
      <c r="K55" s="378">
        <f>SUM(K48:K54)</f>
        <v>122802</v>
      </c>
      <c r="L55" s="378">
        <f>SUM(L48:L54)</f>
        <v>4775728.4837893248</v>
      </c>
      <c r="M55" s="378">
        <f>SUM(M48:M54)</f>
        <v>1310.616509147055</v>
      </c>
      <c r="N55" s="374"/>
      <c r="O55" s="378">
        <f>SUM(O48:O54)</f>
        <v>22280480.655499931</v>
      </c>
      <c r="P55" s="337"/>
      <c r="S55" s="310"/>
    </row>
    <row r="56" spans="1:19" s="64" customFormat="1" ht="19.5" customHeight="1" x14ac:dyDescent="0.25">
      <c r="A56" s="377"/>
      <c r="B56" s="335"/>
      <c r="C56" s="333"/>
      <c r="D56" s="334"/>
      <c r="E56" s="333"/>
      <c r="F56" s="340"/>
      <c r="G56" s="376"/>
      <c r="H56" s="375"/>
      <c r="I56" s="330"/>
      <c r="J56" s="329"/>
      <c r="K56" s="339"/>
      <c r="L56" s="338"/>
      <c r="M56" s="374"/>
      <c r="N56" s="374"/>
      <c r="O56" s="373"/>
      <c r="P56" s="337"/>
      <c r="S56" s="310"/>
    </row>
    <row r="57" spans="1:19" s="64" customFormat="1" ht="19.5" customHeight="1" x14ac:dyDescent="0.25">
      <c r="A57" s="372" t="s">
        <v>83</v>
      </c>
      <c r="B57" s="371"/>
      <c r="C57" s="369"/>
      <c r="D57" s="370"/>
      <c r="E57" s="369"/>
      <c r="F57" s="368"/>
      <c r="G57" s="367"/>
      <c r="H57" s="366"/>
      <c r="I57" s="365"/>
      <c r="J57" s="364"/>
      <c r="K57" s="363"/>
      <c r="L57" s="362"/>
      <c r="M57" s="361"/>
      <c r="N57" s="361"/>
      <c r="O57" s="360"/>
      <c r="P57" s="359"/>
      <c r="S57" s="310"/>
    </row>
    <row r="58" spans="1:19" s="341" customFormat="1" ht="19.5" customHeight="1" x14ac:dyDescent="0.25">
      <c r="A58" s="358" t="s">
        <v>84</v>
      </c>
      <c r="B58" s="352">
        <v>70</v>
      </c>
      <c r="C58" s="350">
        <v>101</v>
      </c>
      <c r="D58" s="351">
        <v>0</v>
      </c>
      <c r="E58" s="350">
        <v>0</v>
      </c>
      <c r="F58" s="349">
        <v>101</v>
      </c>
      <c r="G58" s="357">
        <v>101</v>
      </c>
      <c r="H58" s="356">
        <v>5.6867980607596174</v>
      </c>
      <c r="I58" s="347">
        <v>4.08</v>
      </c>
      <c r="J58" s="346">
        <v>0.56509763265446022</v>
      </c>
      <c r="K58" s="345">
        <v>40934</v>
      </c>
      <c r="L58" s="344">
        <v>584126.74618114554</v>
      </c>
      <c r="M58" s="355">
        <v>67.46330206836069</v>
      </c>
      <c r="N58" s="355">
        <v>34</v>
      </c>
      <c r="O58" s="354">
        <v>1146876.1351621319</v>
      </c>
      <c r="P58" s="343"/>
      <c r="S58" s="342"/>
    </row>
    <row r="59" spans="1:19" s="64" customFormat="1" ht="19.5" customHeight="1" x14ac:dyDescent="0.25">
      <c r="A59" s="336" t="s">
        <v>188</v>
      </c>
      <c r="B59" s="335">
        <v>110</v>
      </c>
      <c r="C59" s="333">
        <v>122</v>
      </c>
      <c r="D59" s="334" t="s">
        <v>123</v>
      </c>
      <c r="E59" s="333">
        <v>32.25</v>
      </c>
      <c r="F59" s="340">
        <v>89.75</v>
      </c>
      <c r="G59" s="340">
        <f>SUM(E59:F59)</f>
        <v>122</v>
      </c>
      <c r="H59" s="331">
        <v>2.8433990303798087</v>
      </c>
      <c r="I59" s="330">
        <v>1.7</v>
      </c>
      <c r="J59" s="329">
        <f>(H59-I59)/H59</f>
        <v>0.40212401360602507</v>
      </c>
      <c r="K59" s="339">
        <v>7470</v>
      </c>
      <c r="L59" s="338">
        <f>(G59*K59)*J59</f>
        <v>366471.69855971489</v>
      </c>
      <c r="M59" s="326">
        <f>G59*H59*J59</f>
        <v>139.49468170633665</v>
      </c>
      <c r="N59" s="326">
        <v>17</v>
      </c>
      <c r="O59" s="325">
        <f>M59*1000*17</f>
        <v>2371409.5890077231</v>
      </c>
      <c r="P59" s="337"/>
      <c r="S59" s="310"/>
    </row>
    <row r="60" spans="1:19" s="64" customFormat="1" ht="19.5" customHeight="1" x14ac:dyDescent="0.25">
      <c r="A60" s="336" t="s">
        <v>86</v>
      </c>
      <c r="B60" s="335">
        <v>77</v>
      </c>
      <c r="C60" s="333">
        <v>80</v>
      </c>
      <c r="D60" s="334" t="s">
        <v>219</v>
      </c>
      <c r="E60" s="333">
        <v>31</v>
      </c>
      <c r="F60" s="340">
        <v>49</v>
      </c>
      <c r="G60" s="340">
        <f>SUM(E60:F60)</f>
        <v>80</v>
      </c>
      <c r="H60" s="331">
        <v>2.8433990303798087</v>
      </c>
      <c r="I60" s="330">
        <v>2.2799999999999998</v>
      </c>
      <c r="J60" s="329">
        <f>(H60-I60)/H60</f>
        <v>0.198142794718669</v>
      </c>
      <c r="K60" s="339">
        <v>33464</v>
      </c>
      <c r="L60" s="338">
        <f>(G60*K60)*J60</f>
        <v>530452.03859724314</v>
      </c>
      <c r="M60" s="326">
        <f>G60*H60*J60</f>
        <v>45.07192243038471</v>
      </c>
      <c r="N60" s="326">
        <v>17</v>
      </c>
      <c r="O60" s="325">
        <f>M60*1000*17</f>
        <v>766222.68131653999</v>
      </c>
      <c r="P60" s="337"/>
      <c r="S60" s="310"/>
    </row>
    <row r="61" spans="1:19" s="64" customFormat="1" ht="19.5" hidden="1" customHeight="1" x14ac:dyDescent="0.25">
      <c r="A61" s="336"/>
      <c r="B61" s="335"/>
      <c r="C61" s="333"/>
      <c r="D61" s="334"/>
      <c r="E61" s="333"/>
      <c r="F61" s="340"/>
      <c r="G61" s="340"/>
      <c r="H61" s="331"/>
      <c r="I61" s="330"/>
      <c r="J61" s="329"/>
      <c r="K61" s="339"/>
      <c r="L61" s="338"/>
      <c r="M61" s="326"/>
      <c r="N61" s="326"/>
      <c r="O61" s="325"/>
      <c r="P61" s="337"/>
      <c r="S61" s="310"/>
    </row>
    <row r="62" spans="1:19" s="341" customFormat="1" ht="19.5" customHeight="1" x14ac:dyDescent="0.25">
      <c r="A62" s="353" t="s">
        <v>87</v>
      </c>
      <c r="B62" s="352">
        <v>376</v>
      </c>
      <c r="C62" s="350">
        <v>361</v>
      </c>
      <c r="D62" s="351">
        <v>0</v>
      </c>
      <c r="E62" s="350">
        <v>8</v>
      </c>
      <c r="F62" s="349">
        <v>353</v>
      </c>
      <c r="G62" s="349">
        <v>361</v>
      </c>
      <c r="H62" s="348">
        <v>5.6867980607596174</v>
      </c>
      <c r="I62" s="347">
        <v>3.25</v>
      </c>
      <c r="J62" s="346">
        <v>0.8570017907174009</v>
      </c>
      <c r="K62" s="345">
        <v>40934</v>
      </c>
      <c r="L62" s="344">
        <v>1679522.589240273</v>
      </c>
      <c r="M62" s="326">
        <v>160.16704996711087</v>
      </c>
      <c r="N62" s="326">
        <v>34</v>
      </c>
      <c r="O62" s="325">
        <v>2722839.8494408848</v>
      </c>
      <c r="P62" s="343"/>
      <c r="S62" s="342"/>
    </row>
    <row r="63" spans="1:19" s="341" customFormat="1" ht="19.5" customHeight="1" x14ac:dyDescent="0.25">
      <c r="A63" s="353" t="s">
        <v>88</v>
      </c>
      <c r="B63" s="352">
        <v>467</v>
      </c>
      <c r="C63" s="350">
        <v>694</v>
      </c>
      <c r="D63" s="351">
        <v>0</v>
      </c>
      <c r="E63" s="350">
        <v>50</v>
      </c>
      <c r="F63" s="349">
        <v>644</v>
      </c>
      <c r="G63" s="349">
        <v>694</v>
      </c>
      <c r="H63" s="348">
        <v>5.6867980607596174</v>
      </c>
      <c r="I63" s="347">
        <v>3.9799999999999995</v>
      </c>
      <c r="J63" s="346">
        <v>0.60026680832469403</v>
      </c>
      <c r="K63" s="345">
        <v>40934</v>
      </c>
      <c r="L63" s="344">
        <v>3669587.9209181517</v>
      </c>
      <c r="M63" s="326">
        <v>540.05892708358738</v>
      </c>
      <c r="N63" s="326">
        <v>34</v>
      </c>
      <c r="O63" s="325">
        <v>9181001.7604209855</v>
      </c>
      <c r="P63" s="343"/>
      <c r="S63" s="342"/>
    </row>
    <row r="64" spans="1:19" s="341" customFormat="1" ht="19.5" customHeight="1" x14ac:dyDescent="0.25">
      <c r="A64" s="353" t="s">
        <v>101</v>
      </c>
      <c r="B64" s="352">
        <v>486</v>
      </c>
      <c r="C64" s="350">
        <v>546</v>
      </c>
      <c r="D64" s="351">
        <v>0</v>
      </c>
      <c r="E64" s="350">
        <v>164</v>
      </c>
      <c r="F64" s="349">
        <v>382</v>
      </c>
      <c r="G64" s="349">
        <v>546</v>
      </c>
      <c r="H64" s="348">
        <v>5.6867980607596174</v>
      </c>
      <c r="I64" s="347">
        <v>3.9799999999999995</v>
      </c>
      <c r="J64" s="346">
        <v>0.60026680832469403</v>
      </c>
      <c r="K64" s="345">
        <v>40934</v>
      </c>
      <c r="L64" s="344">
        <v>2728146.2746223658</v>
      </c>
      <c r="M64" s="326">
        <v>450.29587058737559</v>
      </c>
      <c r="N64" s="326">
        <v>34</v>
      </c>
      <c r="O64" s="325">
        <v>7655029.7999853846</v>
      </c>
      <c r="P64" s="343"/>
      <c r="S64" s="342"/>
    </row>
    <row r="65" spans="1:20" s="341" customFormat="1" ht="19.5" customHeight="1" x14ac:dyDescent="0.25">
      <c r="A65" s="353" t="s">
        <v>112</v>
      </c>
      <c r="B65" s="352">
        <v>233</v>
      </c>
      <c r="C65" s="350">
        <v>339</v>
      </c>
      <c r="D65" s="351">
        <v>0</v>
      </c>
      <c r="E65" s="350">
        <v>30</v>
      </c>
      <c r="F65" s="349">
        <v>309</v>
      </c>
      <c r="G65" s="349">
        <v>339</v>
      </c>
      <c r="H65" s="348">
        <v>5.6867980607596174</v>
      </c>
      <c r="I65" s="347">
        <v>3.53</v>
      </c>
      <c r="J65" s="346">
        <v>0.75852809884074623</v>
      </c>
      <c r="K65" s="345">
        <v>40934</v>
      </c>
      <c r="L65" s="344">
        <v>2115783.6114794421</v>
      </c>
      <c r="M65" s="326">
        <v>246.61227129875522</v>
      </c>
      <c r="N65" s="326">
        <v>34</v>
      </c>
      <c r="O65" s="325">
        <v>4192408.6120788385</v>
      </c>
      <c r="P65" s="343"/>
      <c r="S65" s="342"/>
    </row>
    <row r="66" spans="1:20" s="341" customFormat="1" ht="19.5" customHeight="1" x14ac:dyDescent="0.25">
      <c r="A66" s="353" t="s">
        <v>111</v>
      </c>
      <c r="B66" s="352">
        <v>232</v>
      </c>
      <c r="C66" s="350">
        <v>289</v>
      </c>
      <c r="D66" s="351">
        <v>0</v>
      </c>
      <c r="E66" s="350">
        <v>37.25</v>
      </c>
      <c r="F66" s="349">
        <v>251.75</v>
      </c>
      <c r="G66" s="349">
        <v>289</v>
      </c>
      <c r="H66" s="348">
        <v>5.6867980607596174</v>
      </c>
      <c r="I66" s="347">
        <v>3.9799999999999995</v>
      </c>
      <c r="J66" s="346">
        <v>0.60026680832469403</v>
      </c>
      <c r="K66" s="345">
        <v>40934</v>
      </c>
      <c r="L66" s="344">
        <v>1669636.6705762008</v>
      </c>
      <c r="M66" s="326">
        <v>202.26231977976477</v>
      </c>
      <c r="N66" s="326">
        <v>34</v>
      </c>
      <c r="O66" s="325">
        <v>3438459.4362560008</v>
      </c>
      <c r="P66" s="343"/>
      <c r="S66" s="342"/>
    </row>
    <row r="67" spans="1:20" s="341" customFormat="1" ht="19.5" customHeight="1" x14ac:dyDescent="0.25">
      <c r="A67" s="353" t="s">
        <v>89</v>
      </c>
      <c r="B67" s="352">
        <v>75</v>
      </c>
      <c r="C67" s="350">
        <v>174</v>
      </c>
      <c r="D67" s="351">
        <v>0</v>
      </c>
      <c r="E67" s="350">
        <v>129</v>
      </c>
      <c r="F67" s="349">
        <v>45</v>
      </c>
      <c r="G67" s="349">
        <v>174</v>
      </c>
      <c r="H67" s="348">
        <v>5.6867980607596174</v>
      </c>
      <c r="I67" s="347">
        <v>2.2799999999999998</v>
      </c>
      <c r="J67" s="346">
        <v>1.1981427947186689</v>
      </c>
      <c r="K67" s="345">
        <v>40934</v>
      </c>
      <c r="L67" s="344">
        <v>1257812.524123277</v>
      </c>
      <c r="M67" s="326">
        <v>380.7514312860867</v>
      </c>
      <c r="N67" s="326">
        <v>34</v>
      </c>
      <c r="O67" s="325">
        <v>6472774.3318634732</v>
      </c>
      <c r="P67" s="343"/>
      <c r="S67" s="342"/>
    </row>
    <row r="68" spans="1:20" s="64" customFormat="1" ht="19.5" customHeight="1" x14ac:dyDescent="0.25">
      <c r="A68" s="336" t="s">
        <v>106</v>
      </c>
      <c r="B68" s="335">
        <v>120</v>
      </c>
      <c r="C68" s="333">
        <v>159</v>
      </c>
      <c r="D68" s="334" t="s">
        <v>123</v>
      </c>
      <c r="E68" s="333">
        <v>54.5</v>
      </c>
      <c r="F68" s="340">
        <v>104.5</v>
      </c>
      <c r="G68" s="340">
        <f>SUM(E68:F68)</f>
        <v>159</v>
      </c>
      <c r="H68" s="331">
        <v>2.8433990303798087</v>
      </c>
      <c r="I68" s="330">
        <v>1.7</v>
      </c>
      <c r="J68" s="329">
        <f>(H68-I68)/H68</f>
        <v>0.40212401360602507</v>
      </c>
      <c r="K68" s="339">
        <v>7470</v>
      </c>
      <c r="L68" s="338">
        <f>(G68*K68)*J68</f>
        <v>477614.75468028412</v>
      </c>
      <c r="M68" s="326">
        <f>G68*H68*J68</f>
        <v>181.80044583038958</v>
      </c>
      <c r="N68" s="326">
        <v>17</v>
      </c>
      <c r="O68" s="325">
        <f>M68*1000*17</f>
        <v>3090607.5791166225</v>
      </c>
      <c r="P68" s="337"/>
      <c r="S68" s="310"/>
    </row>
    <row r="69" spans="1:20" s="64" customFormat="1" ht="19.5" customHeight="1" x14ac:dyDescent="0.25">
      <c r="A69" s="353" t="s">
        <v>91</v>
      </c>
      <c r="B69" s="352">
        <v>152</v>
      </c>
      <c r="C69" s="350">
        <v>203</v>
      </c>
      <c r="D69" s="351">
        <v>0</v>
      </c>
      <c r="E69" s="350">
        <v>27</v>
      </c>
      <c r="F69" s="349">
        <v>176</v>
      </c>
      <c r="G69" s="349">
        <v>203</v>
      </c>
      <c r="H69" s="348">
        <v>5.6867980607596174</v>
      </c>
      <c r="I69" s="347">
        <v>4.08</v>
      </c>
      <c r="J69" s="346">
        <v>0.56509763265446022</v>
      </c>
      <c r="K69" s="345">
        <v>14940</v>
      </c>
      <c r="L69" s="344">
        <v>522406.28479775187</v>
      </c>
      <c r="M69" s="326">
        <v>198.85000316710119</v>
      </c>
      <c r="N69" s="326">
        <v>34</v>
      </c>
      <c r="O69" s="325">
        <v>3380450.0538407201</v>
      </c>
      <c r="P69" s="343"/>
      <c r="Q69" s="341"/>
      <c r="R69" s="341"/>
      <c r="S69" s="342"/>
      <c r="T69" s="341"/>
    </row>
    <row r="70" spans="1:20" s="64" customFormat="1" ht="19.5" customHeight="1" x14ac:dyDescent="0.25">
      <c r="A70" s="336" t="s">
        <v>110</v>
      </c>
      <c r="B70" s="335">
        <v>60</v>
      </c>
      <c r="C70" s="333">
        <v>72</v>
      </c>
      <c r="D70" s="334" t="s">
        <v>123</v>
      </c>
      <c r="E70" s="333">
        <v>22</v>
      </c>
      <c r="F70" s="340">
        <v>50</v>
      </c>
      <c r="G70" s="340">
        <f>SUM(E70:F70)</f>
        <v>72</v>
      </c>
      <c r="H70" s="331">
        <v>2.8433990303798087</v>
      </c>
      <c r="I70" s="330">
        <v>1.7</v>
      </c>
      <c r="J70" s="329">
        <f>(H70-I70)/H70</f>
        <v>0.40212401360602507</v>
      </c>
      <c r="K70" s="339">
        <v>7470</v>
      </c>
      <c r="L70" s="338">
        <f>(G70*K70)*J70</f>
        <v>216278.37947786451</v>
      </c>
      <c r="M70" s="326">
        <f>G70*H70*J70</f>
        <v>82.324730187346219</v>
      </c>
      <c r="N70" s="326">
        <v>17</v>
      </c>
      <c r="O70" s="325">
        <f>M70*1000*17</f>
        <v>1399520.4131848856</v>
      </c>
      <c r="P70" s="337"/>
      <c r="S70" s="310"/>
    </row>
    <row r="71" spans="1:20" s="64" customFormat="1" ht="19.5" customHeight="1" x14ac:dyDescent="0.25">
      <c r="A71" s="336" t="s">
        <v>220</v>
      </c>
      <c r="B71" s="335">
        <v>28</v>
      </c>
      <c r="C71" s="333">
        <v>24</v>
      </c>
      <c r="D71" s="334" t="s">
        <v>123</v>
      </c>
      <c r="E71" s="333">
        <v>24</v>
      </c>
      <c r="F71" s="340"/>
      <c r="G71" s="340">
        <f>SUM(E71:F71)</f>
        <v>24</v>
      </c>
      <c r="H71" s="331">
        <v>2.8433990303798087</v>
      </c>
      <c r="I71" s="330"/>
      <c r="J71" s="329">
        <f>(H71-I71)/H71</f>
        <v>1</v>
      </c>
      <c r="K71" s="339">
        <v>7470</v>
      </c>
      <c r="L71" s="338">
        <f>(G71*K71)*J71</f>
        <v>179280</v>
      </c>
      <c r="M71" s="326">
        <f>G71*H71*J71</f>
        <v>68.241576729115408</v>
      </c>
      <c r="N71" s="326">
        <v>17</v>
      </c>
      <c r="O71" s="325">
        <f>M71*1000*17</f>
        <v>1160106.8043949618</v>
      </c>
      <c r="P71" s="337"/>
      <c r="S71" s="310"/>
    </row>
    <row r="72" spans="1:20" s="341" customFormat="1" ht="19.5" customHeight="1" x14ac:dyDescent="0.25">
      <c r="A72" s="336" t="s">
        <v>92</v>
      </c>
      <c r="B72" s="335">
        <v>20</v>
      </c>
      <c r="C72" s="333">
        <v>33</v>
      </c>
      <c r="D72" s="334" t="s">
        <v>219</v>
      </c>
      <c r="E72" s="333"/>
      <c r="F72" s="340">
        <v>33</v>
      </c>
      <c r="G72" s="340">
        <f>SUM(E72:F72)</f>
        <v>33</v>
      </c>
      <c r="H72" s="331">
        <v>2.8433990303798087</v>
      </c>
      <c r="I72" s="330">
        <v>2.2799999999999998</v>
      </c>
      <c r="J72" s="329">
        <f>(H72-I72)/H72</f>
        <v>0.198142794718669</v>
      </c>
      <c r="K72" s="339">
        <v>33464</v>
      </c>
      <c r="L72" s="338">
        <f>(G72*K72)*J72</f>
        <v>218811.4659213628</v>
      </c>
      <c r="M72" s="326">
        <f>G72*H72*J72</f>
        <v>18.592168002533693</v>
      </c>
      <c r="N72" s="326">
        <v>17</v>
      </c>
      <c r="O72" s="325">
        <f>M72*1000*17</f>
        <v>316066.85604307277</v>
      </c>
      <c r="P72" s="337"/>
      <c r="Q72" s="64"/>
      <c r="R72" s="64"/>
      <c r="S72" s="310"/>
      <c r="T72" s="64"/>
    </row>
    <row r="73" spans="1:20" s="341" customFormat="1" ht="19.5" customHeight="1" x14ac:dyDescent="0.25">
      <c r="A73" s="336" t="s">
        <v>3</v>
      </c>
      <c r="B73" s="335">
        <v>50</v>
      </c>
      <c r="C73" s="333">
        <v>48</v>
      </c>
      <c r="D73" s="334" t="s">
        <v>123</v>
      </c>
      <c r="E73" s="333">
        <v>16</v>
      </c>
      <c r="F73" s="340">
        <v>32</v>
      </c>
      <c r="G73" s="340">
        <f>SUM(E73:F73)</f>
        <v>48</v>
      </c>
      <c r="H73" s="331">
        <v>2.8433990303798087</v>
      </c>
      <c r="I73" s="330">
        <v>1.7</v>
      </c>
      <c r="J73" s="329">
        <f>(H73-I73)/H73</f>
        <v>0.40212401360602507</v>
      </c>
      <c r="K73" s="339">
        <v>7470</v>
      </c>
      <c r="L73" s="338">
        <f>(G73*K73)*J73</f>
        <v>144185.58631857636</v>
      </c>
      <c r="M73" s="326">
        <f>G73*H73*J73</f>
        <v>54.883153458230815</v>
      </c>
      <c r="N73" s="326">
        <v>17</v>
      </c>
      <c r="O73" s="325">
        <f>M73*1000*17</f>
        <v>933013.60878992383</v>
      </c>
      <c r="P73" s="337"/>
      <c r="Q73" s="64"/>
      <c r="R73" s="64"/>
      <c r="S73" s="310"/>
      <c r="T73" s="64"/>
    </row>
    <row r="74" spans="1:20" s="64" customFormat="1" ht="19.5" customHeight="1" x14ac:dyDescent="0.25">
      <c r="A74" s="336" t="s">
        <v>109</v>
      </c>
      <c r="B74" s="335">
        <v>305</v>
      </c>
      <c r="C74" s="333">
        <v>345</v>
      </c>
      <c r="D74" s="334">
        <v>0</v>
      </c>
      <c r="E74" s="333">
        <v>65</v>
      </c>
      <c r="F74" s="332">
        <v>278</v>
      </c>
      <c r="G74" s="332">
        <v>343</v>
      </c>
      <c r="H74" s="331">
        <v>5.6867980607596174</v>
      </c>
      <c r="I74" s="330">
        <v>1.9</v>
      </c>
      <c r="J74" s="329">
        <v>1.3317856622655575</v>
      </c>
      <c r="K74" s="328">
        <v>66928</v>
      </c>
      <c r="L74" s="327">
        <v>4507954.0825614976</v>
      </c>
      <c r="M74" s="326">
        <v>383.03586742027437</v>
      </c>
      <c r="N74" s="326">
        <v>34</v>
      </c>
      <c r="O74" s="325">
        <v>6511609.7461446645</v>
      </c>
      <c r="P74" s="324"/>
      <c r="S74" s="310"/>
    </row>
    <row r="75" spans="1:20" s="64" customFormat="1" ht="19.5" customHeight="1" x14ac:dyDescent="0.25">
      <c r="A75" s="353" t="s">
        <v>94</v>
      </c>
      <c r="B75" s="352">
        <v>27</v>
      </c>
      <c r="C75" s="350">
        <v>27</v>
      </c>
      <c r="D75" s="351">
        <v>0</v>
      </c>
      <c r="E75" s="350">
        <v>5</v>
      </c>
      <c r="F75" s="349">
        <v>22</v>
      </c>
      <c r="G75" s="349">
        <v>27</v>
      </c>
      <c r="H75" s="348">
        <v>5.6867980607596174</v>
      </c>
      <c r="I75" s="347">
        <v>2.4500000000000002</v>
      </c>
      <c r="J75" s="346">
        <v>1.1383551960792713</v>
      </c>
      <c r="K75" s="345">
        <v>40934</v>
      </c>
      <c r="L75" s="344">
        <v>139208.20219512819</v>
      </c>
      <c r="M75" s="326">
        <v>22.87177382025483</v>
      </c>
      <c r="N75" s="326">
        <v>34</v>
      </c>
      <c r="O75" s="325">
        <v>388820.15494433214</v>
      </c>
      <c r="P75" s="343"/>
      <c r="Q75" s="341"/>
      <c r="R75" s="341"/>
      <c r="S75" s="342"/>
      <c r="T75" s="341"/>
    </row>
    <row r="76" spans="1:20" s="64" customFormat="1" ht="19.5" customHeight="1" x14ac:dyDescent="0.25">
      <c r="A76" s="323" t="s">
        <v>218</v>
      </c>
      <c r="B76" s="317">
        <f>SUM(B59:B75)</f>
        <v>2818</v>
      </c>
      <c r="C76" s="317">
        <f>SUM(C59:C75)</f>
        <v>3516</v>
      </c>
      <c r="D76" s="322"/>
      <c r="E76" s="317">
        <f>SUM(E59:E75)</f>
        <v>695</v>
      </c>
      <c r="F76" s="317">
        <f>SUM(F59:F75)</f>
        <v>2819</v>
      </c>
      <c r="G76" s="317">
        <f>SUM(G59:G75)</f>
        <v>3514</v>
      </c>
      <c r="H76" s="321"/>
      <c r="I76" s="320"/>
      <c r="J76" s="319"/>
      <c r="K76" s="317">
        <f>SUM(K59:K75)</f>
        <v>472684</v>
      </c>
      <c r="L76" s="317">
        <f>SUM(L59:L75)</f>
        <v>20423152.084069133</v>
      </c>
      <c r="M76" s="317">
        <f>SUM(M59:M75)</f>
        <v>3175.3141927546476</v>
      </c>
      <c r="N76" s="318"/>
      <c r="O76" s="317">
        <f>SUM(O59:O75)</f>
        <v>53980341.276829004</v>
      </c>
      <c r="P76" s="316"/>
      <c r="S76" s="310"/>
    </row>
    <row r="77" spans="1:20" s="64" customFormat="1" ht="19.5" customHeight="1" thickBot="1" x14ac:dyDescent="0.3">
      <c r="A77" s="275"/>
      <c r="B77" s="312"/>
      <c r="C77" s="312"/>
      <c r="D77" s="315"/>
      <c r="E77" s="312"/>
      <c r="F77" s="312"/>
      <c r="G77" s="312"/>
      <c r="H77" s="314"/>
      <c r="I77" s="269"/>
      <c r="J77" s="313"/>
      <c r="K77" s="312"/>
      <c r="L77" s="312"/>
      <c r="M77" s="312"/>
      <c r="N77" s="266"/>
      <c r="O77" s="312"/>
      <c r="P77" s="311"/>
      <c r="S77" s="310"/>
    </row>
    <row r="78" spans="1:20" s="64" customFormat="1" ht="19.5" customHeight="1" x14ac:dyDescent="0.2">
      <c r="A78" s="309" t="s">
        <v>217</v>
      </c>
      <c r="B78" s="307"/>
      <c r="C78" s="307"/>
      <c r="D78" s="308"/>
      <c r="E78" s="307"/>
      <c r="F78" s="306"/>
      <c r="G78" s="305"/>
      <c r="H78" s="304"/>
      <c r="I78" s="303"/>
      <c r="J78" s="300"/>
      <c r="K78" s="302"/>
      <c r="L78" s="301"/>
      <c r="M78" s="300"/>
      <c r="N78" s="300"/>
      <c r="O78" s="299"/>
      <c r="P78" s="298"/>
    </row>
    <row r="79" spans="1:20" s="64" customFormat="1" ht="19.5" customHeight="1" x14ac:dyDescent="0.2">
      <c r="A79" s="290" t="s">
        <v>216</v>
      </c>
      <c r="B79" s="273"/>
      <c r="C79" s="273"/>
      <c r="D79" s="274"/>
      <c r="E79" s="273"/>
      <c r="F79" s="297"/>
      <c r="G79" s="296"/>
      <c r="H79" s="295"/>
      <c r="I79" s="269"/>
      <c r="J79" s="266"/>
      <c r="K79" s="294"/>
      <c r="L79" s="293"/>
      <c r="M79" s="266"/>
      <c r="N79" s="266"/>
      <c r="O79" s="292"/>
      <c r="P79" s="264"/>
    </row>
    <row r="80" spans="1:20" s="64" customFormat="1" ht="19.5" customHeight="1" x14ac:dyDescent="0.2">
      <c r="A80" s="290" t="s">
        <v>215</v>
      </c>
      <c r="B80" s="273"/>
      <c r="C80" s="273"/>
      <c r="D80" s="274"/>
      <c r="E80" s="273"/>
      <c r="F80" s="297"/>
      <c r="G80" s="296"/>
      <c r="H80" s="295"/>
      <c r="I80" s="269"/>
      <c r="J80" s="266"/>
      <c r="K80" s="294"/>
      <c r="L80" s="293"/>
      <c r="M80" s="266"/>
      <c r="N80" s="266"/>
      <c r="O80" s="292"/>
      <c r="P80" s="264"/>
    </row>
    <row r="81" spans="1:16" s="64" customFormat="1" ht="19.5" customHeight="1" x14ac:dyDescent="0.2">
      <c r="A81" s="291" t="s">
        <v>214</v>
      </c>
      <c r="B81" s="273"/>
      <c r="C81" s="273"/>
      <c r="D81" s="274"/>
      <c r="E81" s="273"/>
      <c r="F81" s="297"/>
      <c r="G81" s="296"/>
      <c r="H81" s="295"/>
      <c r="I81" s="269"/>
      <c r="J81" s="266"/>
      <c r="K81" s="294"/>
      <c r="L81" s="293"/>
      <c r="M81" s="266"/>
      <c r="N81" s="266"/>
      <c r="O81" s="292"/>
      <c r="P81" s="264"/>
    </row>
    <row r="82" spans="1:16" s="64" customFormat="1" ht="19.5" customHeight="1" x14ac:dyDescent="0.2">
      <c r="A82" s="291" t="s">
        <v>213</v>
      </c>
      <c r="B82" s="273"/>
      <c r="C82" s="273"/>
      <c r="D82" s="274"/>
      <c r="E82" s="273"/>
      <c r="F82" s="297"/>
      <c r="G82" s="296"/>
      <c r="H82" s="295"/>
      <c r="I82" s="269"/>
      <c r="J82" s="266"/>
      <c r="K82" s="294"/>
      <c r="L82" s="293"/>
      <c r="M82" s="266"/>
      <c r="N82" s="266"/>
      <c r="O82" s="292"/>
      <c r="P82" s="264"/>
    </row>
    <row r="83" spans="1:16" s="64" customFormat="1" ht="19.5" customHeight="1" x14ac:dyDescent="0.2">
      <c r="A83" s="291" t="s">
        <v>212</v>
      </c>
      <c r="B83" s="273"/>
      <c r="C83" s="273"/>
      <c r="D83" s="274"/>
      <c r="E83" s="273"/>
      <c r="F83" s="297"/>
      <c r="G83" s="296"/>
      <c r="H83" s="295"/>
      <c r="I83" s="269"/>
      <c r="J83" s="266"/>
      <c r="K83" s="294"/>
      <c r="L83" s="293"/>
      <c r="M83" s="266"/>
      <c r="N83" s="266"/>
      <c r="O83" s="292"/>
      <c r="P83" s="264"/>
    </row>
    <row r="84" spans="1:16" s="64" customFormat="1" ht="19.5" customHeight="1" x14ac:dyDescent="0.2">
      <c r="A84" s="291" t="s">
        <v>211</v>
      </c>
      <c r="B84" s="273"/>
      <c r="C84" s="273"/>
      <c r="D84" s="274"/>
      <c r="E84" s="273"/>
      <c r="F84" s="297"/>
      <c r="G84" s="296"/>
      <c r="H84" s="295"/>
      <c r="I84" s="269"/>
      <c r="J84" s="266"/>
      <c r="K84" s="294"/>
      <c r="L84" s="293"/>
      <c r="M84" s="266"/>
      <c r="N84" s="266"/>
      <c r="O84" s="292"/>
      <c r="P84" s="264"/>
    </row>
    <row r="85" spans="1:16" s="64" customFormat="1" ht="19.5" customHeight="1" x14ac:dyDescent="0.2">
      <c r="A85" s="291" t="s">
        <v>210</v>
      </c>
      <c r="B85" s="273"/>
      <c r="C85" s="273"/>
      <c r="D85" s="274"/>
      <c r="E85" s="273"/>
      <c r="F85" s="297"/>
      <c r="G85" s="296"/>
      <c r="H85" s="295"/>
      <c r="I85" s="269"/>
      <c r="J85" s="266"/>
      <c r="K85" s="294"/>
      <c r="L85" s="293"/>
      <c r="M85" s="266"/>
      <c r="N85" s="266"/>
      <c r="O85" s="292"/>
      <c r="P85" s="264"/>
    </row>
    <row r="86" spans="1:16" s="64" customFormat="1" ht="19.5" customHeight="1" x14ac:dyDescent="0.2">
      <c r="A86" s="291" t="s">
        <v>209</v>
      </c>
      <c r="B86" s="273"/>
      <c r="C86" s="273"/>
      <c r="D86" s="274"/>
      <c r="E86" s="273"/>
      <c r="F86" s="297"/>
      <c r="G86" s="296"/>
      <c r="H86" s="295"/>
      <c r="I86" s="269"/>
      <c r="J86" s="266"/>
      <c r="K86" s="294"/>
      <c r="L86" s="293"/>
      <c r="M86" s="266"/>
      <c r="N86" s="266"/>
      <c r="O86" s="292"/>
      <c r="P86" s="264"/>
    </row>
    <row r="87" spans="1:16" s="64" customFormat="1" ht="19.5" customHeight="1" x14ac:dyDescent="0.2">
      <c r="A87" s="290"/>
      <c r="B87" s="273"/>
      <c r="C87" s="273"/>
      <c r="D87" s="274"/>
      <c r="E87" s="273"/>
      <c r="F87" s="297"/>
      <c r="G87" s="296"/>
      <c r="H87" s="295"/>
      <c r="I87" s="269"/>
      <c r="J87" s="266"/>
      <c r="K87" s="294"/>
      <c r="L87" s="293"/>
      <c r="M87" s="266"/>
      <c r="N87" s="266"/>
      <c r="O87" s="292"/>
      <c r="P87" s="264"/>
    </row>
    <row r="88" spans="1:16" s="64" customFormat="1" ht="19.5" customHeight="1" x14ac:dyDescent="0.25">
      <c r="A88" s="290" t="s">
        <v>208</v>
      </c>
      <c r="B88" s="282"/>
      <c r="C88" s="282"/>
      <c r="D88" s="285"/>
      <c r="E88" s="289"/>
      <c r="F88" s="289"/>
      <c r="G88" s="288"/>
      <c r="H88" s="186"/>
      <c r="I88" s="285"/>
      <c r="J88" s="285"/>
      <c r="K88" s="287"/>
      <c r="L88" s="286"/>
      <c r="M88" s="286"/>
      <c r="N88" s="285"/>
      <c r="O88" s="284"/>
      <c r="P88" s="279"/>
    </row>
    <row r="89" spans="1:16" s="64" customFormat="1" ht="19.5" customHeight="1" x14ac:dyDescent="0.25">
      <c r="A89" s="291" t="s">
        <v>207</v>
      </c>
      <c r="B89" s="282"/>
      <c r="C89" s="282"/>
      <c r="D89" s="285"/>
      <c r="E89" s="289"/>
      <c r="F89" s="289"/>
      <c r="G89" s="288"/>
      <c r="H89" s="186"/>
      <c r="I89" s="285"/>
      <c r="J89" s="285"/>
      <c r="K89" s="287"/>
      <c r="L89" s="286"/>
      <c r="M89" s="286"/>
      <c r="N89" s="285"/>
      <c r="O89" s="284"/>
      <c r="P89" s="279"/>
    </row>
    <row r="90" spans="1:16" s="64" customFormat="1" ht="19.5" customHeight="1" x14ac:dyDescent="0.25">
      <c r="A90" s="291" t="s">
        <v>206</v>
      </c>
      <c r="B90" s="282"/>
      <c r="C90" s="282"/>
      <c r="D90" s="285"/>
      <c r="E90" s="289"/>
      <c r="F90" s="289"/>
      <c r="G90" s="288"/>
      <c r="H90" s="186"/>
      <c r="I90" s="285"/>
      <c r="J90" s="285"/>
      <c r="K90" s="287"/>
      <c r="L90" s="286"/>
      <c r="M90" s="286"/>
      <c r="N90" s="285"/>
      <c r="O90" s="284"/>
      <c r="P90" s="279"/>
    </row>
    <row r="91" spans="1:16" s="64" customFormat="1" ht="19.5" customHeight="1" x14ac:dyDescent="0.25">
      <c r="A91" s="291" t="s">
        <v>205</v>
      </c>
      <c r="B91" s="282"/>
      <c r="C91" s="282"/>
      <c r="D91" s="285"/>
      <c r="E91" s="289"/>
      <c r="F91" s="289"/>
      <c r="G91" s="288"/>
      <c r="H91" s="186"/>
      <c r="I91" s="285"/>
      <c r="J91" s="285"/>
      <c r="K91" s="287"/>
      <c r="L91" s="286"/>
      <c r="M91" s="286"/>
      <c r="N91" s="285"/>
      <c r="O91" s="284"/>
      <c r="P91" s="279"/>
    </row>
    <row r="92" spans="1:16" s="64" customFormat="1" ht="19.5" customHeight="1" x14ac:dyDescent="0.25">
      <c r="A92" s="291" t="s">
        <v>204</v>
      </c>
      <c r="B92" s="282"/>
      <c r="C92" s="282"/>
      <c r="D92" s="285"/>
      <c r="E92" s="289"/>
      <c r="F92" s="289"/>
      <c r="G92" s="288"/>
      <c r="H92" s="186"/>
      <c r="I92" s="285"/>
      <c r="J92" s="285"/>
      <c r="K92" s="287"/>
      <c r="L92" s="286"/>
      <c r="M92" s="286"/>
      <c r="N92" s="285"/>
      <c r="O92" s="284"/>
      <c r="P92" s="279"/>
    </row>
    <row r="93" spans="1:16" s="64" customFormat="1" ht="19.5" customHeight="1" x14ac:dyDescent="0.25">
      <c r="A93" s="291" t="s">
        <v>203</v>
      </c>
      <c r="B93" s="282"/>
      <c r="C93" s="282"/>
      <c r="D93" s="285"/>
      <c r="E93" s="289"/>
      <c r="F93" s="289"/>
      <c r="G93" s="288"/>
      <c r="H93" s="186"/>
      <c r="I93" s="285"/>
      <c r="J93" s="285"/>
      <c r="K93" s="287"/>
      <c r="L93" s="286"/>
      <c r="M93" s="286"/>
      <c r="N93" s="285"/>
      <c r="O93" s="284"/>
      <c r="P93" s="279"/>
    </row>
    <row r="94" spans="1:16" s="64" customFormat="1" ht="19.5" customHeight="1" x14ac:dyDescent="0.25">
      <c r="A94" s="291" t="s">
        <v>203</v>
      </c>
      <c r="B94" s="282"/>
      <c r="C94" s="282"/>
      <c r="D94" s="285"/>
      <c r="E94" s="289"/>
      <c r="F94" s="289"/>
      <c r="G94" s="288"/>
      <c r="H94" s="186"/>
      <c r="I94" s="285"/>
      <c r="J94" s="285"/>
      <c r="K94" s="287"/>
      <c r="L94" s="286"/>
      <c r="M94" s="286"/>
      <c r="N94" s="285"/>
      <c r="O94" s="284"/>
      <c r="P94" s="279"/>
    </row>
    <row r="95" spans="1:16" s="64" customFormat="1" ht="19.5" customHeight="1" x14ac:dyDescent="0.25">
      <c r="A95" s="291" t="s">
        <v>197</v>
      </c>
      <c r="B95" s="282"/>
      <c r="C95" s="282"/>
      <c r="D95" s="285"/>
      <c r="E95" s="289"/>
      <c r="F95" s="289"/>
      <c r="G95" s="288"/>
      <c r="H95" s="186"/>
      <c r="I95" s="285"/>
      <c r="J95" s="285"/>
      <c r="K95" s="287"/>
      <c r="L95" s="286"/>
      <c r="M95" s="286"/>
      <c r="N95" s="285"/>
      <c r="O95" s="284"/>
      <c r="P95" s="279"/>
    </row>
    <row r="96" spans="1:16" s="64" customFormat="1" ht="19.5" customHeight="1" x14ac:dyDescent="0.25">
      <c r="A96" s="291" t="s">
        <v>202</v>
      </c>
      <c r="B96" s="282"/>
      <c r="C96" s="282"/>
      <c r="D96" s="285"/>
      <c r="E96" s="289"/>
      <c r="F96" s="289"/>
      <c r="G96" s="288"/>
      <c r="H96" s="186"/>
      <c r="I96" s="285"/>
      <c r="J96" s="285"/>
      <c r="K96" s="287"/>
      <c r="L96" s="286"/>
      <c r="M96" s="286"/>
      <c r="N96" s="285"/>
      <c r="O96" s="284"/>
      <c r="P96" s="279"/>
    </row>
    <row r="97" spans="1:16" s="64" customFormat="1" ht="19.5" customHeight="1" x14ac:dyDescent="0.25">
      <c r="A97" s="291" t="s">
        <v>201</v>
      </c>
      <c r="B97" s="282"/>
      <c r="C97" s="282"/>
      <c r="D97" s="285"/>
      <c r="E97" s="289"/>
      <c r="F97" s="289"/>
      <c r="G97" s="288"/>
      <c r="H97" s="186"/>
      <c r="I97" s="285"/>
      <c r="J97" s="285"/>
      <c r="K97" s="287"/>
      <c r="L97" s="286"/>
      <c r="M97" s="286"/>
      <c r="N97" s="285"/>
      <c r="O97" s="284"/>
      <c r="P97" s="279"/>
    </row>
    <row r="98" spans="1:16" s="64" customFormat="1" ht="19.5" customHeight="1" x14ac:dyDescent="0.25">
      <c r="A98" s="290"/>
      <c r="B98" s="282"/>
      <c r="C98" s="282"/>
      <c r="D98" s="285"/>
      <c r="E98" s="289"/>
      <c r="F98" s="289"/>
      <c r="G98" s="288"/>
      <c r="H98" s="186"/>
      <c r="I98" s="285"/>
      <c r="J98" s="285"/>
      <c r="K98" s="287"/>
      <c r="L98" s="286"/>
      <c r="M98" s="286"/>
      <c r="N98" s="285"/>
      <c r="O98" s="284"/>
      <c r="P98" s="279"/>
    </row>
    <row r="99" spans="1:16" s="64" customFormat="1" ht="19.5" customHeight="1" x14ac:dyDescent="0.25">
      <c r="A99" s="290" t="s">
        <v>200</v>
      </c>
      <c r="B99" s="282"/>
      <c r="C99" s="282"/>
      <c r="D99" s="285"/>
      <c r="E99" s="289"/>
      <c r="F99" s="289"/>
      <c r="G99" s="288"/>
      <c r="H99" s="186"/>
      <c r="I99" s="285"/>
      <c r="J99" s="285"/>
      <c r="K99" s="287"/>
      <c r="L99" s="286"/>
      <c r="M99" s="286"/>
      <c r="N99" s="285"/>
      <c r="O99" s="284"/>
      <c r="P99" s="279"/>
    </row>
    <row r="100" spans="1:16" s="64" customFormat="1" ht="19.5" customHeight="1" x14ac:dyDescent="0.25">
      <c r="A100" s="291" t="s">
        <v>199</v>
      </c>
      <c r="B100" s="282"/>
      <c r="C100" s="282"/>
      <c r="D100" s="285"/>
      <c r="E100" s="289"/>
      <c r="F100" s="289"/>
      <c r="G100" s="288"/>
      <c r="H100" s="186"/>
      <c r="I100" s="285"/>
      <c r="J100" s="285"/>
      <c r="K100" s="287"/>
      <c r="L100" s="286"/>
      <c r="M100" s="286"/>
      <c r="N100" s="285"/>
      <c r="O100" s="284"/>
      <c r="P100" s="279"/>
    </row>
    <row r="101" spans="1:16" s="64" customFormat="1" ht="19.5" customHeight="1" x14ac:dyDescent="0.25">
      <c r="A101" s="291" t="s">
        <v>198</v>
      </c>
      <c r="B101" s="282"/>
      <c r="C101" s="282"/>
      <c r="D101" s="285"/>
      <c r="E101" s="289"/>
      <c r="F101" s="289"/>
      <c r="G101" s="288"/>
      <c r="H101" s="186"/>
      <c r="I101" s="285"/>
      <c r="J101" s="285"/>
      <c r="K101" s="287"/>
      <c r="L101" s="286"/>
      <c r="M101" s="286"/>
      <c r="N101" s="285"/>
      <c r="O101" s="284"/>
      <c r="P101" s="279"/>
    </row>
    <row r="102" spans="1:16" s="64" customFormat="1" ht="19.5" customHeight="1" x14ac:dyDescent="0.25">
      <c r="A102" s="291" t="s">
        <v>197</v>
      </c>
      <c r="B102" s="282"/>
      <c r="C102" s="282"/>
      <c r="D102" s="285"/>
      <c r="E102" s="289"/>
      <c r="F102" s="289"/>
      <c r="G102" s="288"/>
      <c r="H102" s="186"/>
      <c r="I102" s="285"/>
      <c r="J102" s="285"/>
      <c r="K102" s="287"/>
      <c r="L102" s="286"/>
      <c r="M102" s="286"/>
      <c r="N102" s="285"/>
      <c r="O102" s="284"/>
      <c r="P102" s="279"/>
    </row>
    <row r="103" spans="1:16" s="64" customFormat="1" ht="19.5" customHeight="1" x14ac:dyDescent="0.25">
      <c r="A103" s="291" t="s">
        <v>196</v>
      </c>
      <c r="B103" s="282"/>
      <c r="C103" s="282"/>
      <c r="D103" s="285"/>
      <c r="E103" s="289"/>
      <c r="F103" s="289"/>
      <c r="G103" s="288"/>
      <c r="H103" s="186"/>
      <c r="I103" s="285"/>
      <c r="J103" s="285"/>
      <c r="K103" s="287"/>
      <c r="L103" s="286"/>
      <c r="M103" s="286"/>
      <c r="N103" s="285"/>
      <c r="O103" s="284"/>
      <c r="P103" s="279"/>
    </row>
    <row r="104" spans="1:16" s="64" customFormat="1" ht="19.5" customHeight="1" x14ac:dyDescent="0.25">
      <c r="A104" s="291"/>
      <c r="B104" s="282"/>
      <c r="C104" s="282"/>
      <c r="D104" s="285"/>
      <c r="E104" s="289"/>
      <c r="F104" s="289"/>
      <c r="G104" s="288"/>
      <c r="H104" s="186"/>
      <c r="I104" s="285"/>
      <c r="J104" s="285"/>
      <c r="K104" s="287"/>
      <c r="L104" s="286"/>
      <c r="M104" s="286"/>
      <c r="N104" s="285"/>
      <c r="O104" s="284"/>
      <c r="P104" s="279"/>
    </row>
    <row r="105" spans="1:16" s="64" customFormat="1" ht="19.5" customHeight="1" x14ac:dyDescent="0.25">
      <c r="A105" s="291"/>
      <c r="B105" s="282"/>
      <c r="C105" s="282"/>
      <c r="D105" s="285"/>
      <c r="E105" s="289"/>
      <c r="F105" s="289"/>
      <c r="G105" s="288"/>
      <c r="H105" s="186"/>
      <c r="I105" s="285"/>
      <c r="J105" s="285"/>
      <c r="K105" s="287"/>
      <c r="L105" s="286"/>
      <c r="M105" s="286"/>
      <c r="N105" s="285"/>
      <c r="O105" s="284"/>
      <c r="P105" s="279"/>
    </row>
    <row r="106" spans="1:16" s="64" customFormat="1" ht="19.5" customHeight="1" x14ac:dyDescent="0.25">
      <c r="A106" s="290"/>
      <c r="B106" s="282"/>
      <c r="C106" s="282"/>
      <c r="D106" s="285"/>
      <c r="E106" s="289"/>
      <c r="F106" s="289"/>
      <c r="G106" s="288"/>
      <c r="H106" s="186"/>
      <c r="I106" s="285"/>
      <c r="J106" s="285"/>
      <c r="K106" s="287"/>
      <c r="L106" s="286"/>
      <c r="M106" s="286"/>
      <c r="N106" s="285"/>
      <c r="O106" s="284"/>
      <c r="P106" s="279"/>
    </row>
    <row r="107" spans="1:16" s="64" customFormat="1" ht="19.5" customHeight="1" x14ac:dyDescent="0.25">
      <c r="A107" s="290"/>
      <c r="B107" s="282"/>
      <c r="C107" s="282"/>
      <c r="D107" s="285"/>
      <c r="E107" s="289"/>
      <c r="F107" s="289"/>
      <c r="G107" s="288"/>
      <c r="H107" s="186"/>
      <c r="I107" s="285"/>
      <c r="J107" s="285"/>
      <c r="K107" s="287"/>
      <c r="L107" s="286"/>
      <c r="M107" s="286"/>
      <c r="N107" s="285"/>
      <c r="O107" s="284"/>
      <c r="P107" s="279"/>
    </row>
    <row r="108" spans="1:16" s="64" customFormat="1" ht="19.5" customHeight="1" x14ac:dyDescent="0.25">
      <c r="A108" s="290"/>
      <c r="B108" s="282"/>
      <c r="C108" s="282"/>
      <c r="D108" s="285"/>
      <c r="E108" s="289"/>
      <c r="F108" s="289"/>
      <c r="G108" s="288"/>
      <c r="H108" s="186"/>
      <c r="I108" s="285"/>
      <c r="J108" s="285"/>
      <c r="K108" s="287"/>
      <c r="L108" s="286"/>
      <c r="M108" s="286"/>
      <c r="N108" s="285"/>
      <c r="O108" s="284"/>
      <c r="P108" s="279"/>
    </row>
    <row r="109" spans="1:16" s="64" customFormat="1" ht="19.5" customHeight="1" x14ac:dyDescent="0.25">
      <c r="A109" s="290"/>
      <c r="B109" s="282"/>
      <c r="C109" s="282"/>
      <c r="D109" s="285"/>
      <c r="E109" s="289"/>
      <c r="F109" s="289"/>
      <c r="G109" s="288"/>
      <c r="H109" s="186"/>
      <c r="I109" s="285"/>
      <c r="J109" s="285"/>
      <c r="K109" s="287"/>
      <c r="L109" s="286"/>
      <c r="M109" s="286"/>
      <c r="N109" s="285"/>
      <c r="O109" s="284"/>
      <c r="P109" s="279"/>
    </row>
    <row r="110" spans="1:16" s="64" customFormat="1" ht="19.5" customHeight="1" x14ac:dyDescent="0.25">
      <c r="A110" s="290"/>
      <c r="B110" s="282"/>
      <c r="C110" s="282"/>
      <c r="D110" s="285"/>
      <c r="E110" s="289"/>
      <c r="F110" s="289"/>
      <c r="G110" s="288"/>
      <c r="H110" s="186"/>
      <c r="I110" s="285"/>
      <c r="J110" s="285"/>
      <c r="K110" s="287"/>
      <c r="L110" s="286"/>
      <c r="M110" s="286"/>
      <c r="N110" s="285"/>
      <c r="O110" s="284"/>
      <c r="P110" s="279"/>
    </row>
    <row r="111" spans="1:16" s="64" customFormat="1" ht="19.5" customHeight="1" x14ac:dyDescent="0.25">
      <c r="A111" s="290"/>
      <c r="B111" s="282"/>
      <c r="C111" s="282"/>
      <c r="D111" s="285"/>
      <c r="E111" s="289"/>
      <c r="F111" s="289"/>
      <c r="G111" s="288"/>
      <c r="H111" s="186"/>
      <c r="I111" s="285"/>
      <c r="J111" s="285"/>
      <c r="K111" s="287"/>
      <c r="L111" s="286"/>
      <c r="M111" s="286"/>
      <c r="N111" s="285"/>
      <c r="O111" s="284"/>
      <c r="P111" s="279"/>
    </row>
    <row r="112" spans="1:16" s="64" customFormat="1" ht="19.5" customHeight="1" x14ac:dyDescent="0.25">
      <c r="A112" s="290"/>
      <c r="B112" s="282"/>
      <c r="C112" s="282"/>
      <c r="D112" s="285"/>
      <c r="E112" s="289"/>
      <c r="F112" s="289"/>
      <c r="G112" s="288"/>
      <c r="H112" s="186"/>
      <c r="I112" s="285"/>
      <c r="J112" s="285"/>
      <c r="K112" s="287"/>
      <c r="L112" s="286"/>
      <c r="M112" s="286"/>
      <c r="N112" s="285"/>
      <c r="O112" s="284"/>
      <c r="P112" s="279"/>
    </row>
    <row r="113" spans="1:16" s="64" customFormat="1" ht="19.5" customHeight="1" x14ac:dyDescent="0.25">
      <c r="A113" s="290"/>
      <c r="B113" s="282"/>
      <c r="C113" s="282"/>
      <c r="D113" s="285"/>
      <c r="E113" s="289"/>
      <c r="F113" s="289"/>
      <c r="G113" s="288"/>
      <c r="H113" s="186"/>
      <c r="I113" s="285"/>
      <c r="J113" s="285"/>
      <c r="K113" s="287"/>
      <c r="L113" s="286"/>
      <c r="M113" s="286"/>
      <c r="N113" s="285"/>
      <c r="O113" s="284"/>
      <c r="P113" s="279"/>
    </row>
    <row r="114" spans="1:16" s="64" customFormat="1" ht="19.5" customHeight="1" x14ac:dyDescent="0.25">
      <c r="A114" s="290"/>
      <c r="B114" s="282"/>
      <c r="C114" s="282"/>
      <c r="D114" s="285"/>
      <c r="E114" s="289"/>
      <c r="F114" s="289"/>
      <c r="G114" s="288"/>
      <c r="H114" s="186"/>
      <c r="I114" s="285"/>
      <c r="J114" s="285"/>
      <c r="K114" s="287"/>
      <c r="L114" s="286"/>
      <c r="M114" s="286"/>
      <c r="N114" s="285"/>
      <c r="O114" s="284"/>
      <c r="P114" s="279"/>
    </row>
    <row r="115" spans="1:16" s="64" customFormat="1" ht="19.5" customHeight="1" x14ac:dyDescent="0.25">
      <c r="A115" s="290"/>
      <c r="B115" s="282"/>
      <c r="C115" s="282"/>
      <c r="D115" s="285"/>
      <c r="E115" s="289"/>
      <c r="F115" s="289"/>
      <c r="G115" s="288"/>
      <c r="H115" s="186"/>
      <c r="I115" s="285"/>
      <c r="J115" s="285"/>
      <c r="K115" s="287"/>
      <c r="L115" s="286"/>
      <c r="M115" s="286"/>
      <c r="N115" s="285"/>
      <c r="O115" s="284"/>
      <c r="P115" s="279"/>
    </row>
    <row r="116" spans="1:16" s="64" customFormat="1" ht="19.5" customHeight="1" x14ac:dyDescent="0.25">
      <c r="A116" s="280" t="s">
        <v>195</v>
      </c>
      <c r="B116" s="282"/>
      <c r="C116" s="282"/>
      <c r="D116" s="283"/>
      <c r="E116" s="282" t="s">
        <v>194</v>
      </c>
      <c r="F116" s="282"/>
      <c r="G116" s="282"/>
      <c r="H116" s="280"/>
      <c r="I116" s="280"/>
      <c r="J116" s="278"/>
      <c r="K116" s="277"/>
      <c r="L116" s="280" t="s">
        <v>194</v>
      </c>
      <c r="M116" s="280"/>
      <c r="N116" s="280"/>
      <c r="O116" s="280"/>
      <c r="P116" s="14"/>
    </row>
    <row r="117" spans="1:16" s="64" customFormat="1" ht="19.5" customHeight="1" x14ac:dyDescent="0.25">
      <c r="A117" s="280"/>
      <c r="B117" s="282"/>
      <c r="C117" s="282"/>
      <c r="D117" s="283"/>
      <c r="E117" s="282"/>
      <c r="F117" s="282"/>
      <c r="G117" s="282"/>
      <c r="H117" s="280"/>
      <c r="I117" s="280"/>
      <c r="J117" s="278"/>
      <c r="K117" s="281"/>
      <c r="L117" s="280"/>
      <c r="M117" s="280"/>
      <c r="N117" s="280"/>
      <c r="O117" s="280"/>
      <c r="P117" s="279"/>
    </row>
    <row r="118" spans="1:16" s="64" customFormat="1" ht="19.5" customHeight="1" x14ac:dyDescent="0.25">
      <c r="A118" s="790" t="s">
        <v>193</v>
      </c>
      <c r="B118" s="790"/>
      <c r="C118" s="790"/>
      <c r="D118" s="278"/>
      <c r="E118" s="790" t="s">
        <v>192</v>
      </c>
      <c r="F118" s="790"/>
      <c r="G118" s="790"/>
      <c r="H118" s="790"/>
      <c r="I118" s="790"/>
      <c r="J118" s="278"/>
      <c r="K118" s="277"/>
      <c r="L118" s="790" t="s">
        <v>191</v>
      </c>
      <c r="M118" s="790"/>
      <c r="N118" s="790"/>
      <c r="O118" s="790"/>
      <c r="P118" s="276"/>
    </row>
    <row r="119" spans="1:16" s="64" customFormat="1" ht="19.5" customHeight="1" x14ac:dyDescent="0.25">
      <c r="A119" s="791"/>
      <c r="B119" s="791"/>
      <c r="C119" s="791"/>
      <c r="D119" s="278"/>
      <c r="E119" s="791" t="s">
        <v>190</v>
      </c>
      <c r="F119" s="791"/>
      <c r="G119" s="791"/>
      <c r="H119" s="791"/>
      <c r="I119" s="791"/>
      <c r="J119" s="278"/>
      <c r="K119" s="277"/>
      <c r="L119" s="791" t="s">
        <v>189</v>
      </c>
      <c r="M119" s="791"/>
      <c r="N119" s="791"/>
      <c r="O119" s="791"/>
      <c r="P119" s="276"/>
    </row>
    <row r="120" spans="1:16" s="64" customFormat="1" ht="19.5" customHeight="1" x14ac:dyDescent="0.2">
      <c r="A120" s="275"/>
      <c r="B120" s="273"/>
      <c r="C120" s="273"/>
      <c r="D120" s="274"/>
      <c r="E120" s="273"/>
      <c r="F120" s="272"/>
      <c r="G120" s="271"/>
      <c r="H120" s="270"/>
      <c r="I120" s="269"/>
      <c r="J120" s="266"/>
      <c r="K120" s="268"/>
      <c r="L120" s="267"/>
      <c r="M120" s="266"/>
      <c r="N120" s="266"/>
      <c r="O120" s="265"/>
      <c r="P120" s="264"/>
    </row>
    <row r="121" spans="1:16" ht="18.95" customHeight="1" x14ac:dyDescent="0.25">
      <c r="A121" s="815"/>
      <c r="B121" s="815"/>
      <c r="C121" s="815"/>
      <c r="D121" s="815"/>
      <c r="E121" s="815"/>
      <c r="F121" s="815"/>
      <c r="G121" s="815"/>
      <c r="H121" s="815"/>
      <c r="I121" s="815"/>
      <c r="J121" s="815"/>
      <c r="K121" s="815"/>
      <c r="L121" s="815"/>
      <c r="M121" s="815"/>
      <c r="N121" s="815"/>
      <c r="O121" s="815"/>
      <c r="P121" s="815"/>
    </row>
    <row r="122" spans="1:16" ht="18.95" customHeight="1" x14ac:dyDescent="0.25">
      <c r="A122" s="816"/>
      <c r="B122" s="816"/>
      <c r="C122" s="816"/>
      <c r="D122" s="816"/>
      <c r="E122" s="816"/>
      <c r="F122" s="816"/>
      <c r="G122" s="816"/>
      <c r="H122" s="816"/>
      <c r="I122" s="816"/>
      <c r="J122" s="816"/>
      <c r="K122" s="816"/>
      <c r="L122" s="816"/>
      <c r="M122" s="263"/>
      <c r="N122" s="263"/>
      <c r="O122" s="262"/>
      <c r="P122" s="19"/>
    </row>
    <row r="123" spans="1:16" ht="18.95" customHeight="1" x14ac:dyDescent="0.25">
      <c r="A123" s="261"/>
      <c r="B123" s="260"/>
      <c r="C123" s="260"/>
      <c r="D123" s="251"/>
      <c r="E123" s="260"/>
      <c r="F123" s="260"/>
      <c r="G123" s="259"/>
      <c r="H123" s="19"/>
      <c r="I123" s="251"/>
      <c r="J123" s="251"/>
      <c r="K123" s="258"/>
      <c r="P123" s="19"/>
    </row>
    <row r="131" spans="6:6" ht="18.95" customHeight="1" x14ac:dyDescent="0.2">
      <c r="F131" s="257"/>
    </row>
  </sheetData>
  <sortState xmlns:xlrd2="http://schemas.microsoft.com/office/spreadsheetml/2017/richdata2" ref="A58:T75">
    <sortCondition ref="A58:A75"/>
  </sortState>
  <mergeCells count="24">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 ref="A121:P121"/>
    <mergeCell ref="A122:L122"/>
    <mergeCell ref="A118:C118"/>
    <mergeCell ref="E118:I118"/>
    <mergeCell ref="L118:O118"/>
    <mergeCell ref="A119:C119"/>
    <mergeCell ref="E119:I119"/>
    <mergeCell ref="L119:O119"/>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 XI</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marieke van brussel</cp:lastModifiedBy>
  <dcterms:created xsi:type="dcterms:W3CDTF">2018-07-23T01:57:49Z</dcterms:created>
  <dcterms:modified xsi:type="dcterms:W3CDTF">2021-08-26T14:23:47Z</dcterms:modified>
</cp:coreProperties>
</file>